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s>
  <definedNames>
    <definedName name="_cur1">#REF!</definedName>
    <definedName name="_cur2">#REF!</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62913"/>
</workbook>
</file>

<file path=xl/calcChain.xml><?xml version="1.0" encoding="utf-8"?>
<calcChain xmlns="http://schemas.openxmlformats.org/spreadsheetml/2006/main">
  <c r="L9" i="103" l="1"/>
  <c r="M9" i="103" s="1"/>
  <c r="D33" i="97" l="1"/>
  <c r="D34" i="97"/>
  <c r="C33" i="97"/>
  <c r="C34" i="97" l="1"/>
  <c r="H29" i="97"/>
  <c r="M8" i="104" l="1"/>
  <c r="M9" i="104"/>
  <c r="M10" i="104"/>
  <c r="M11" i="104"/>
  <c r="M12" i="104"/>
  <c r="M13" i="104"/>
  <c r="M14" i="104"/>
  <c r="M15" i="104"/>
  <c r="M16" i="104"/>
  <c r="M17" i="104"/>
  <c r="M18" i="104"/>
  <c r="M19" i="104"/>
  <c r="M20" i="104"/>
  <c r="M7" i="104"/>
  <c r="H8" i="104"/>
  <c r="H9" i="104"/>
  <c r="H10" i="104"/>
  <c r="H11" i="104"/>
  <c r="H12" i="104"/>
  <c r="H13" i="104"/>
  <c r="H14" i="104"/>
  <c r="H15" i="104"/>
  <c r="H16" i="104"/>
  <c r="H17" i="104"/>
  <c r="H18" i="104"/>
  <c r="H19" i="104"/>
  <c r="H20" i="104"/>
  <c r="H7" i="104"/>
  <c r="C8" i="104"/>
  <c r="C9" i="104"/>
  <c r="C10" i="104"/>
  <c r="C11" i="104"/>
  <c r="C12" i="104"/>
  <c r="C13" i="104"/>
  <c r="C14" i="104"/>
  <c r="C15" i="104"/>
  <c r="C16" i="104"/>
  <c r="C17" i="104"/>
  <c r="C18" i="104"/>
  <c r="C19" i="104"/>
  <c r="C20" i="104"/>
  <c r="C7" i="104"/>
  <c r="H32" i="102"/>
  <c r="H31" i="102"/>
  <c r="H30" i="102"/>
  <c r="H29" i="102"/>
  <c r="H28" i="102"/>
  <c r="H27" i="102"/>
  <c r="H26" i="102"/>
  <c r="H25" i="102"/>
  <c r="H24" i="102"/>
  <c r="H23" i="102"/>
  <c r="H22" i="102"/>
  <c r="H21" i="102"/>
  <c r="H20" i="102"/>
  <c r="H19" i="102"/>
  <c r="H18" i="102"/>
  <c r="H17" i="102"/>
  <c r="H16" i="102"/>
  <c r="H15" i="102"/>
  <c r="H14" i="102"/>
  <c r="H13" i="102"/>
  <c r="H12" i="102"/>
  <c r="H11" i="102"/>
  <c r="H10" i="102"/>
  <c r="H9" i="102"/>
  <c r="H8" i="102"/>
  <c r="H7" i="102"/>
  <c r="C8" i="102"/>
  <c r="C9" i="102"/>
  <c r="C10" i="102"/>
  <c r="C11" i="102"/>
  <c r="C12" i="102"/>
  <c r="C13" i="102"/>
  <c r="C14" i="102"/>
  <c r="C15" i="102"/>
  <c r="C16" i="102"/>
  <c r="C17" i="102"/>
  <c r="C18" i="102"/>
  <c r="C19" i="102"/>
  <c r="C20" i="102"/>
  <c r="C21" i="102"/>
  <c r="C22" i="102"/>
  <c r="C23" i="102"/>
  <c r="C24" i="102"/>
  <c r="C25" i="102"/>
  <c r="C26" i="102"/>
  <c r="C27" i="102"/>
  <c r="C28" i="102"/>
  <c r="C29" i="102"/>
  <c r="C30" i="102"/>
  <c r="C31" i="102"/>
  <c r="C32" i="102"/>
  <c r="C7" i="102"/>
  <c r="L22" i="100"/>
  <c r="H22" i="100"/>
  <c r="D22" i="100"/>
  <c r="C22" i="100"/>
  <c r="T22" i="100"/>
  <c r="C21" i="100"/>
  <c r="C20" i="100"/>
  <c r="D15" i="100"/>
  <c r="C18" i="100"/>
  <c r="C17" i="100"/>
  <c r="C16" i="100"/>
  <c r="AA15" i="100"/>
  <c r="Z15" i="100"/>
  <c r="Y15" i="100"/>
  <c r="X15" i="100"/>
  <c r="W15" i="100"/>
  <c r="V15" i="100"/>
  <c r="U15" i="100"/>
  <c r="T15" i="100"/>
  <c r="S15" i="100"/>
  <c r="R15" i="100"/>
  <c r="Q15" i="100"/>
  <c r="P15" i="100"/>
  <c r="O15" i="100"/>
  <c r="N15" i="100"/>
  <c r="M15" i="100"/>
  <c r="L15" i="100"/>
  <c r="K15" i="100"/>
  <c r="J15" i="100"/>
  <c r="I15" i="100"/>
  <c r="H15" i="100"/>
  <c r="G15" i="100"/>
  <c r="F15" i="100"/>
  <c r="E15" i="100"/>
  <c r="C33" i="102" l="1"/>
  <c r="H33" i="102"/>
  <c r="C19" i="100"/>
  <c r="C15" i="100" s="1"/>
  <c r="L33" i="102" l="1"/>
  <c r="K33" i="102"/>
  <c r="J33" i="102"/>
  <c r="I33" i="102"/>
  <c r="G33" i="102"/>
  <c r="F33" i="102"/>
  <c r="E33" i="102"/>
  <c r="D33" i="102"/>
  <c r="C18" i="69" l="1"/>
  <c r="C29" i="79" l="1"/>
  <c r="C28" i="79"/>
  <c r="C22" i="74" l="1"/>
  <c r="G63" i="92" l="1"/>
  <c r="F63" i="92"/>
  <c r="G59" i="92"/>
  <c r="G68" i="92" s="1"/>
  <c r="B2" i="104" l="1"/>
  <c r="B1" i="104"/>
  <c r="B2" i="103"/>
  <c r="B1" i="103"/>
  <c r="B2" i="102"/>
  <c r="B1" i="102"/>
  <c r="B2" i="101"/>
  <c r="B1" i="101"/>
  <c r="B2" i="100"/>
  <c r="B1" i="100"/>
  <c r="C10" i="99"/>
  <c r="C18" i="99" s="1"/>
  <c r="B2" i="99"/>
  <c r="B1" i="99"/>
  <c r="D10" i="98"/>
  <c r="D7" i="98"/>
  <c r="C7" i="98"/>
  <c r="B2" i="98"/>
  <c r="B1" i="98"/>
  <c r="G34" i="97"/>
  <c r="C11" i="98" s="1"/>
  <c r="F34" i="97"/>
  <c r="E34" i="97"/>
  <c r="H33" i="97"/>
  <c r="H32" i="97"/>
  <c r="H31" i="97"/>
  <c r="H30" i="97"/>
  <c r="H28" i="97"/>
  <c r="H27" i="97"/>
  <c r="H26" i="97"/>
  <c r="H25" i="97"/>
  <c r="H24" i="97"/>
  <c r="H23" i="97"/>
  <c r="H22" i="97"/>
  <c r="H21" i="97"/>
  <c r="H20" i="97"/>
  <c r="H19" i="97"/>
  <c r="H18" i="97"/>
  <c r="H17" i="97"/>
  <c r="H16" i="97"/>
  <c r="H15" i="97"/>
  <c r="H14" i="97"/>
  <c r="H13" i="97"/>
  <c r="H12" i="97"/>
  <c r="H11" i="97"/>
  <c r="H10" i="97"/>
  <c r="H9" i="97"/>
  <c r="H8" i="97"/>
  <c r="H7" i="97"/>
  <c r="B2" i="97"/>
  <c r="B1" i="97"/>
  <c r="H23" i="96"/>
  <c r="H22" i="96"/>
  <c r="G21" i="96"/>
  <c r="F21" i="96"/>
  <c r="E21" i="96"/>
  <c r="D21" i="96"/>
  <c r="C21" i="96"/>
  <c r="H20" i="96"/>
  <c r="H19" i="96"/>
  <c r="H18" i="96"/>
  <c r="H17" i="96"/>
  <c r="H16" i="96"/>
  <c r="H15" i="96"/>
  <c r="H14" i="96"/>
  <c r="H13" i="96"/>
  <c r="H12" i="96"/>
  <c r="H11" i="96"/>
  <c r="H10" i="96"/>
  <c r="H9" i="96"/>
  <c r="H8" i="96"/>
  <c r="H7" i="96"/>
  <c r="B2" i="96"/>
  <c r="B1" i="96"/>
  <c r="G22" i="95"/>
  <c r="F22" i="95"/>
  <c r="E22" i="95"/>
  <c r="D22" i="95"/>
  <c r="C22" i="95"/>
  <c r="H21" i="95"/>
  <c r="H20" i="95"/>
  <c r="H19" i="95"/>
  <c r="H18" i="95"/>
  <c r="H17" i="95"/>
  <c r="H16" i="95"/>
  <c r="H15" i="95"/>
  <c r="H14" i="95"/>
  <c r="H13" i="95"/>
  <c r="H12" i="95"/>
  <c r="H11" i="95"/>
  <c r="H10" i="95"/>
  <c r="H9" i="95"/>
  <c r="H8" i="95"/>
  <c r="B2" i="95"/>
  <c r="B1" i="95"/>
  <c r="G33" i="80"/>
  <c r="F33" i="80"/>
  <c r="E33" i="80"/>
  <c r="D33" i="80"/>
  <c r="C33" i="80"/>
  <c r="G24" i="80"/>
  <c r="F24" i="80"/>
  <c r="E24" i="80"/>
  <c r="D24" i="80"/>
  <c r="C24" i="80"/>
  <c r="C37" i="80" s="1"/>
  <c r="G18" i="80"/>
  <c r="F18" i="80"/>
  <c r="E18" i="80"/>
  <c r="D18" i="80"/>
  <c r="C18" i="80"/>
  <c r="G14" i="80"/>
  <c r="F14" i="80"/>
  <c r="E14" i="80"/>
  <c r="D14" i="80"/>
  <c r="C14" i="80"/>
  <c r="G11" i="80"/>
  <c r="F11" i="80"/>
  <c r="E11" i="80"/>
  <c r="D11" i="80"/>
  <c r="C11" i="80"/>
  <c r="G8" i="80"/>
  <c r="F8" i="80"/>
  <c r="E8" i="80"/>
  <c r="D8" i="80"/>
  <c r="C8" i="80"/>
  <c r="B2" i="80"/>
  <c r="B1" i="80"/>
  <c r="C35" i="79"/>
  <c r="C30" i="79"/>
  <c r="C26" i="79"/>
  <c r="B2" i="79"/>
  <c r="B1" i="79"/>
  <c r="N20" i="37"/>
  <c r="N19" i="37"/>
  <c r="E19" i="37"/>
  <c r="N18" i="37"/>
  <c r="E18" i="37"/>
  <c r="N17" i="37"/>
  <c r="E17" i="37"/>
  <c r="N16" i="37"/>
  <c r="E16" i="37"/>
  <c r="N15" i="37"/>
  <c r="E15" i="37"/>
  <c r="M14" i="37"/>
  <c r="L14" i="37"/>
  <c r="K14" i="37"/>
  <c r="J14" i="37"/>
  <c r="I14" i="37"/>
  <c r="H14" i="37"/>
  <c r="G14" i="37"/>
  <c r="F14" i="37"/>
  <c r="C14" i="37"/>
  <c r="N13" i="37"/>
  <c r="N12" i="37"/>
  <c r="E12" i="37"/>
  <c r="N11" i="37"/>
  <c r="E11" i="37"/>
  <c r="N10" i="37"/>
  <c r="E10" i="37"/>
  <c r="N9" i="37"/>
  <c r="E9" i="37"/>
  <c r="N8" i="37"/>
  <c r="E8" i="37"/>
  <c r="M7" i="37"/>
  <c r="M21" i="37" s="1"/>
  <c r="L7" i="37"/>
  <c r="L21" i="37" s="1"/>
  <c r="K7" i="37"/>
  <c r="J7" i="37"/>
  <c r="I7" i="37"/>
  <c r="H7" i="37"/>
  <c r="H21" i="37" s="1"/>
  <c r="G7" i="37"/>
  <c r="F7" i="37"/>
  <c r="F21" i="37" s="1"/>
  <c r="C7" i="37"/>
  <c r="B2" i="37"/>
  <c r="B1" i="37"/>
  <c r="B2" i="36"/>
  <c r="B1" i="36"/>
  <c r="G22" i="74"/>
  <c r="F22" i="74"/>
  <c r="E22" i="74"/>
  <c r="D22" i="74"/>
  <c r="H21" i="74"/>
  <c r="H19" i="74"/>
  <c r="H18" i="74"/>
  <c r="H17" i="74"/>
  <c r="H16" i="74"/>
  <c r="H15" i="74"/>
  <c r="H14" i="74"/>
  <c r="H13" i="74"/>
  <c r="H11" i="74"/>
  <c r="H10" i="74"/>
  <c r="H8" i="74"/>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B1"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B2" i="35"/>
  <c r="B1" i="35"/>
  <c r="C67" i="69"/>
  <c r="C29" i="69"/>
  <c r="C26" i="69"/>
  <c r="C23" i="69"/>
  <c r="C14" i="69"/>
  <c r="C6" i="69"/>
  <c r="B2" i="69"/>
  <c r="B1" i="69"/>
  <c r="C21" i="77"/>
  <c r="C20" i="77"/>
  <c r="C19" i="77"/>
  <c r="B2" i="77"/>
  <c r="B1" i="77"/>
  <c r="C48" i="28"/>
  <c r="C44" i="28"/>
  <c r="C53" i="28" s="1"/>
  <c r="C36" i="28"/>
  <c r="C32" i="28"/>
  <c r="C31" i="28" s="1"/>
  <c r="C42" i="28" s="1"/>
  <c r="C12" i="28"/>
  <c r="C7" i="79" s="1"/>
  <c r="C8" i="79" s="1"/>
  <c r="C6" i="28"/>
  <c r="B2" i="28"/>
  <c r="B1" i="28"/>
  <c r="B2" i="73"/>
  <c r="B1" i="73"/>
  <c r="E37" i="72"/>
  <c r="C5" i="73" s="1"/>
  <c r="C8" i="73" s="1"/>
  <c r="C13" i="73" s="1"/>
  <c r="D37" i="72"/>
  <c r="B2" i="72"/>
  <c r="B1" i="72"/>
  <c r="B2" i="52"/>
  <c r="B1" i="52"/>
  <c r="G6" i="71"/>
  <c r="G13" i="71" s="1"/>
  <c r="F6" i="71"/>
  <c r="F13" i="71" s="1"/>
  <c r="E6" i="71"/>
  <c r="E13" i="71" s="1"/>
  <c r="D6" i="71"/>
  <c r="D13" i="71" s="1"/>
  <c r="C6" i="71"/>
  <c r="C13" i="71" s="1"/>
  <c r="B2" i="71"/>
  <c r="B1" i="71"/>
  <c r="H43" i="94"/>
  <c r="E43" i="94"/>
  <c r="H42" i="94"/>
  <c r="E42" i="94"/>
  <c r="H41" i="94"/>
  <c r="E41" i="94"/>
  <c r="H40" i="94"/>
  <c r="E40" i="94"/>
  <c r="H39" i="94"/>
  <c r="E39" i="94"/>
  <c r="H38" i="94"/>
  <c r="D38" i="94"/>
  <c r="C38" i="94"/>
  <c r="H37" i="94"/>
  <c r="E37" i="94"/>
  <c r="H36" i="94"/>
  <c r="E36" i="94"/>
  <c r="H35" i="94"/>
  <c r="E35" i="94"/>
  <c r="H34" i="94"/>
  <c r="E34" i="94"/>
  <c r="H33" i="94"/>
  <c r="E33" i="94"/>
  <c r="H32" i="94"/>
  <c r="E32" i="94"/>
  <c r="H31" i="94"/>
  <c r="E31" i="94"/>
  <c r="H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H16" i="94"/>
  <c r="E16" i="94"/>
  <c r="H15" i="94"/>
  <c r="E15" i="94"/>
  <c r="H14" i="94"/>
  <c r="H13" i="94"/>
  <c r="E13" i="94"/>
  <c r="H12" i="94"/>
  <c r="E12" i="94"/>
  <c r="H11" i="94"/>
  <c r="D11" i="94"/>
  <c r="C11" i="94"/>
  <c r="H10" i="94"/>
  <c r="E10" i="94"/>
  <c r="H9" i="94"/>
  <c r="E9" i="94"/>
  <c r="H8" i="94"/>
  <c r="D8" i="94"/>
  <c r="C8" i="94"/>
  <c r="H7" i="94"/>
  <c r="E7" i="94"/>
  <c r="H6" i="94"/>
  <c r="E6" i="94"/>
  <c r="B2" i="94"/>
  <c r="B1" i="94"/>
  <c r="H44" i="93"/>
  <c r="E44" i="93"/>
  <c r="H42" i="93"/>
  <c r="E42" i="93"/>
  <c r="H41" i="93"/>
  <c r="E41" i="93"/>
  <c r="H40" i="93"/>
  <c r="E40" i="93"/>
  <c r="H39" i="93"/>
  <c r="E39" i="93"/>
  <c r="H38" i="93"/>
  <c r="E38" i="93"/>
  <c r="G37" i="93"/>
  <c r="F37" i="93"/>
  <c r="D37" i="93"/>
  <c r="C37" i="93"/>
  <c r="E37" i="93" s="1"/>
  <c r="H36" i="93"/>
  <c r="E36" i="93"/>
  <c r="H35" i="93"/>
  <c r="E35" i="93"/>
  <c r="G34" i="93"/>
  <c r="F34" i="93"/>
  <c r="H34" i="93" s="1"/>
  <c r="D34" i="93"/>
  <c r="C34" i="93"/>
  <c r="E34" i="93" s="1"/>
  <c r="H33" i="93"/>
  <c r="E33" i="93"/>
  <c r="H32" i="93"/>
  <c r="E32" i="93"/>
  <c r="H31" i="93"/>
  <c r="E31" i="93"/>
  <c r="H30" i="93"/>
  <c r="E30" i="93"/>
  <c r="G29" i="93"/>
  <c r="F29" i="93"/>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H13" i="93" s="1"/>
  <c r="D13" i="93"/>
  <c r="C13" i="93"/>
  <c r="E13" i="93" s="1"/>
  <c r="H12" i="93"/>
  <c r="E12" i="93"/>
  <c r="H11" i="93"/>
  <c r="E11" i="93"/>
  <c r="H10" i="93"/>
  <c r="E10" i="93"/>
  <c r="H9" i="93"/>
  <c r="E9" i="93"/>
  <c r="H8" i="93"/>
  <c r="E8" i="93"/>
  <c r="H7" i="93"/>
  <c r="E7" i="93"/>
  <c r="G6" i="93"/>
  <c r="F6" i="93"/>
  <c r="D6" i="93"/>
  <c r="C6" i="93"/>
  <c r="E6" i="93" s="1"/>
  <c r="B2" i="93"/>
  <c r="B1" i="93"/>
  <c r="F68" i="92"/>
  <c r="H68" i="92" s="1"/>
  <c r="H67" i="92"/>
  <c r="E67" i="92"/>
  <c r="H66" i="92"/>
  <c r="E66" i="92"/>
  <c r="H65" i="92"/>
  <c r="E65" i="92"/>
  <c r="H64" i="92"/>
  <c r="E64" i="92"/>
  <c r="H63" i="92"/>
  <c r="D63" i="92"/>
  <c r="C63" i="92"/>
  <c r="H62" i="92"/>
  <c r="E62" i="92"/>
  <c r="H61" i="92"/>
  <c r="E61" i="92"/>
  <c r="H60" i="92"/>
  <c r="E60" i="92"/>
  <c r="H59" i="92"/>
  <c r="D59" i="92"/>
  <c r="C59" i="92"/>
  <c r="H58" i="92"/>
  <c r="E58" i="92"/>
  <c r="H57" i="92"/>
  <c r="E57" i="92"/>
  <c r="H56" i="92"/>
  <c r="E56" i="92"/>
  <c r="H55" i="92"/>
  <c r="E55" i="92"/>
  <c r="H52" i="92"/>
  <c r="E52" i="92"/>
  <c r="H51" i="92"/>
  <c r="E51" i="92"/>
  <c r="H50" i="92"/>
  <c r="E50" i="92"/>
  <c r="H49" i="92"/>
  <c r="E49" i="92"/>
  <c r="H48" i="92"/>
  <c r="E48" i="92"/>
  <c r="G47" i="92"/>
  <c r="F47" i="92"/>
  <c r="D47" i="92"/>
  <c r="C47" i="92"/>
  <c r="E47" i="92" s="1"/>
  <c r="H46" i="92"/>
  <c r="E46" i="92"/>
  <c r="H45" i="92"/>
  <c r="E45" i="92"/>
  <c r="H44" i="92"/>
  <c r="E44" i="92"/>
  <c r="H43" i="92"/>
  <c r="E43" i="92"/>
  <c r="H42" i="92"/>
  <c r="E42" i="92"/>
  <c r="G41" i="92"/>
  <c r="F41" i="92"/>
  <c r="D41" i="92"/>
  <c r="C41" i="92"/>
  <c r="H40" i="92"/>
  <c r="E40" i="92"/>
  <c r="H39" i="92"/>
  <c r="E39" i="92"/>
  <c r="H38" i="92"/>
  <c r="E38" i="92"/>
  <c r="H35" i="92"/>
  <c r="E35" i="92"/>
  <c r="H34" i="92"/>
  <c r="E34" i="92"/>
  <c r="H33" i="92"/>
  <c r="E33" i="92"/>
  <c r="H32" i="92"/>
  <c r="E32" i="92"/>
  <c r="H31" i="92"/>
  <c r="E31" i="92"/>
  <c r="G30" i="92"/>
  <c r="F30" i="92"/>
  <c r="D30" i="92"/>
  <c r="C30" i="92"/>
  <c r="H29" i="92"/>
  <c r="E29" i="92"/>
  <c r="H28" i="92"/>
  <c r="E28" i="92"/>
  <c r="G27" i="92"/>
  <c r="F27" i="92"/>
  <c r="H27" i="92" s="1"/>
  <c r="D27" i="92"/>
  <c r="C27" i="92"/>
  <c r="H26" i="92"/>
  <c r="E26" i="92"/>
  <c r="H25" i="92"/>
  <c r="E25" i="92"/>
  <c r="G24" i="92"/>
  <c r="F24" i="92"/>
  <c r="D24" i="92"/>
  <c r="C24" i="92"/>
  <c r="H23" i="92"/>
  <c r="E23" i="92"/>
  <c r="H22" i="92"/>
  <c r="E22" i="92"/>
  <c r="H21" i="92"/>
  <c r="E21" i="92"/>
  <c r="H20" i="92"/>
  <c r="E20" i="92"/>
  <c r="G19" i="92"/>
  <c r="F19" i="92"/>
  <c r="D19" i="92"/>
  <c r="C19" i="92"/>
  <c r="H18" i="92"/>
  <c r="E18" i="92"/>
  <c r="H17" i="92"/>
  <c r="E17" i="92"/>
  <c r="H16" i="92"/>
  <c r="E16" i="92"/>
  <c r="G15" i="92"/>
  <c r="F15" i="92"/>
  <c r="D15" i="92"/>
  <c r="C15" i="92"/>
  <c r="H14" i="92"/>
  <c r="E14" i="92"/>
  <c r="H13" i="92"/>
  <c r="E13" i="92"/>
  <c r="H12" i="92"/>
  <c r="E12" i="92"/>
  <c r="H11" i="92"/>
  <c r="E11" i="92"/>
  <c r="H10" i="92"/>
  <c r="E10" i="92"/>
  <c r="H9" i="92"/>
  <c r="E9" i="92"/>
  <c r="H8" i="92"/>
  <c r="E8" i="92"/>
  <c r="G7" i="92"/>
  <c r="F7" i="92"/>
  <c r="H7" i="92" s="1"/>
  <c r="D7" i="92"/>
  <c r="C7" i="92"/>
  <c r="B2" i="92"/>
  <c r="B1" i="92"/>
  <c r="G5" i="6"/>
  <c r="L5" i="6" s="1"/>
  <c r="F5" i="6"/>
  <c r="K5" i="6" s="1"/>
  <c r="E5" i="6"/>
  <c r="J5" i="6" s="1"/>
  <c r="D5" i="6"/>
  <c r="I5" i="6" s="1"/>
  <c r="C5" i="6"/>
  <c r="B1" i="6"/>
  <c r="E17" i="94" l="1"/>
  <c r="E30" i="94"/>
  <c r="H22" i="74"/>
  <c r="E14" i="37"/>
  <c r="C10" i="98"/>
  <c r="C15" i="98" s="1"/>
  <c r="D21" i="77"/>
  <c r="H37" i="93"/>
  <c r="E8" i="94"/>
  <c r="D37" i="80"/>
  <c r="E15" i="92"/>
  <c r="H30" i="92"/>
  <c r="H41" i="92"/>
  <c r="E19" i="92"/>
  <c r="E27" i="92"/>
  <c r="J21" i="37"/>
  <c r="G21" i="37"/>
  <c r="I21" i="37"/>
  <c r="E11" i="94"/>
  <c r="H15" i="92"/>
  <c r="E24" i="92"/>
  <c r="C29" i="28"/>
  <c r="H21" i="96"/>
  <c r="H34" i="97"/>
  <c r="E30" i="92"/>
  <c r="E41" i="92"/>
  <c r="K21" i="37"/>
  <c r="C21" i="37"/>
  <c r="E38" i="94"/>
  <c r="G21" i="80"/>
  <c r="C21" i="80"/>
  <c r="E7" i="37"/>
  <c r="E21" i="37" s="1"/>
  <c r="C12" i="79" s="1"/>
  <c r="C18" i="79" s="1"/>
  <c r="C36" i="79" s="1"/>
  <c r="E21" i="80"/>
  <c r="C14" i="94"/>
  <c r="E14" i="94" s="1"/>
  <c r="F37" i="80"/>
  <c r="N7" i="37"/>
  <c r="D21" i="80"/>
  <c r="H22" i="95"/>
  <c r="N14" i="37"/>
  <c r="E37" i="80"/>
  <c r="F21" i="80"/>
  <c r="D15" i="98"/>
  <c r="G37" i="80"/>
  <c r="C68" i="69"/>
  <c r="C35" i="69"/>
  <c r="G53" i="92"/>
  <c r="G69" i="92" s="1"/>
  <c r="D53" i="92"/>
  <c r="V21" i="64"/>
  <c r="S22" i="35"/>
  <c r="C37" i="72"/>
  <c r="C5" i="71"/>
  <c r="D5" i="71"/>
  <c r="H47" i="92"/>
  <c r="E59" i="92"/>
  <c r="E5" i="71"/>
  <c r="F5" i="71"/>
  <c r="D11" i="77"/>
  <c r="D12" i="77"/>
  <c r="D19" i="77"/>
  <c r="D20" i="77"/>
  <c r="D16" i="77"/>
  <c r="D13" i="77"/>
  <c r="D7" i="77"/>
  <c r="D15" i="77"/>
  <c r="D8" i="77"/>
  <c r="D9" i="77"/>
  <c r="D17" i="77"/>
  <c r="H29" i="93"/>
  <c r="G43" i="93"/>
  <c r="G45" i="93" s="1"/>
  <c r="F43" i="93"/>
  <c r="H43" i="93" s="1"/>
  <c r="D43" i="93"/>
  <c r="D45" i="93" s="1"/>
  <c r="H6" i="93"/>
  <c r="C43" i="93"/>
  <c r="H24" i="92"/>
  <c r="G36" i="92"/>
  <c r="F36" i="92"/>
  <c r="D68" i="92"/>
  <c r="E63" i="92"/>
  <c r="D36" i="92"/>
  <c r="C36" i="92"/>
  <c r="C68" i="92"/>
  <c r="F53" i="92"/>
  <c r="C53" i="92"/>
  <c r="H19" i="92"/>
  <c r="E7" i="92"/>
  <c r="C38" i="79" l="1"/>
  <c r="D69" i="92"/>
  <c r="N21" i="37"/>
  <c r="E36" i="92"/>
  <c r="G39" i="80"/>
  <c r="H53" i="92"/>
  <c r="F69" i="92"/>
  <c r="H69" i="92" s="1"/>
  <c r="F45" i="93"/>
  <c r="H45" i="93" s="1"/>
  <c r="E43" i="93"/>
  <c r="C45" i="93"/>
  <c r="E45" i="93" s="1"/>
  <c r="H36" i="92"/>
  <c r="E68" i="92"/>
  <c r="E53" i="92"/>
  <c r="C69" i="92"/>
  <c r="E69" i="92" s="1"/>
</calcChain>
</file>

<file path=xl/sharedStrings.xml><?xml version="1.0" encoding="utf-8"?>
<sst xmlns="http://schemas.openxmlformats.org/spreadsheetml/2006/main" count="1211" uniqueCount="741">
  <si>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</si>
  <si>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</si>
  <si>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</si>
  <si>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</si>
  <si>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</si>
  <si>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</si>
  <si>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</si>
  <si>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</si>
  <si>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</si>
  <si>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</si>
  <si>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</si>
  <si>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</si>
  <si>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</si>
  <si>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</si>
  <si>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</si>
  <si>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</si>
  <si>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</si>
  <si>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</si>
  <si>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</si>
  <si>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</si>
  <si>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</si>
  <si>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</si>
  <si>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</si>
  <si>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</si>
  <si>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</si>
  <si>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</si>
  <si>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</si>
  <si>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</si>
  <si>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</si>
  <si>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</si>
  <si>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</si>
  <si>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</si>
  <si>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</si>
  <si>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</si>
  <si>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</si>
  <si>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</si>
  <si>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</si>
  <si>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</si>
  <si>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</si>
  <si>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</si>
  <si>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</si>
  <si>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</si>
  <si>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</si>
  <si>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</si>
  <si>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</si>
  <si>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</si>
  <si>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</si>
  <si>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</si>
  <si>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</si>
  <si>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</si>
  <si>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</si>
  <si>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</si>
  <si>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</si>
  <si>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</si>
  <si>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</si>
  <si>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</si>
  <si>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</si>
  <si>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</si>
  <si>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</si>
  <si>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</si>
  <si>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</si>
  <si>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</si>
  <si>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</si>
  <si>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</si>
  <si>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</si>
  <si>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</si>
  <si>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</si>
  <si>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</si>
  <si>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</si>
  <si>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</si>
  <si>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</si>
  <si>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</si>
  <si>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</si>
  <si>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</si>
  <si>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</si>
  <si>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</si>
  <si>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</si>
  <si>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</si>
  <si>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</si>
  <si>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</si>
  <si>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</si>
  <si>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</si>
  <si>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</si>
  <si>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</si>
  <si>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</si>
  <si>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</si>
  <si>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</si>
  <si>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</si>
  <si>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</si>
  <si>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</si>
  <si>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</si>
  <si>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</si>
  <si>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</si>
  <si>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</si>
  <si>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</si>
  <si>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</si>
  <si>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</si>
  <si>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</si>
  <si>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</si>
  <si>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</si>
  <si>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</si>
  <si>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</si>
  <si>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</si>
  <si>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</si>
  <si>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</si>
  <si>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</si>
  <si>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</si>
  <si>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</si>
  <si>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</si>
  <si>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</si>
  <si>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</si>
  <si>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</si>
  <si>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</si>
  <si>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</si>
  <si>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</si>
  <si>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</si>
  <si>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</si>
  <si>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</si>
  <si>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</si>
  <si>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</si>
  <si>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</si>
  <si>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</si>
  <si>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</si>
  <si>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</si>
  <si>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</si>
  <si>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</si>
  <si>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</si>
  <si>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</si>
  <si>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</si>
  <si>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</si>
  <si>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</si>
  <si>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</si>
  <si>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</si>
  <si>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</si>
  <si>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</si>
  <si>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</si>
  <si>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</si>
  <si>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</si>
  <si>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</si>
  <si>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</si>
  <si>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</si>
  <si>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</si>
  <si>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</si>
  <si>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</si>
  <si>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</si>
  <si>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</si>
  <si>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</si>
  <si>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</si>
  <si>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</si>
  <si>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</si>
  <si>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</si>
  <si>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</si>
  <si>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</si>
  <si>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</si>
  <si>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</si>
  <si>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</si>
  <si>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</si>
  <si>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</si>
  <si>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</si>
  <si>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</si>
  <si>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</si>
  <si>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</si>
  <si>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</si>
  <si>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</si>
  <si>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</si>
  <si>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</si>
  <si>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</si>
  <si>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</si>
  <si>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</si>
  <si>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</si>
  <si>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</si>
  <si>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</si>
  <si>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</si>
  <si>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</si>
  <si>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</si>
  <si>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</si>
  <si>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</si>
  <si>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</si>
  <si>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</si>
  <si>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</si>
  <si>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</si>
  <si>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</si>
  <si>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</si>
  <si>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</si>
  <si>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</si>
  <si>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</si>
  <si>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</si>
  <si>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</si>
  <si>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</si>
  <si>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</si>
  <si>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</si>
  <si>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</si>
  <si>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</si>
  <si>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</si>
  <si>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</si>
  <si>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</si>
  <si>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</si>
  <si>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</si>
  <si>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</si>
  <si>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</si>
  <si>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</si>
  <si>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</si>
  <si>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</si>
  <si>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</si>
  <si>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</si>
  <si>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</si>
  <si>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</si>
  <si>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</si>
  <si>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</si>
  <si>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</si>
  <si>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</si>
  <si>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</si>
  <si>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</si>
  <si>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</si>
  <si>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</si>
  <si>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</si>
  <si>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</si>
  <si>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</si>
  <si>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</si>
  <si>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</si>
  <si>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</si>
  <si>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</si>
  <si>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</si>
  <si>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</si>
  <si>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</si>
  <si>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</si>
  <si>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</si>
  <si>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</si>
  <si>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</si>
  <si>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</si>
  <si>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</si>
  <si>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</si>
  <si>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</si>
  <si>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</si>
  <si>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</si>
  <si>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</si>
  <si>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</si>
  <si>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</si>
  <si>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</si>
  <si>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</si>
  <si>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</si>
  <si>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</si>
  <si>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</si>
  <si>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</si>
  <si>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</si>
  <si>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</si>
  <si>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</si>
  <si>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</si>
  <si>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</si>
  <si>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</si>
  <si>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</si>
  <si>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</si>
  <si>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</si>
  <si>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</si>
  <si>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</si>
  <si>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</si>
  <si>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</si>
  <si>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</si>
  <si>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</si>
  <si>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</si>
  <si>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</si>
  <si>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</si>
  <si>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</si>
  <si>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</si>
  <si>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</si>
  <si>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</si>
  <si>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</si>
  <si>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</si>
  <si>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</si>
  <si>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</si>
  <si>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</si>
  <si>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</si>
  <si>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</si>
  <si>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</si>
  <si>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</si>
  <si>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</si>
  <si>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</si>
  <si>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</si>
  <si>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</si>
  <si>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</si>
  <si>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</si>
  <si>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</si>
  <si>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</si>
  <si>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</si>
  <si>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</si>
  <si>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</si>
  <si>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</si>
  <si>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</si>
  <si>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</si>
  <si>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</si>
  <si>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</si>
  <si>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</si>
  <si>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</si>
  <si>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</si>
  <si>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</si>
  <si>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</si>
  <si>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</si>
  <si>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</si>
  <si>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</si>
  <si>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</si>
  <si>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</si>
  <si>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</si>
  <si>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</si>
  <si>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</si>
  <si>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</si>
  <si>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</si>
  <si>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</si>
  <si>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</si>
  <si>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</si>
  <si>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</si>
  <si>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</si>
  <si>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</si>
  <si>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</si>
  <si>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</si>
  <si>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</si>
  <si>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</si>
  <si>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</si>
  <si>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</si>
  <si>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</si>
  <si>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</si>
  <si>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</si>
  <si>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</si>
  <si>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</si>
  <si>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</si>
  <si>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</si>
  <si>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</si>
  <si>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</si>
  <si>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</si>
  <si>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</si>
  <si>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</si>
  <si>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</si>
  <si>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</si>
  <si>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</si>
  <si>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</si>
  <si>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</si>
  <si>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</si>
  <si>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</si>
  <si>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</si>
  <si>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</si>
  <si>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</si>
  <si>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</si>
  <si>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</si>
  <si>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</si>
  <si>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</si>
  <si>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</si>
  <si>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</si>
  <si>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</si>
  <si>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</si>
  <si>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</si>
  <si>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</si>
  <si>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</si>
  <si>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</si>
  <si>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</si>
  <si>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</si>
  <si>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</si>
  <si>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</si>
  <si>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</si>
  <si>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</si>
  <si>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</si>
  <si>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</si>
  <si>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</si>
  <si>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</si>
  <si>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</si>
  <si>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</si>
  <si>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</si>
  <si>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</si>
  <si>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</si>
  <si>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</si>
  <si>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</si>
  <si>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</si>
  <si>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</si>
  <si>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</si>
  <si>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</si>
  <si>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</si>
  <si>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</si>
  <si>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</si>
  <si>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</si>
  <si>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</si>
  <si>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</si>
  <si>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</si>
  <si>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</si>
  <si>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</si>
  <si>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</si>
  <si>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</si>
  <si>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</si>
  <si>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</si>
  <si>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</si>
  <si>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</si>
  <si>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</si>
  <si>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</si>
  <si>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</si>
  <si>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</si>
  <si>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</si>
  <si>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</si>
  <si>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</si>
  <si>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</si>
  <si>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</si>
  <si>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</si>
  <si>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</si>
  <si>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</si>
  <si>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</si>
  <si>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</si>
  <si>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</si>
  <si>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</si>
  <si>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</si>
  <si>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</si>
  <si>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</si>
  <si>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</si>
  <si>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</si>
  <si>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</si>
  <si>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</si>
  <si>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</si>
  <si>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</si>
  <si>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</si>
  <si>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</si>
  <si>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</si>
  <si>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</si>
  <si>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</si>
  <si>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</si>
  <si>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</si>
  <si>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</si>
  <si>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</si>
  <si>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</si>
  <si>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</si>
  <si>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</si>
  <si>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</si>
  <si>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</si>
  <si>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</si>
  <si>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</si>
  <si>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</si>
  <si>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</si>
  <si>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</si>
  <si>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</si>
  <si>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</si>
  <si>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</si>
  <si>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</si>
  <si>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</si>
  <si>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</si>
  <si>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</si>
  <si>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</si>
  <si>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</si>
  <si>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</si>
  <si>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</si>
  <si>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</si>
  <si>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</si>
  <si>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</si>
  <si>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</si>
  <si>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</si>
  <si>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</si>
  <si>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</si>
  <si>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</si>
  <si>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</si>
  <si>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</si>
  <si>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</si>
  <si>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</si>
  <si>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</si>
  <si>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</si>
  <si>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</si>
  <si>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</si>
  <si>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</si>
  <si>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</si>
  <si>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</si>
  <si>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</si>
  <si>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</si>
  <si>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</si>
  <si>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</si>
  <si>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</si>
  <si>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</si>
  <si>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</si>
  <si>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</si>
  <si>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</si>
  <si>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</si>
  <si>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</si>
  <si>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</si>
  <si>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</si>
  <si>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</si>
  <si>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</si>
  <si>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</si>
  <si>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</si>
  <si>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</si>
  <si>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</si>
  <si>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</si>
  <si>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</si>
  <si>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</si>
  <si>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</si>
  <si>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</si>
  <si>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</si>
  <si>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</si>
  <si>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</si>
  <si>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</si>
  <si>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</si>
  <si>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</si>
  <si>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</si>
  <si>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</si>
  <si>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</si>
  <si>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</si>
  <si>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</si>
  <si>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</si>
  <si>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</si>
  <si>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</si>
  <si>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</si>
  <si>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</si>
  <si>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</si>
  <si>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</si>
  <si>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</si>
  <si>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</si>
  <si>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</si>
  <si>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</si>
  <si>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</si>
  <si>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</si>
  <si>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</si>
  <si>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</si>
  <si>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</si>
  <si>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</si>
  <si>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</si>
  <si>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</si>
  <si>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ზოგადი და ხარისხობრივი ინფორმაცია საცალო პროდუქტებზე</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</si>
  <si>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</si>
  <si>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</si>
  <si>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</si>
  <si>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</si>
  <si>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</si>
  <si>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</si>
  <si>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</si>
  <si>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</si>
  <si>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</si>
  <si>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</si>
  <si>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</si>
  <si>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</si>
  <si>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</si>
  <si>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</si>
  <si>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</si>
  <si>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</si>
  <si>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</si>
  <si>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</si>
  <si>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</si>
  <si>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</si>
  <si>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</si>
  <si>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</si>
  <si>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</si>
  <si>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</si>
  <si>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</si>
  <si>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</si>
  <si>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</si>
  <si>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</si>
  <si>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</si>
  <si>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</si>
  <si>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</si>
  <si>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</si>
  <si>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</si>
  <si>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</si>
  <si>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</si>
  <si>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</si>
  <si>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</si>
  <si>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</si>
  <si>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</si>
  <si>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</si>
  <si>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</si>
  <si>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</si>
  <si>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</si>
  <si>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</si>
  <si>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</si>
  <si>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</si>
  <si>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</si>
  <si>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</si>
  <si>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</si>
  <si>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</si>
  <si>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</si>
  <si>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</si>
  <si>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</si>
  <si>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</si>
  <si>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</si>
  <si>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</si>
  <si>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</si>
  <si>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</si>
  <si>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</si>
  <si>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</si>
  <si>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</si>
  <si>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</si>
  <si>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</si>
  <si>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</si>
  <si>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</si>
  <si>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</si>
  <si>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</si>
  <si>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</si>
  <si>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</si>
  <si>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</si>
  <si>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</si>
  <si>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</si>
  <si>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</si>
  <si>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</si>
  <si>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</si>
  <si>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</si>
  <si>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</si>
  <si>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</si>
  <si>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</si>
  <si>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</si>
  <si>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</si>
  <si>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</si>
  <si>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</si>
  <si>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</si>
  <si>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</si>
  <si>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</si>
  <si>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</si>
  <si>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</si>
  <si>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</si>
  <si>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</si>
  <si>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</si>
  <si>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</si>
  <si>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</si>
  <si>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</si>
  <si>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</si>
  <si>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</si>
  <si>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</si>
  <si>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</si>
  <si>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</si>
  <si>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</si>
  <si>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</si>
  <si>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</si>
  <si>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</si>
  <si>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</si>
  <si>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</si>
  <si>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</si>
  <si>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</si>
  <si>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</si>
  <si>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</si>
  <si>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</si>
  <si>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</si>
  <si>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</si>
  <si>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</si>
  <si>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</si>
  <si>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</si>
  <si>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</si>
  <si>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ნაღდი ფული, ფულადი სახსრები საქართველოს ეროვნული ბანკში და სხვა ბანკებში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</si>
  <si>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</si>
  <si>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</si>
  <si>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</si>
  <si>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</si>
  <si>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</si>
  <si>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</si>
  <si>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</si>
  <si>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</si>
  <si>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</si>
  <si>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</si>
  <si>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</si>
  <si>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</si>
  <si>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</si>
  <si>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</si>
  <si>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</si>
  <si>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</si>
  <si>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</si>
  <si>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</si>
  <si>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</si>
  <si>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</si>
  <si>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</si>
  <si>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</si>
  <si>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</si>
  <si>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</si>
  <si>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</si>
  <si>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</si>
  <si>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</si>
  <si>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</si>
  <si>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</si>
  <si>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</si>
  <si>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</si>
  <si>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</si>
  <si>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</si>
  <si>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</si>
  <si>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</si>
  <si>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</si>
  <si>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</si>
  <si>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</si>
  <si>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</si>
  <si>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</si>
  <si>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</si>
  <si>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</si>
  <si>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</si>
  <si>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</si>
  <si>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</si>
  <si>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</si>
  <si>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</si>
  <si>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</si>
  <si>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</si>
  <si>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</si>
  <si>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</si>
  <si>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</si>
  <si>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</si>
  <si>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</si>
  <si>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</si>
  <si>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</si>
  <si>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</si>
  <si>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</si>
  <si>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</si>
  <si>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</si>
  <si>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</si>
  <si>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</si>
  <si>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</si>
  <si>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</si>
  <si>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</si>
  <si>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ზაიქი მი</t>
  </si>
  <si>
    <t>არადამოუკიდებელ წევრი</t>
  </si>
  <si>
    <t>ჯანგ ძუნი</t>
  </si>
  <si>
    <t>არადამოუკიდებელი თავმჯდომარე</t>
  </si>
  <si>
    <t>ჟუ ნინგი</t>
  </si>
  <si>
    <t>ზაზა რობაქიძე</t>
  </si>
  <si>
    <t>დამოუკიდებელი წევრი</t>
  </si>
  <si>
    <t>მი მია ენხვა</t>
  </si>
  <si>
    <t>ნიკოლოზ ენუქიძე</t>
  </si>
  <si>
    <t>დავით ცაავა</t>
  </si>
  <si>
    <t>გენერალური დირექტორი</t>
  </si>
  <si>
    <t>ლევან გარდაფხაძე</t>
  </si>
  <si>
    <t xml:space="preserve">გენერალური დირექტორის მოადგილე, საცალო ბიზნესი </t>
  </si>
  <si>
    <t>დავით კაკაბაძე</t>
  </si>
  <si>
    <t>გენერალური დირექტორის მოადგილე, რისკების მართვა</t>
  </si>
  <si>
    <t>ლია ასლანიკაშვილი</t>
  </si>
  <si>
    <t xml:space="preserve">გენერალური დირექტორის მოადგილე, ფინანსები </t>
  </si>
  <si>
    <t>ხვეი ლი</t>
  </si>
  <si>
    <t>გენერალური დირექტორის მოადგილე, დაკრედიტება</t>
  </si>
  <si>
    <t>გიორგი გაბუნია</t>
  </si>
  <si>
    <t>კომერციული დირექტორი</t>
  </si>
  <si>
    <t>რატი დვალაძე</t>
  </si>
  <si>
    <t>საოპერაციო დირექტორი</t>
  </si>
  <si>
    <t>შპს "Xinjiang HuaLing Industry &amp; Trade (Group) Co"</t>
  </si>
  <si>
    <t>მი ზაიქი</t>
  </si>
  <si>
    <t>მი ენხვა</t>
  </si>
  <si>
    <t>სს "ბაზისბანკი"</t>
  </si>
  <si>
    <t>www.basisbank.ge</t>
  </si>
  <si>
    <t xml:space="preserve"> ცხრილი 9 (Capital), N17 </t>
  </si>
  <si>
    <t xml:space="preserve"> ცხრილი 9 (Capital), N38</t>
  </si>
  <si>
    <t xml:space="preserve"> ცხრილი 9 (Capital), N2 </t>
  </si>
  <si>
    <t xml:space="preserve"> ცხრილი 9 (Capital), N3</t>
  </si>
  <si>
    <t xml:space="preserve"> ცხრილი 9 (Capital), N5</t>
  </si>
  <si>
    <t xml:space="preserve"> ცხრილი 9 (Capital), N4; N8</t>
  </si>
  <si>
    <t xml:space="preserve"> ცხრილი 9 (Capital), N 5-6</t>
  </si>
  <si>
    <t>1Q-2022*</t>
  </si>
  <si>
    <t>საბალანსო ელემენტები</t>
  </si>
  <si>
    <t>*</t>
  </si>
  <si>
    <t>2022 წლის 1Q მონაცემი წარმოდგენილია ლოკალური GAAP მიხედვით.</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</si>
  <si>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 *</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</si>
  <si>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 *</t>
  </si>
  <si>
    <t xml:space="preserve"> ბალანსზე აუღიარებელი და ბალანსიდან ჩამოწერილი მისაღები პროცენტები და ჯარიმები დათვლილია Loacal GAAP-ის  მიხედვით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</si>
</sst>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s>
  <fonts count="129">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b/>
      <i/>
      <sz val="10"/>
      <color theme="1"/>
      <name val="Calibri"/>
      <family val="2"/>
      <scheme val="minor"/>
    </font>
    <font>
      <b/>
      <i/>
      <sz val="11"/>
      <color theme="1"/>
      <name val="Calibri"/>
      <family val="2"/>
      <scheme val="minor"/>
    </font>
    <font>
      <sz val="11"/>
      <color theme="1"/>
      <name val="Calibri"/>
      <family val="2"/>
      <scheme val="minor"/>
    </font>
    <font>
      <sz val="11"/>
      <color rgb="FFFF0000"/>
      <name val="Calibri"/>
      <family val="2"/>
      <scheme val="minor"/>
    </font>
    <font>
      <b/>
      <sz val="11"/>
      <name val="Calibri"/>
      <family val="2"/>
      <charset val="204"/>
      <scheme val="minor"/>
    </font>
    <font>
      <sz val="9"/>
      <color theme="1"/>
      <name val="Calibri"/>
      <family val="1"/>
      <scheme val="minor"/>
    </font>
    <font>
      <b/>
      <sz val="8"/>
      <color theme="1"/>
      <name val="Sylfaen"/>
      <family val="1"/>
    </font>
    <font>
      <b/>
      <sz val="10"/>
      <color theme="1"/>
      <name val="Calibri"/>
      <family val="2"/>
    </font>
  </fonts>
  <fills count="78">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5F5F5F"/>
        <bgColor indexed="64"/>
      </patternFill>
    </fill>
    <fill>
      <patternFill patternType="solid">
        <fgColor rgb="FFFFFFF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0" tint="-0.14996795556505021"/>
        <bgColor indexed="64"/>
      </patternFill>
    </fill>
    <fill>
      <patternFill patternType="solid">
        <fgColor theme="1" tint="0.49995422223578601"/>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theme="6" tint="-0.49995422223578601"/>
      </left>
      <right style="medium">
        <color auto="1"/>
      </right>
      <top style="thin">
        <color auto="1"/>
      </top>
      <bottom style="thin">
        <color theme="6" tint="-0.49995422223578601"/>
      </bottom>
      <diagonal/>
    </border>
    <border>
      <left style="thin">
        <color theme="6" tint="-0.49995422223578601"/>
      </left>
      <right style="medium">
        <color auto="1"/>
      </right>
      <top style="thin">
        <color theme="6" tint="-0.49995422223578601"/>
      </top>
      <bottom style="thin">
        <color theme="6" tint="-0.49995422223578601"/>
      </bottom>
      <diagonal/>
    </border>
    <border>
      <left style="thin">
        <color theme="6" tint="-0.49995422223578601"/>
      </left>
      <right style="medium">
        <color auto="1"/>
      </right>
      <top style="thin">
        <color theme="6" tint="-0.49995422223578601"/>
      </top>
      <bottom/>
      <diagonal/>
    </border>
    <border>
      <left style="thin">
        <color theme="6" tint="-0.49995422223578601"/>
      </left>
      <right style="medium">
        <color auto="1"/>
      </right>
      <top/>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theme="6" tint="-0.49995422223578601"/>
      </left>
      <right style="thin">
        <color theme="6" tint="-0.49995422223578601"/>
      </right>
      <top style="thin">
        <color theme="6" tint="-0.4999542222357860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theme="6" tint="-0.49995422223578601"/>
      </left>
      <right style="medium">
        <color auto="1"/>
      </right>
      <top style="thin">
        <color auto="1"/>
      </top>
      <bottom style="thin">
        <color auto="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theme="6" tint="-0.49995422223578601"/>
      </left>
      <right style="thin">
        <color theme="6" tint="-0.49995422223578601"/>
      </right>
      <top style="thin">
        <color auto="1"/>
      </top>
      <bottom style="thin">
        <color auto="1"/>
      </bottom>
      <diagonal/>
    </border>
    <border>
      <left style="thin">
        <color theme="6" tint="-0.49995422223578601"/>
      </left>
      <right style="thin">
        <color theme="6" tint="-0.49995422223578601"/>
      </right>
      <top style="thin">
        <color auto="1"/>
      </top>
      <bottom style="thin">
        <color theme="6" tint="-0.49995422223578601"/>
      </bottom>
      <diagonal/>
    </border>
    <border>
      <left style="thin">
        <color theme="6" tint="-0.49995422223578601"/>
      </left>
      <right style="thin">
        <color theme="6" tint="-0.49995422223578601"/>
      </right>
      <top/>
      <bottom style="thin">
        <color theme="6" tint="-0.49995422223578601"/>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theme="6" tint="-0.49995422223578601"/>
      </left>
      <right style="medium">
        <color auto="1"/>
      </right>
      <top/>
      <bottom style="thin">
        <color theme="6" tint="-0.4999542222357860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style="thin">
        <color auto="1"/>
      </right>
      <top style="thin">
        <color auto="1"/>
      </top>
      <bottom/>
      <diagonal/>
    </border>
    <border>
      <left/>
      <right/>
      <top/>
      <bottom style="thin">
        <color auto="1"/>
      </bottom>
      <diagonal/>
    </border>
    <border>
      <left style="thin">
        <color auto="1"/>
      </left>
      <right/>
      <top/>
      <bottom/>
      <diagonal/>
    </border>
    <border>
      <left/>
      <right style="medium">
        <color auto="1"/>
      </right>
      <top/>
      <bottom style="thin">
        <color auto="1"/>
      </bottom>
      <diagonal/>
    </border>
    <border>
      <left style="medium">
        <color auto="1"/>
      </left>
      <right style="thin">
        <color auto="1"/>
      </right>
      <top/>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medium">
        <color auto="1"/>
      </left>
      <right style="thin">
        <color auto="1"/>
      </right>
      <top/>
      <bottom style="medium">
        <color indexed="64"/>
      </bottom>
      <diagonal/>
    </border>
  </borders>
  <cellStyleXfs count="21415">
    <xf numFmtId="0" fontId="0" fillId="0" borderId="0"/>
    <xf numFmtId="9"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0" fontId="123"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23" fillId="0" borderId="0"/>
    <xf numFmtId="9" fontId="123" fillId="0" borderId="0" applyFont="0" applyFill="0" applyBorder="0" applyAlignment="0" applyProtection="0"/>
    <xf numFmtId="0" fontId="1" fillId="0" borderId="0"/>
    <xf numFmtId="0" fontId="1" fillId="0" borderId="0"/>
    <xf numFmtId="0" fontId="9" fillId="0" borderId="0" applyNumberFormat="0" applyFill="0" applyBorder="0">
      <protection locked="0"/>
    </xf>
    <xf numFmtId="0" fontId="23" fillId="0" borderId="0"/>
    <xf numFmtId="168" fontId="24" fillId="2" borderId="0"/>
    <xf numFmtId="169" fontId="24" fillId="2" borderId="0"/>
    <xf numFmtId="168" fontId="24" fillId="2" borderId="0"/>
    <xf numFmtId="0" fontId="25" fillId="3"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27" fillId="40"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5" fillId="35" borderId="0" applyNumberFormat="0" applyBorder="0" applyAlignment="0" applyProtection="0"/>
    <xf numFmtId="0" fontId="25" fillId="40" borderId="0" applyNumberFormat="0" applyBorder="0" applyAlignment="0" applyProtection="0"/>
    <xf numFmtId="0" fontId="27" fillId="40"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5" fillId="48"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9" borderId="0" applyNumberFormat="0" applyBorder="0" applyAlignment="0" applyProtection="0"/>
    <xf numFmtId="0" fontId="25"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1" fontId="34" fillId="0" borderId="0" applyFill="0" applyBorder="0" applyAlignment="0"/>
    <xf numFmtId="171" fontId="34"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2" fontId="34" fillId="0" borderId="0" applyFill="0" applyBorder="0" applyAlignment="0"/>
    <xf numFmtId="173" fontId="34" fillId="0" borderId="0" applyFill="0" applyBorder="0" applyAlignment="0"/>
    <xf numFmtId="174" fontId="34" fillId="0" borderId="0" applyFill="0" applyBorder="0" applyAlignment="0"/>
    <xf numFmtId="175"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8"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177" fontId="123" fillId="0" borderId="0" applyFont="0" applyFill="0" applyBorder="0" applyAlignment="0" applyProtection="0"/>
    <xf numFmtId="177"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66"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66"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25"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25"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25"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25"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25"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25"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4" fontId="1"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4" fontId="1"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4" fontId="1"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25"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65" fontId="25"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178"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8" fontId="1" fillId="0" borderId="0" applyFont="0" applyFill="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xf numFmtId="172"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xf numFmtId="14" fontId="43" fillId="0" borderId="0" applyFill="0" applyBorder="0" applyAlignment="0"/>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0" applyFont="0" applyFill="0" applyBorder="0" applyAlignment="0" applyProtection="0"/>
    <xf numFmtId="180" fontId="1" fillId="0" borderId="0" applyFont="0" applyFill="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168" fontId="1" fillId="0" borderId="0"/>
    <xf numFmtId="0" fontId="1" fillId="0" borderId="0"/>
    <xf numFmtId="168" fontId="1" fillId="0" borderId="0"/>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48" fillId="7"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1" fillId="54" borderId="6" applyNumberFormat="0" applyFont="0" applyBorder="0" applyProtection="0">
      <alignment horizontal="center" vertical="center"/>
    </xf>
    <xf numFmtId="0" fontId="51" fillId="0" borderId="7" applyNumberFormat="0" applyProtection="0"/>
    <xf numFmtId="0" fontId="51" fillId="0" borderId="7" applyNumberFormat="0" applyProtection="0"/>
    <xf numFmtId="0" fontId="51" fillId="0" borderId="7" applyNumberFormat="0" applyProtection="0"/>
    <xf numFmtId="0" fontId="51" fillId="0" borderId="8">
      <alignment horizontal="left" vertical="center"/>
    </xf>
    <xf numFmtId="0" fontId="51" fillId="0" borderId="8">
      <alignment horizontal="left" vertical="center"/>
    </xf>
    <xf numFmtId="168" fontId="51" fillId="0" borderId="8">
      <alignment horizontal="left" vertical="center"/>
    </xf>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37" fontId="55" fillId="0" borderId="0"/>
    <xf numFmtId="168" fontId="56" fillId="0" borderId="0"/>
    <xf numFmtId="0" fontId="56" fillId="0" borderId="0"/>
    <xf numFmtId="168" fontId="56" fillId="0" borderId="0"/>
    <xf numFmtId="168" fontId="51" fillId="0" borderId="0"/>
    <xf numFmtId="0" fontId="51" fillId="0" borderId="0"/>
    <xf numFmtId="168" fontId="51" fillId="0" borderId="0"/>
    <xf numFmtId="168" fontId="57" fillId="0" borderId="0"/>
    <xf numFmtId="0" fontId="57" fillId="0" borderId="0"/>
    <xf numFmtId="168" fontId="57"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0" fontId="59" fillId="62" borderId="12" applyFont="0" applyBorder="0">
      <alignment horizontal="center" wrapText="1"/>
    </xf>
    <xf numFmtId="3" fontId="1" fillId="13" borderId="6" applyFont="0" applyProtection="0">
      <alignment horizontal="right" vertical="center"/>
    </xf>
    <xf numFmtId="9" fontId="1" fillId="13" borderId="6" applyFont="0" applyProtection="0">
      <alignment horizontal="right" vertical="center"/>
    </xf>
    <xf numFmtId="0" fontId="1" fillId="13" borderId="12" applyNumberFormat="0" applyFont="0" applyBorder="0" applyProtection="0">
      <alignment horizontal="left" vertical="center"/>
    </xf>
    <xf numFmtId="168" fontId="1" fillId="0" borderId="0">
      <alignment horizontal="center"/>
    </xf>
    <xf numFmtId="0" fontId="1" fillId="0" borderId="0">
      <alignment horizontal="center"/>
    </xf>
    <xf numFmtId="168" fontId="1" fillId="0" borderId="0">
      <alignment horizontal="center"/>
    </xf>
    <xf numFmtId="0" fontId="61" fillId="0" borderId="0" applyNumberFormat="0" applyFill="0" applyBorder="0">
      <protection locked="0"/>
    </xf>
    <xf numFmtId="0" fontId="61" fillId="0" borderId="0" applyNumberFormat="0" applyFill="0" applyBorder="0">
      <protection locked="0"/>
    </xf>
    <xf numFmtId="0" fontId="61" fillId="0" borderId="0" applyNumberFormat="0" applyFill="0" applyBorder="0">
      <protection locked="0"/>
    </xf>
    <xf numFmtId="168" fontId="62" fillId="0" borderId="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3" fontId="1" fillId="64" borderId="6" applyFont="0">
      <alignment horizontal="right" vertical="center"/>
      <protection locked="0"/>
    </xf>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66" fillId="0" borderId="13"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168" fontId="1" fillId="0" borderId="0">
      <alignment horizontal="center"/>
    </xf>
    <xf numFmtId="0" fontId="1" fillId="0" borderId="0">
      <alignment horizontal="center"/>
    </xf>
    <xf numFmtId="168" fontId="1" fillId="0" borderId="0">
      <alignment horizont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1" fontId="72" fillId="0" borderId="0" applyProtection="0"/>
    <xf numFmtId="168" fontId="24" fillId="0" borderId="15"/>
    <xf numFmtId="169" fontId="24" fillId="0" borderId="15"/>
    <xf numFmtId="168" fontId="24" fillId="0" borderId="15"/>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0" fontId="123" fillId="0" borderId="0"/>
    <xf numFmtId="0" fontId="123" fillId="0" borderId="0"/>
    <xf numFmtId="0" fontId="123" fillId="0" borderId="0"/>
    <xf numFmtId="0"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0" fontId="123" fillId="0" borderId="0"/>
    <xf numFmtId="0" fontId="123" fillId="0" borderId="0"/>
    <xf numFmtId="0" fontId="123" fillId="0" borderId="0"/>
    <xf numFmtId="0"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0" fontId="123" fillId="0" borderId="0"/>
    <xf numFmtId="0" fontId="123" fillId="0" borderId="0"/>
    <xf numFmtId="0" fontId="123" fillId="0" borderId="0"/>
    <xf numFmtId="0"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23" fillId="0" borderId="0"/>
    <xf numFmtId="179" fontId="123" fillId="0" borderId="0"/>
    <xf numFmtId="179" fontId="123" fillId="0" borderId="0"/>
    <xf numFmtId="179"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 fillId="0" borderId="0"/>
    <xf numFmtId="0" fontId="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0" fontId="1"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0" fontId="1" fillId="0" borderId="0"/>
    <xf numFmtId="0" fontId="1" fillId="0" borderId="0"/>
    <xf numFmtId="0" fontId="1" fillId="0" borderId="0"/>
    <xf numFmtId="0" fontId="73" fillId="0" borderId="0"/>
    <xf numFmtId="181" fontId="1" fillId="0" borderId="0"/>
    <xf numFmtId="179" fontId="26" fillId="0" borderId="0"/>
    <xf numFmtId="0" fontId="7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74" fillId="0" borderId="0"/>
    <xf numFmtId="0" fontId="74" fillId="0" borderId="0"/>
    <xf numFmtId="0" fontId="73" fillId="0" borderId="0"/>
    <xf numFmtId="179" fontId="26" fillId="0" borderId="0"/>
    <xf numFmtId="179" fontId="1" fillId="0" borderId="0"/>
    <xf numFmtId="179" fontId="1" fillId="0" borderId="0"/>
    <xf numFmtId="0" fontId="1" fillId="0" borderId="0"/>
    <xf numFmtId="0" fontId="1" fillId="0" borderId="0"/>
    <xf numFmtId="179" fontId="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179" fontId="123" fillId="0" borderId="0"/>
    <xf numFmtId="179" fontId="123"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3" fillId="0" borderId="0"/>
    <xf numFmtId="179" fontId="123"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26" fillId="0" borderId="0"/>
    <xf numFmtId="0" fontId="1" fillId="0" borderId="0"/>
    <xf numFmtId="179" fontId="123" fillId="0" borderId="0"/>
    <xf numFmtId="179" fontId="123"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26" fillId="0" borderId="0"/>
    <xf numFmtId="0" fontId="1" fillId="0" borderId="0"/>
    <xf numFmtId="168" fontId="1" fillId="0" borderId="0"/>
    <xf numFmtId="179"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68" fontId="1" fillId="0" borderId="0"/>
    <xf numFmtId="179" fontId="123" fillId="0" borderId="0"/>
    <xf numFmtId="179" fontId="123" fillId="0" borderId="0"/>
    <xf numFmtId="179" fontId="123" fillId="0" borderId="0"/>
    <xf numFmtId="179"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62"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79" fontId="123" fillId="0" borderId="0"/>
    <xf numFmtId="179" fontId="123" fillId="0" borderId="0"/>
    <xf numFmtId="179" fontId="123" fillId="0" borderId="0"/>
    <xf numFmtId="179" fontId="123" fillId="0" borderId="0"/>
    <xf numFmtId="168" fontId="1" fillId="0" borderId="0"/>
    <xf numFmtId="179" fontId="1" fillId="0" borderId="0"/>
    <xf numFmtId="179" fontId="1" fillId="0" borderId="0"/>
    <xf numFmtId="168" fontId="1" fillId="0" borderId="0"/>
    <xf numFmtId="179" fontId="1" fillId="0" borderId="0"/>
    <xf numFmtId="179" fontId="1" fillId="0" borderId="0"/>
    <xf numFmtId="179" fontId="1" fillId="0" borderId="0"/>
    <xf numFmtId="179"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 fillId="0" borderId="0"/>
    <xf numFmtId="179" fontId="123" fillId="0" borderId="0"/>
    <xf numFmtId="179"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 fillId="0" borderId="0"/>
    <xf numFmtId="179"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68" fontId="25"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6"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 fillId="0" borderId="0"/>
    <xf numFmtId="0" fontId="1" fillId="0" borderId="0"/>
    <xf numFmtId="0" fontId="123" fillId="0" borderId="0"/>
    <xf numFmtId="0" fontId="123" fillId="0" borderId="0"/>
    <xf numFmtId="0" fontId="123" fillId="0" borderId="0"/>
    <xf numFmtId="0" fontId="123"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26"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26"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168" fontId="26" fillId="0" borderId="0"/>
    <xf numFmtId="0" fontId="26" fillId="0" borderId="0"/>
    <xf numFmtId="168" fontId="26" fillId="0" borderId="0"/>
    <xf numFmtId="0" fontId="26"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68" fontId="26" fillId="0" borderId="0"/>
    <xf numFmtId="0" fontId="26" fillId="0" borderId="0"/>
    <xf numFmtId="0" fontId="26"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26"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68" fontId="25" fillId="0" borderId="0"/>
    <xf numFmtId="179" fontId="26" fillId="0" borderId="0"/>
    <xf numFmtId="179" fontId="26" fillId="0" borderId="0"/>
    <xf numFmtId="0" fontId="1" fillId="0" borderId="0"/>
    <xf numFmtId="179" fontId="123" fillId="0" borderId="0"/>
    <xf numFmtId="179" fontId="123" fillId="0" borderId="0"/>
    <xf numFmtId="179" fontId="123" fillId="0" borderId="0"/>
    <xf numFmtId="179"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26"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26"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26"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79" fontId="1" fillId="0" borderId="0"/>
    <xf numFmtId="0" fontId="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0" fontId="26"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0" fontId="1"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23" fillId="0" borderId="0"/>
    <xf numFmtId="0" fontId="26" fillId="0" borderId="0"/>
    <xf numFmtId="0" fontId="1" fillId="0" borderId="0"/>
    <xf numFmtId="0" fontId="25" fillId="0" borderId="0"/>
    <xf numFmtId="168" fontId="23" fillId="0" borderId="0"/>
    <xf numFmtId="0" fontId="1" fillId="0" borderId="0"/>
    <xf numFmtId="0" fontId="123" fillId="0" borderId="0"/>
    <xf numFmtId="0" fontId="123" fillId="0" borderId="0"/>
    <xf numFmtId="179" fontId="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5"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26" fillId="0" borderId="0"/>
    <xf numFmtId="0" fontId="26" fillId="0" borderId="0"/>
    <xf numFmtId="168" fontId="23" fillId="0" borderId="0"/>
    <xf numFmtId="0" fontId="62" fillId="0" borderId="0"/>
    <xf numFmtId="0" fontId="1" fillId="0" borderId="0"/>
    <xf numFmtId="168" fontId="23" fillId="0" borderId="0"/>
    <xf numFmtId="0" fontId="123"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23" fillId="0" borderId="0"/>
    <xf numFmtId="168" fontId="23" fillId="0" borderId="0"/>
    <xf numFmtId="0" fontId="123" fillId="0" borderId="0"/>
    <xf numFmtId="179" fontId="26" fillId="0" borderId="0"/>
    <xf numFmtId="179" fontId="26" fillId="0" borderId="0"/>
    <xf numFmtId="179" fontId="1" fillId="0" borderId="0"/>
    <xf numFmtId="0" fontId="1" fillId="0" borderId="0"/>
    <xf numFmtId="179" fontId="1" fillId="0" borderId="0"/>
    <xf numFmtId="0" fontId="1" fillId="0" borderId="0"/>
    <xf numFmtId="179"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6" fillId="0" borderId="0"/>
    <xf numFmtId="168" fontId="23" fillId="0" borderId="0"/>
    <xf numFmtId="168" fontId="23" fillId="0" borderId="0"/>
    <xf numFmtId="0" fontId="123" fillId="0" borderId="0"/>
    <xf numFmtId="179" fontId="26" fillId="0" borderId="0"/>
    <xf numFmtId="179" fontId="2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6" fillId="0" borderId="0"/>
    <xf numFmtId="179" fontId="26"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179" fontId="26" fillId="0" borderId="0"/>
    <xf numFmtId="0" fontId="7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73" fillId="0" borderId="0"/>
    <xf numFmtId="179" fontId="1"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0" fontId="1"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179" fontId="123" fillId="0" borderId="0"/>
    <xf numFmtId="179" fontId="123" fillId="0" borderId="0"/>
    <xf numFmtId="179" fontId="123" fillId="0" borderId="0"/>
    <xf numFmtId="179" fontId="123" fillId="0" borderId="0"/>
    <xf numFmtId="0" fontId="1" fillId="0" borderId="0"/>
    <xf numFmtId="0" fontId="1" fillId="0" borderId="0"/>
    <xf numFmtId="179" fontId="123" fillId="0" borderId="0"/>
    <xf numFmtId="179" fontId="123" fillId="0" borderId="0"/>
    <xf numFmtId="179" fontId="123" fillId="0" borderId="0"/>
    <xf numFmtId="179"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24" fillId="0" borderId="0"/>
    <xf numFmtId="0" fontId="24" fillId="0" borderId="0"/>
    <xf numFmtId="0" fontId="24" fillId="0" borderId="0"/>
    <xf numFmtId="0" fontId="24" fillId="0" borderId="0"/>
    <xf numFmtId="179" fontId="1" fillId="0" borderId="0"/>
    <xf numFmtId="0" fontId="24" fillId="0" borderId="0"/>
    <xf numFmtId="179" fontId="24" fillId="0" borderId="0"/>
    <xf numFmtId="0" fontId="24" fillId="0" borderId="0"/>
    <xf numFmtId="0" fontId="1" fillId="0" borderId="0"/>
    <xf numFmtId="0" fontId="24"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179" fontId="24" fillId="0" borderId="0"/>
    <xf numFmtId="179" fontId="1"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7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 fillId="0" borderId="0"/>
    <xf numFmtId="0" fontId="123" fillId="0" borderId="0"/>
    <xf numFmtId="0" fontId="1" fillId="0" borderId="0"/>
    <xf numFmtId="0" fontId="1" fillId="0" borderId="0"/>
    <xf numFmtId="0" fontId="1" fillId="0" borderId="0"/>
    <xf numFmtId="0" fontId="1" fillId="0" borderId="0"/>
    <xf numFmtId="0" fontId="1" fillId="0" borderId="0"/>
    <xf numFmtId="0" fontId="123" fillId="0" borderId="0"/>
    <xf numFmtId="0" fontId="1" fillId="0" borderId="0"/>
    <xf numFmtId="0" fontId="24" fillId="0" borderId="0"/>
    <xf numFmtId="0" fontId="24" fillId="0" borderId="0"/>
    <xf numFmtId="168" fontId="24" fillId="0" borderId="0"/>
    <xf numFmtId="0" fontId="73" fillId="0" borderId="0"/>
    <xf numFmtId="168"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 fillId="0" borderId="0"/>
    <xf numFmtId="0" fontId="73" fillId="0" borderId="0"/>
    <xf numFmtId="0" fontId="1" fillId="0" borderId="0"/>
    <xf numFmtId="0" fontId="73" fillId="0" borderId="0"/>
    <xf numFmtId="168" fontId="1" fillId="0" borderId="0"/>
    <xf numFmtId="0" fontId="73" fillId="0" borderId="0"/>
    <xf numFmtId="168" fontId="1" fillId="0" borderId="0"/>
    <xf numFmtId="0" fontId="7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179" fontId="1"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179" fontId="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23" fillId="0" borderId="0"/>
    <xf numFmtId="179" fontId="24"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24" fillId="0" borderId="0"/>
    <xf numFmtId="179" fontId="24" fillId="0" borderId="0"/>
    <xf numFmtId="179" fontId="24" fillId="0" borderId="0"/>
    <xf numFmtId="179"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179" fontId="123" fillId="0" borderId="0"/>
    <xf numFmtId="179" fontId="123" fillId="0" borderId="0"/>
    <xf numFmtId="179" fontId="123" fillId="0" borderId="0"/>
    <xf numFmtId="179" fontId="123" fillId="0" borderId="0"/>
    <xf numFmtId="179" fontId="1" fillId="0" borderId="0"/>
    <xf numFmtId="179" fontId="1" fillId="0" borderId="0"/>
    <xf numFmtId="179" fontId="1" fillId="0" borderId="0"/>
    <xf numFmtId="179" fontId="1" fillId="0" borderId="0"/>
    <xf numFmtId="168" fontId="1"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179" fontId="123" fillId="0" borderId="0"/>
    <xf numFmtId="179" fontId="123" fillId="0" borderId="0"/>
    <xf numFmtId="179"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168" fontId="41" fillId="0" borderId="0"/>
    <xf numFmtId="0" fontId="1" fillId="0" borderId="0"/>
    <xf numFmtId="0" fontId="73" fillId="0" borderId="0"/>
    <xf numFmtId="168" fontId="4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7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9" fontId="123" fillId="0" borderId="0"/>
    <xf numFmtId="0" fontId="1"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79" fontId="1"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169"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5"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7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179" fontId="123" fillId="0" borderId="0"/>
    <xf numFmtId="179" fontId="123" fillId="0" borderId="0"/>
    <xf numFmtId="179" fontId="123" fillId="0" borderId="0"/>
    <xf numFmtId="179" fontId="123" fillId="0" borderId="0"/>
    <xf numFmtId="0" fontId="1"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73" fillId="0" borderId="0"/>
    <xf numFmtId="0" fontId="1" fillId="0" borderId="0"/>
    <xf numFmtId="0" fontId="7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79" fontId="123" fillId="0" borderId="0"/>
    <xf numFmtId="179" fontId="123" fillId="0" borderId="0"/>
    <xf numFmtId="179" fontId="123" fillId="0" borderId="0"/>
    <xf numFmtId="179"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168" fontId="12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79" fontId="1" fillId="0" borderId="0"/>
    <xf numFmtId="0" fontId="1"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168" fontId="1"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69"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168" fontId="1" fillId="0" borderId="0"/>
    <xf numFmtId="0" fontId="7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179" fontId="123" fillId="0" borderId="0"/>
    <xf numFmtId="0" fontId="1" fillId="0" borderId="0"/>
    <xf numFmtId="0" fontId="1" fillId="0" borderId="0"/>
    <xf numFmtId="179" fontId="123" fillId="0" borderId="0"/>
    <xf numFmtId="179" fontId="123" fillId="0" borderId="0"/>
    <xf numFmtId="179" fontId="123" fillId="0" borderId="0"/>
    <xf numFmtId="179" fontId="123" fillId="0" borderId="0"/>
    <xf numFmtId="0" fontId="123" fillId="0" borderId="0"/>
    <xf numFmtId="0" fontId="123" fillId="0" borderId="0"/>
    <xf numFmtId="0" fontId="123" fillId="0" borderId="0"/>
    <xf numFmtId="0"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0" fontId="123" fillId="0" borderId="0"/>
    <xf numFmtId="0" fontId="123" fillId="0" borderId="0"/>
    <xf numFmtId="0" fontId="123" fillId="0" borderId="0"/>
    <xf numFmtId="0"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181"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68" fontId="76" fillId="0" borderId="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9"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168" fontId="1" fillId="0" borderId="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83" fontId="1" fillId="0" borderId="0" applyFont="0" applyFill="0" applyBorder="0" applyAlignment="0" applyProtection="0"/>
    <xf numFmtId="184" fontId="1" fillId="0" borderId="0" applyFont="0" applyFill="0" applyBorder="0" applyAlignment="0" applyProtection="0"/>
    <xf numFmtId="185" fontId="77" fillId="0" borderId="0">
      <alignment horizontal="left"/>
    </xf>
    <xf numFmtId="0" fontId="1" fillId="0" borderId="0"/>
    <xf numFmtId="0" fontId="1" fillId="0" borderId="0"/>
    <xf numFmtId="168" fontId="1" fillId="0" borderId="0"/>
    <xf numFmtId="3" fontId="1" fillId="7" borderId="6" applyFont="0">
      <alignment horizontal="right" vertical="center"/>
      <protection locked="0"/>
    </xf>
    <xf numFmtId="168" fontId="78" fillId="0" borderId="0"/>
    <xf numFmtId="0" fontId="78" fillId="0" borderId="0"/>
    <xf numFmtId="168" fontId="78" fillId="0" borderId="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23" fillId="0" borderId="0"/>
    <xf numFmtId="175" fontId="34" fillId="0" borderId="0" applyFont="0" applyFill="0" applyBorder="0" applyAlignment="0" applyProtection="0"/>
    <xf numFmtId="186" fontId="3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xf numFmtId="0" fontId="1" fillId="0" borderId="0"/>
    <xf numFmtId="168" fontId="1" fillId="0" borderId="0"/>
    <xf numFmtId="0" fontId="62" fillId="0" borderId="6" applyNumberFormat="0">
      <alignment horizontal="center" vertical="top" wrapText="1"/>
    </xf>
    <xf numFmtId="0" fontId="83" fillId="0" borderId="0" applyNumberFormat="0" applyFill="0" applyBorder="0" applyAlignment="0" applyProtection="0"/>
    <xf numFmtId="3" fontId="1" fillId="62" borderId="6" applyFont="0">
      <alignment horizontal="right" vertical="center"/>
    </xf>
    <xf numFmtId="187" fontId="1" fillId="62" borderId="6" applyFont="0">
      <alignment horizontal="right" vertical="center"/>
    </xf>
    <xf numFmtId="0" fontId="84" fillId="0" borderId="0"/>
    <xf numFmtId="0" fontId="23" fillId="0" borderId="0"/>
    <xf numFmtId="0" fontId="23" fillId="0" borderId="0"/>
    <xf numFmtId="0" fontId="23" fillId="0" borderId="0"/>
    <xf numFmtId="168" fontId="23" fillId="0" borderId="0"/>
    <xf numFmtId="168" fontId="2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49" fontId="43" fillId="0" borderId="0" applyFill="0" applyBorder="0" applyAlignment="0"/>
    <xf numFmtId="188" fontId="34" fillId="0" borderId="0" applyFill="0" applyBorder="0" applyAlignment="0"/>
    <xf numFmtId="189" fontId="34" fillId="0" borderId="0" applyFill="0" applyBorder="0" applyAlignment="0"/>
    <xf numFmtId="0" fontId="86" fillId="0" borderId="0">
      <alignment horizontal="center" vertical="top"/>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23" fillId="0" borderId="23"/>
    <xf numFmtId="185" fontId="77" fillId="0" borderId="0">
      <alignment horizontal="left"/>
    </xf>
    <xf numFmtId="0" fontId="1" fillId="0" borderId="0"/>
    <xf numFmtId="0" fontId="1" fillId="0" borderId="0"/>
    <xf numFmtId="168" fontId="1" fillId="0" borderId="0"/>
    <xf numFmtId="168" fontId="1" fillId="0" borderId="0">
      <alignment horizontal="center" textRotation="90"/>
    </xf>
    <xf numFmtId="0" fontId="1" fillId="0" borderId="0">
      <alignment horizontal="center" textRotation="90"/>
    </xf>
    <xf numFmtId="168" fontId="1" fillId="0" borderId="0">
      <alignment horizontal="center" textRotation="90"/>
    </xf>
    <xf numFmtId="190" fontId="24" fillId="0" borderId="0" applyFont="0" applyFill="0" applyBorder="0" applyAlignment="0" applyProtection="0"/>
    <xf numFmtId="191" fontId="1" fillId="0" borderId="0" applyFon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1" fontId="91" fillId="0" borderId="0" applyFill="0" applyProtection="0">
      <alignment horizontal="right"/>
    </xf>
    <xf numFmtId="42" fontId="92" fillId="0" borderId="0" applyFont="0" applyFill="0" applyBorder="0" applyAlignment="0" applyProtection="0"/>
    <xf numFmtId="44" fontId="92" fillId="0" borderId="0" applyFont="0" applyFill="0" applyBorder="0" applyAlignment="0" applyProtection="0"/>
    <xf numFmtId="0" fontId="62" fillId="0" borderId="0"/>
    <xf numFmtId="0" fontId="93" fillId="0" borderId="0"/>
    <xf numFmtId="38" fontId="24" fillId="0" borderId="0" applyFont="0" applyFill="0" applyBorder="0" applyAlignment="0" applyProtection="0"/>
    <xf numFmtId="40" fontId="24" fillId="0" borderId="0" applyFont="0" applyFill="0" applyBorder="0" applyAlignment="0" applyProtection="0"/>
    <xf numFmtId="41" fontId="92" fillId="0" borderId="0" applyFont="0" applyFill="0" applyBorder="0" applyAlignment="0" applyProtection="0"/>
    <xf numFmtId="43" fontId="92" fillId="0" borderId="0" applyFont="0" applyFill="0" applyBorder="0" applyAlignment="0" applyProtection="0"/>
    <xf numFmtId="0" fontId="1" fillId="0" borderId="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187" fontId="1" fillId="62" borderId="6" applyFont="0">
      <alignment horizontal="right" vertical="center"/>
    </xf>
    <xf numFmtId="3" fontId="1" fillId="62" borderId="6" applyFont="0">
      <alignment horizontal="right" vertical="center"/>
    </xf>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3" fontId="1" fillId="7" borderId="6" applyFont="0">
      <alignment horizontal="right" vertical="center"/>
      <protection locked="0"/>
    </xf>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3" fontId="1" fillId="64" borderId="6" applyFont="0">
      <alignment horizontal="right" vertical="center"/>
      <protection locked="0"/>
    </xf>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1" fillId="13" borderId="12" applyNumberFormat="0" applyFont="0" applyBorder="0" applyProtection="0">
      <alignment horizontal="left" vertical="center"/>
    </xf>
    <xf numFmtId="9" fontId="1" fillId="13" borderId="6" applyFont="0" applyProtection="0">
      <alignment horizontal="right" vertical="center"/>
    </xf>
    <xf numFmtId="3" fontId="1" fillId="13" borderId="6" applyFont="0" applyProtection="0">
      <alignment horizontal="right" vertical="center"/>
    </xf>
    <xf numFmtId="0" fontId="59" fillId="62" borderId="12" applyFont="0" applyBorder="0">
      <alignment horizontal="center" wrapText="1"/>
    </xf>
    <xf numFmtId="168" fontId="51" fillId="0" borderId="8">
      <alignment horizontal="left" vertical="center"/>
    </xf>
    <xf numFmtId="0" fontId="51" fillId="0" borderId="8">
      <alignment horizontal="left" vertical="center"/>
    </xf>
    <xf numFmtId="0" fontId="51" fillId="0" borderId="8">
      <alignment horizontal="left" vertical="center"/>
    </xf>
    <xf numFmtId="0" fontId="1" fillId="54" borderId="6" applyNumberFormat="0" applyFont="0" applyBorder="0" applyProtection="0">
      <alignment horizontal="center" vertical="center"/>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123" fillId="0" borderId="0"/>
    <xf numFmtId="169" fontId="24" fillId="2" borderId="0"/>
    <xf numFmtId="0" fontId="1" fillId="0" borderId="0">
      <alignment vertical="center"/>
    </xf>
    <xf numFmtId="166" fontId="123" fillId="0" borderId="0" applyFont="0" applyFill="0" applyBorder="0" applyAlignment="0" applyProtection="0"/>
    <xf numFmtId="0" fontId="1" fillId="0" borderId="0"/>
  </cellStyleXfs>
  <cellXfs count="887">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2" fillId="0" borderId="0" xfId="0" applyNumberFormat="1" applyFont="1" applyFill="1" applyBorder="1" applyAlignment="1">
      <alignment horizontal="center"/>
    </xf>
    <xf numFmtId="167" fontId="0" fillId="0" borderId="0" xfId="0" applyNumberFormat="1" applyBorder="1" applyAlignment="1">
      <alignment horizontal="center"/>
    </xf>
    <xf numFmtId="167" fontId="4" fillId="0" borderId="0" xfId="0" applyNumberFormat="1" applyFont="1" applyBorder="1" applyAlignment="1">
      <alignment horizontal="center"/>
    </xf>
    <xf numFmtId="0" fontId="3" fillId="0" borderId="6" xfId="0" applyFont="1" applyBorder="1"/>
    <xf numFmtId="0" fontId="7" fillId="0" borderId="24"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5" xfId="0" applyFont="1" applyBorder="1" applyAlignment="1">
      <alignment vertical="center"/>
    </xf>
    <xf numFmtId="0" fontId="6" fillId="0" borderId="0" xfId="0" applyFont="1"/>
    <xf numFmtId="0" fontId="7" fillId="0" borderId="0" xfId="12"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2" applyFont="1" applyFill="1" applyBorder="1" applyAlignment="1" applyProtection="1"/>
    <xf numFmtId="0" fontId="3" fillId="0" borderId="16"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2" applyFont="1" applyFill="1" applyBorder="1" applyAlignment="1" applyProtection="1"/>
    <xf numFmtId="0" fontId="7" fillId="0" borderId="12" xfId="0" applyFont="1" applyBorder="1" applyAlignment="1">
      <alignment wrapText="1"/>
    </xf>
    <xf numFmtId="0" fontId="7" fillId="0" borderId="27" xfId="0" applyFont="1" applyBorder="1" applyAlignment="1">
      <alignment wrapText="1"/>
    </xf>
    <xf numFmtId="0" fontId="6" fillId="0" borderId="0" xfId="0" applyFont="1" applyBorder="1"/>
    <xf numFmtId="0" fontId="5" fillId="0" borderId="0" xfId="0" applyFont="1" applyAlignment="1">
      <alignment horizontal="center"/>
    </xf>
    <xf numFmtId="0" fontId="8" fillId="0" borderId="0" xfId="0" applyFont="1" applyFill="1" applyBorder="1" applyAlignment="1">
      <alignment horizontal="center" wrapText="1"/>
    </xf>
    <xf numFmtId="0" fontId="11" fillId="0" borderId="12" xfId="0" applyFont="1" applyBorder="1" applyAlignment="1">
      <alignment wrapText="1"/>
    </xf>
    <xf numFmtId="0" fontId="3" fillId="0" borderId="27" xfId="0" applyFont="1" applyBorder="1" applyAlignment="1"/>
    <xf numFmtId="0" fontId="11" fillId="0" borderId="28" xfId="0" applyFont="1" applyBorder="1" applyAlignment="1">
      <alignment wrapText="1"/>
    </xf>
    <xf numFmtId="0" fontId="21" fillId="0" borderId="0" xfId="0" applyFont="1" applyAlignment="1">
      <alignment horizontal="center" vertical="center"/>
    </xf>
    <xf numFmtId="0" fontId="2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1" fillId="0" borderId="0" xfId="0" applyFont="1"/>
    <xf numFmtId="0" fontId="7" fillId="0" borderId="29" xfId="0" applyFont="1" applyBorder="1"/>
    <xf numFmtId="0" fontId="3" fillId="0" borderId="0" xfId="0" applyFont="1" applyBorder="1" applyAlignment="1">
      <alignment horizontal="center" vertical="center" wrapText="1"/>
    </xf>
    <xf numFmtId="0" fontId="6" fillId="69" borderId="6" xfId="14" applyFont="1" applyFill="1" applyBorder="1" applyAlignment="1" applyProtection="1">
      <alignment vertical="center" wrapText="1"/>
      <protection locked="0"/>
    </xf>
    <xf numFmtId="0" fontId="6" fillId="69" borderId="6" xfId="14" applyFont="1" applyFill="1" applyBorder="1" applyAlignment="1" applyProtection="1">
      <alignment horizontal="left" vertical="center" wrapText="1"/>
      <protection locked="0"/>
    </xf>
    <xf numFmtId="0" fontId="6" fillId="69" borderId="6" xfId="10" applyFont="1" applyFill="1" applyBorder="1" applyAlignment="1" applyProtection="1">
      <alignment horizontal="left" vertical="center" wrapText="1"/>
      <protection locked="0"/>
    </xf>
    <xf numFmtId="0" fontId="6" fillId="0" borderId="6" xfId="14" applyFont="1" applyBorder="1" applyAlignment="1" applyProtection="1">
      <alignment horizontal="left" vertical="center" wrapText="1"/>
      <protection locked="0"/>
    </xf>
    <xf numFmtId="0" fontId="6" fillId="0" borderId="6" xfId="14" applyFont="1" applyFill="1" applyBorder="1" applyAlignment="1" applyProtection="1">
      <alignment horizontal="left" vertical="center" wrapText="1"/>
      <protection locked="0"/>
    </xf>
    <xf numFmtId="0" fontId="13" fillId="69" borderId="6" xfId="14" applyFont="1" applyFill="1" applyBorder="1" applyAlignment="1" applyProtection="1">
      <alignment vertical="center" wrapText="1"/>
      <protection locked="0"/>
    </xf>
    <xf numFmtId="0" fontId="6" fillId="69" borderId="16" xfId="14" applyFont="1" applyFill="1" applyBorder="1" applyAlignment="1" applyProtection="1">
      <alignment vertical="center" wrapText="1"/>
      <protection locked="0"/>
    </xf>
    <xf numFmtId="0" fontId="6" fillId="69" borderId="30" xfId="14" applyFont="1" applyFill="1" applyBorder="1" applyAlignment="1" applyProtection="1">
      <alignment vertical="center" wrapText="1"/>
      <protection locked="0"/>
    </xf>
    <xf numFmtId="0" fontId="6" fillId="69" borderId="16" xfId="14" applyFont="1" applyFill="1" applyBorder="1" applyAlignment="1" applyProtection="1">
      <alignment horizontal="left" vertical="center" wrapText="1"/>
      <protection locked="0"/>
    </xf>
    <xf numFmtId="0" fontId="5" fillId="70" borderId="6" xfId="0" applyFont="1" applyFill="1" applyBorder="1" applyAlignment="1">
      <alignment horizontal="left" vertical="top" wrapText="1"/>
    </xf>
    <xf numFmtId="1" fontId="13" fillId="70" borderId="6" xfId="4" applyNumberFormat="1" applyFont="1" applyFill="1" applyBorder="1" applyAlignment="1" applyProtection="1">
      <alignment horizontal="left" vertical="top" wrapText="1"/>
    </xf>
    <xf numFmtId="0" fontId="13" fillId="70" borderId="6" xfId="14" applyFont="1" applyFill="1" applyBorder="1" applyAlignment="1" applyProtection="1">
      <alignment vertical="center" wrapText="1"/>
      <protection locked="0"/>
    </xf>
    <xf numFmtId="0" fontId="3" fillId="0" borderId="25" xfId="0" applyFont="1" applyBorder="1"/>
    <xf numFmtId="0" fontId="21" fillId="0" borderId="6" xfId="0" applyFont="1" applyBorder="1"/>
    <xf numFmtId="0" fontId="20" fillId="0" borderId="0" xfId="0" applyFont="1"/>
    <xf numFmtId="0" fontId="6" fillId="0" borderId="6" xfId="14"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6" fillId="69" borderId="6" xfId="3" applyNumberFormat="1" applyFont="1" applyFill="1" applyBorder="1" applyAlignment="1" applyProtection="1">
      <alignment horizontal="center" vertical="center" wrapText="1"/>
      <protection locked="0"/>
    </xf>
    <xf numFmtId="164" fontId="6" fillId="69" borderId="25" xfId="3" applyNumberFormat="1" applyFont="1" applyFill="1" applyBorder="1" applyAlignment="1" applyProtection="1">
      <alignment horizontal="center" vertical="center" wrapText="1"/>
      <protection locked="0"/>
    </xf>
    <xf numFmtId="164" fontId="6" fillId="69" borderId="31" xfId="3" applyNumberFormat="1" applyFont="1" applyFill="1" applyBorder="1" applyAlignment="1" applyProtection="1">
      <alignment horizontal="center" vertical="center" wrapText="1"/>
      <protection locked="0"/>
    </xf>
    <xf numFmtId="0" fontId="3" fillId="0" borderId="24" xfId="0" applyFont="1" applyBorder="1"/>
    <xf numFmtId="0" fontId="3" fillId="0" borderId="32" xfId="0" applyFont="1" applyBorder="1"/>
    <xf numFmtId="0" fontId="6" fillId="69" borderId="26" xfId="10" applyFont="1" applyFill="1" applyBorder="1" applyAlignment="1" applyProtection="1">
      <alignment horizontal="left" vertical="center"/>
      <protection locked="0"/>
    </xf>
    <xf numFmtId="0" fontId="13" fillId="69" borderId="33" xfId="17" applyFont="1" applyFill="1" applyBorder="1" applyAlignment="1" applyProtection="1">
      <protection locked="0"/>
    </xf>
    <xf numFmtId="0" fontId="3" fillId="0" borderId="0" xfId="0" applyFont="1" applyFill="1" applyBorder="1" applyAlignment="1">
      <alignment wrapText="1"/>
    </xf>
    <xf numFmtId="0" fontId="7" fillId="69" borderId="6" xfId="7" applyFont="1" applyFill="1" applyBorder="1" applyProtection="1">
      <protection locked="0"/>
    </xf>
    <xf numFmtId="0" fontId="7" fillId="0" borderId="6" xfId="14" applyFont="1" applyFill="1" applyBorder="1" applyAlignment="1" applyProtection="1">
      <alignment horizontal="center" vertical="center" wrapText="1"/>
      <protection locked="0"/>
    </xf>
    <xf numFmtId="0" fontId="7" fillId="69" borderId="6" xfId="14" applyFont="1" applyFill="1" applyBorder="1" applyAlignment="1" applyProtection="1">
      <alignment horizontal="center" vertical="center" wrapText="1"/>
      <protection locked="0"/>
    </xf>
    <xf numFmtId="3" fontId="7" fillId="69" borderId="6" xfId="3" applyNumberFormat="1" applyFont="1" applyFill="1" applyBorder="1" applyAlignment="1" applyProtection="1">
      <alignment horizontal="center" vertical="center" wrapText="1"/>
      <protection locked="0"/>
    </xf>
    <xf numFmtId="9" fontId="7" fillId="69" borderId="6" xfId="16" applyNumberFormat="1" applyFont="1" applyFill="1" applyBorder="1" applyAlignment="1" applyProtection="1">
      <alignment horizontal="center" vertical="center"/>
      <protection locked="0"/>
    </xf>
    <xf numFmtId="0" fontId="8" fillId="69" borderId="6" xfId="14" applyFont="1" applyFill="1" applyBorder="1" applyAlignment="1" applyProtection="1">
      <alignment wrapText="1"/>
      <protection locked="0"/>
    </xf>
    <xf numFmtId="0" fontId="7" fillId="69" borderId="6" xfId="14" applyFont="1" applyFill="1" applyBorder="1" applyAlignment="1" applyProtection="1">
      <alignment horizontal="left" vertical="center" wrapText="1"/>
      <protection locked="0"/>
    </xf>
    <xf numFmtId="165" fontId="7" fillId="69" borderId="6" xfId="9" applyNumberFormat="1" applyFont="1" applyFill="1" applyBorder="1" applyAlignment="1" applyProtection="1">
      <alignment horizontal="right" wrapText="1"/>
      <protection locked="0"/>
    </xf>
    <xf numFmtId="0" fontId="7" fillId="0" borderId="6" xfId="14" applyFont="1" applyFill="1" applyBorder="1" applyAlignment="1" applyProtection="1">
      <alignment horizontal="left" vertical="center" wrapText="1"/>
      <protection locked="0"/>
    </xf>
    <xf numFmtId="165" fontId="7" fillId="71" borderId="6" xfId="9" applyNumberFormat="1" applyFont="1" applyFill="1" applyBorder="1" applyAlignment="1" applyProtection="1">
      <alignment horizontal="right" wrapText="1"/>
      <protection locked="0"/>
    </xf>
    <xf numFmtId="0" fontId="8" fillId="0" borderId="6" xfId="14" applyFont="1" applyFill="1" applyBorder="1" applyAlignment="1" applyProtection="1">
      <alignment wrapText="1"/>
      <protection locked="0"/>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6" fillId="0" borderId="0" xfId="12" applyFont="1" applyFill="1" applyBorder="1" applyAlignment="1" applyProtection="1">
      <alignment vertical="center"/>
    </xf>
    <xf numFmtId="0" fontId="3" fillId="0" borderId="25" xfId="0" applyFont="1" applyBorder="1" applyAlignment="1">
      <alignment vertical="center"/>
    </xf>
    <xf numFmtId="0" fontId="7" fillId="72" borderId="26" xfId="0" applyFont="1" applyFill="1" applyBorder="1" applyAlignment="1">
      <alignment horizontal="right" vertical="center"/>
    </xf>
    <xf numFmtId="0" fontId="3" fillId="0" borderId="35" xfId="0" applyFont="1" applyBorder="1"/>
    <xf numFmtId="0" fontId="18" fillId="0" borderId="26" xfId="0" applyFont="1" applyBorder="1" applyAlignment="1">
      <alignment horizontal="center" vertical="center" wrapText="1"/>
    </xf>
    <xf numFmtId="0" fontId="3" fillId="0" borderId="36" xfId="0" applyFont="1" applyBorder="1"/>
    <xf numFmtId="0" fontId="6" fillId="0" borderId="24" xfId="10" applyFont="1" applyFill="1" applyBorder="1" applyAlignment="1" applyProtection="1">
      <alignment horizontal="center" vertical="center"/>
      <protection locked="0"/>
    </xf>
    <xf numFmtId="0" fontId="13" fillId="69" borderId="37" xfId="10" applyFont="1" applyFill="1" applyBorder="1" applyAlignment="1" applyProtection="1">
      <alignment horizontal="center" vertical="center" wrapText="1"/>
      <protection locked="0"/>
    </xf>
    <xf numFmtId="164" fontId="6" fillId="69" borderId="32" xfId="4" applyNumberFormat="1" applyFont="1" applyFill="1" applyBorder="1" applyAlignment="1" applyProtection="1">
      <alignment horizontal="center" vertical="center"/>
      <protection locked="0"/>
    </xf>
    <xf numFmtId="0" fontId="6" fillId="0" borderId="25" xfId="10" applyFont="1" applyFill="1" applyBorder="1" applyAlignment="1" applyProtection="1">
      <alignment horizontal="center" vertical="center"/>
      <protection locked="0"/>
    </xf>
    <xf numFmtId="0" fontId="6" fillId="0" borderId="0" xfId="14" applyFont="1" applyBorder="1" applyAlignment="1" applyProtection="1">
      <alignment wrapText="1"/>
      <protection locked="0"/>
    </xf>
    <xf numFmtId="0" fontId="6" fillId="0" borderId="25" xfId="10" applyFont="1" applyFill="1" applyBorder="1" applyAlignment="1" applyProtection="1">
      <alignment horizontal="center" vertical="center" wrapText="1"/>
      <protection locked="0"/>
    </xf>
    <xf numFmtId="0" fontId="13" fillId="70" borderId="38" xfId="14" applyFont="1" applyFill="1" applyBorder="1" applyAlignment="1" applyProtection="1">
      <alignment vertical="center" wrapText="1"/>
      <protection locked="0"/>
    </xf>
    <xf numFmtId="167" fontId="21" fillId="0" borderId="39" xfId="0" applyNumberFormat="1" applyFont="1" applyBorder="1" applyAlignment="1">
      <alignment horizontal="center"/>
    </xf>
    <xf numFmtId="167" fontId="21" fillId="0" borderId="40" xfId="0" applyNumberFormat="1" applyFont="1" applyBorder="1" applyAlignment="1">
      <alignment horizontal="center"/>
    </xf>
    <xf numFmtId="167" fontId="17" fillId="0" borderId="40" xfId="0" applyNumberFormat="1" applyFont="1" applyBorder="1" applyAlignment="1">
      <alignment horizontal="center"/>
    </xf>
    <xf numFmtId="167" fontId="21" fillId="0" borderId="41" xfId="0" applyNumberFormat="1" applyFont="1" applyBorder="1" applyAlignment="1">
      <alignment horizontal="center"/>
    </xf>
    <xf numFmtId="167" fontId="21" fillId="0" borderId="42" xfId="0" applyNumberFormat="1" applyFont="1" applyBorder="1" applyAlignment="1">
      <alignment horizontal="center"/>
    </xf>
    <xf numFmtId="0" fontId="3" fillId="0" borderId="43"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0" fillId="0" borderId="0" xfId="0" applyFont="1" applyFill="1"/>
    <xf numFmtId="0" fontId="3" fillId="0" borderId="45" xfId="0" applyFont="1" applyBorder="1"/>
    <xf numFmtId="0" fontId="3" fillId="0" borderId="34" xfId="0" applyFont="1" applyBorder="1"/>
    <xf numFmtId="0" fontId="3" fillId="0" borderId="26" xfId="0" applyFont="1" applyBorder="1"/>
    <xf numFmtId="0" fontId="10" fillId="0" borderId="0" xfId="0" applyFont="1" applyAlignment="1"/>
    <xf numFmtId="0" fontId="6" fillId="69" borderId="25" xfId="7" applyFont="1" applyFill="1" applyBorder="1" applyAlignment="1" applyProtection="1">
      <alignment horizontal="right" vertical="center"/>
      <protection locked="0"/>
    </xf>
    <xf numFmtId="0" fontId="13" fillId="69" borderId="38" xfId="17" applyFont="1" applyFill="1" applyBorder="1" applyAlignment="1" applyProtection="1">
      <protection locked="0"/>
    </xf>
    <xf numFmtId="0" fontId="3" fillId="0" borderId="34" xfId="0" applyFont="1" applyBorder="1" applyAlignment="1">
      <alignment wrapText="1"/>
    </xf>
    <xf numFmtId="0" fontId="3" fillId="0" borderId="32" xfId="0" applyFont="1" applyBorder="1" applyAlignment="1">
      <alignment wrapText="1"/>
    </xf>
    <xf numFmtId="0" fontId="5" fillId="0" borderId="38" xfId="0" applyFont="1" applyBorder="1"/>
    <xf numFmtId="0" fontId="7" fillId="69" borderId="25" xfId="7" applyFont="1" applyFill="1" applyBorder="1" applyAlignment="1" applyProtection="1">
      <alignment horizontal="left" vertical="center"/>
      <protection locked="0"/>
    </xf>
    <xf numFmtId="0" fontId="7" fillId="69" borderId="31" xfId="14" applyFont="1" applyFill="1" applyBorder="1" applyAlignment="1" applyProtection="1">
      <alignment horizontal="center" vertical="center" wrapText="1"/>
      <protection locked="0"/>
    </xf>
    <xf numFmtId="0" fontId="7" fillId="69" borderId="25" xfId="7" applyFont="1" applyFill="1" applyBorder="1" applyAlignment="1" applyProtection="1">
      <alignment horizontal="right" vertical="center"/>
      <protection locked="0"/>
    </xf>
    <xf numFmtId="3" fontId="7" fillId="70" borderId="31" xfId="7" applyNumberFormat="1" applyFont="1" applyFill="1" applyBorder="1" applyProtection="1">
      <protection locked="0"/>
    </xf>
    <xf numFmtId="0" fontId="7" fillId="69" borderId="26" xfId="10" applyFont="1" applyFill="1" applyBorder="1" applyAlignment="1" applyProtection="1">
      <alignment horizontal="right" vertical="center"/>
      <protection locked="0"/>
    </xf>
    <xf numFmtId="0" fontId="8" fillId="69" borderId="38" xfId="17" applyFont="1" applyFill="1" applyBorder="1" applyAlignment="1" applyProtection="1">
      <protection locked="0"/>
    </xf>
    <xf numFmtId="3" fontId="8" fillId="70" borderId="38" xfId="17" applyNumberFormat="1" applyFont="1" applyFill="1" applyBorder="1" applyAlignment="1" applyProtection="1">
      <protection locked="0"/>
    </xf>
    <xf numFmtId="164" fontId="8" fillId="70" borderId="33" xfId="3" applyNumberFormat="1" applyFont="1" applyFill="1" applyBorder="1" applyAlignment="1" applyProtection="1">
      <protection locked="0"/>
    </xf>
    <xf numFmtId="0" fontId="3" fillId="0" borderId="35" xfId="0" applyFont="1" applyBorder="1" applyAlignment="1">
      <alignment horizontal="center"/>
    </xf>
    <xf numFmtId="0" fontId="3" fillId="0" borderId="36" xfId="0" applyFont="1" applyBorder="1" applyAlignment="1">
      <alignment horizontal="center"/>
    </xf>
    <xf numFmtId="0" fontId="3" fillId="0" borderId="34" xfId="0" applyFont="1" applyBorder="1" applyAlignment="1">
      <alignment horizontal="center"/>
    </xf>
    <xf numFmtId="0" fontId="3" fillId="0" borderId="32" xfId="0" applyFont="1" applyBorder="1" applyAlignment="1">
      <alignment horizontal="center"/>
    </xf>
    <xf numFmtId="0" fontId="6" fillId="69" borderId="6" xfId="14" applyFont="1" applyFill="1" applyBorder="1" applyAlignment="1" applyProtection="1">
      <alignment horizontal="left" vertical="center"/>
      <protection locked="0"/>
    </xf>
    <xf numFmtId="0" fontId="6" fillId="69" borderId="6" xfId="14" applyFont="1" applyFill="1" applyBorder="1" applyAlignment="1" applyProtection="1">
      <alignment horizontal="left" vertical="center" wrapText="1" indent="3"/>
      <protection locked="0"/>
    </xf>
    <xf numFmtId="0" fontId="3" fillId="0" borderId="31" xfId="0" applyFont="1" applyBorder="1" applyAlignment="1">
      <alignment horizontal="center" vertical="center"/>
    </xf>
    <xf numFmtId="0" fontId="95" fillId="0" borderId="6" xfId="0" applyFont="1" applyBorder="1"/>
    <xf numFmtId="0" fontId="0" fillId="0" borderId="0" xfId="0" applyAlignment="1"/>
    <xf numFmtId="0" fontId="0" fillId="0" borderId="0" xfId="0" applyFont="1"/>
    <xf numFmtId="0" fontId="7" fillId="69" borderId="6" xfId="20961" applyFont="1" applyFill="1" applyBorder="1" applyAlignment="1" applyProtection="1">
      <alignment horizontal="left" wrapText="1" indent="1"/>
    </xf>
    <xf numFmtId="0" fontId="7" fillId="0" borderId="6" xfId="20961" applyFont="1" applyFill="1" applyBorder="1" applyAlignment="1" applyProtection="1">
      <alignment horizontal="left" wrapText="1" indent="1"/>
    </xf>
    <xf numFmtId="0" fontId="96" fillId="0" borderId="6" xfId="20961" applyFont="1" applyFill="1" applyBorder="1" applyAlignment="1" applyProtection="1">
      <alignment horizontal="center" vertical="center"/>
    </xf>
    <xf numFmtId="0" fontId="97" fillId="0" borderId="0" xfId="0" applyFont="1" applyBorder="1" applyAlignment="1">
      <alignment wrapText="1"/>
    </xf>
    <xf numFmtId="0" fontId="7" fillId="0" borderId="30" xfId="20961" applyFont="1" applyFill="1" applyBorder="1" applyAlignment="1" applyProtection="1">
      <alignment horizontal="left" wrapText="1" indent="1"/>
    </xf>
    <xf numFmtId="0" fontId="13" fillId="0" borderId="34" xfId="12" applyFont="1" applyFill="1" applyBorder="1" applyAlignment="1" applyProtection="1">
      <alignment horizontal="center" vertical="center"/>
    </xf>
    <xf numFmtId="0" fontId="7" fillId="0" borderId="0" xfId="12" applyFont="1" applyFill="1" applyBorder="1" applyAlignment="1" applyProtection="1">
      <alignment horizontal="left"/>
    </xf>
    <xf numFmtId="0" fontId="16" fillId="0" borderId="0" xfId="12" applyFont="1" applyFill="1" applyBorder="1" applyAlignment="1" applyProtection="1">
      <alignment horizontal="right"/>
    </xf>
    <xf numFmtId="0" fontId="0" fillId="0" borderId="24" xfId="0" applyBorder="1" applyAlignment="1">
      <alignment horizontal="center" vertical="center"/>
    </xf>
    <xf numFmtId="0" fontId="5" fillId="70" borderId="46" xfId="0" applyFont="1" applyFill="1" applyBorder="1" applyAlignment="1">
      <alignment wrapText="1"/>
    </xf>
    <xf numFmtId="0" fontId="3" fillId="0" borderId="8" xfId="0" applyFont="1" applyFill="1" applyBorder="1" applyAlignment="1">
      <alignment vertical="center" wrapText="1"/>
    </xf>
    <xf numFmtId="0" fontId="5" fillId="70" borderId="8" xfId="0" applyFont="1" applyFill="1" applyBorder="1" applyAlignment="1">
      <alignment wrapText="1"/>
    </xf>
    <xf numFmtId="0" fontId="5" fillId="70" borderId="47" xfId="0" applyFont="1" applyFill="1" applyBorder="1" applyAlignment="1">
      <alignment wrapText="1"/>
    </xf>
    <xf numFmtId="0" fontId="13" fillId="0" borderId="0" xfId="12" applyFont="1" applyFill="1" applyBorder="1" applyAlignment="1" applyProtection="1">
      <alignment horizontal="center" vertical="center" wrapText="1"/>
    </xf>
    <xf numFmtId="0" fontId="3" fillId="0" borderId="25" xfId="0" applyFont="1" applyBorder="1" applyAlignment="1">
      <alignment horizontal="center" vertical="center" wrapText="1"/>
    </xf>
    <xf numFmtId="0" fontId="3" fillId="0" borderId="8" xfId="0" applyFont="1" applyFill="1" applyBorder="1" applyAlignment="1"/>
    <xf numFmtId="0" fontId="3" fillId="0" borderId="8" xfId="0" applyFont="1" applyBorder="1" applyAlignment="1">
      <alignment wrapText="1"/>
    </xf>
    <xf numFmtId="0" fontId="3" fillId="0" borderId="26" xfId="0" applyFont="1" applyBorder="1" applyAlignment="1">
      <alignment horizontal="center" vertical="center" wrapText="1"/>
    </xf>
    <xf numFmtId="0" fontId="3" fillId="0" borderId="8" xfId="0" applyFont="1" applyFill="1" applyBorder="1" applyAlignment="1">
      <alignment vertical="center"/>
    </xf>
    <xf numFmtId="0" fontId="8" fillId="0" borderId="0" xfId="12" applyFont="1" applyFill="1" applyBorder="1" applyAlignment="1" applyProtection="1">
      <alignment horizontal="center"/>
    </xf>
    <xf numFmtId="0" fontId="3" fillId="0" borderId="48"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8" fillId="0" borderId="29" xfId="0" applyFont="1" applyBorder="1" applyAlignment="1">
      <alignment horizontal="center"/>
    </xf>
    <xf numFmtId="0" fontId="13" fillId="0" borderId="29" xfId="0" applyFont="1" applyBorder="1" applyAlignment="1">
      <alignment horizontal="center" vertical="center"/>
    </xf>
    <xf numFmtId="0" fontId="3" fillId="0" borderId="29" xfId="0" applyFont="1" applyBorder="1"/>
    <xf numFmtId="0" fontId="5" fillId="0" borderId="29" xfId="0" applyFont="1" applyBorder="1" applyAlignment="1">
      <alignment horizontal="center"/>
    </xf>
    <xf numFmtId="0" fontId="16" fillId="0" borderId="29" xfId="0" applyFont="1" applyFill="1" applyBorder="1" applyAlignment="1">
      <alignment horizontal="center"/>
    </xf>
    <xf numFmtId="0" fontId="3" fillId="0" borderId="26" xfId="0" applyFont="1" applyFill="1" applyBorder="1" applyAlignment="1">
      <alignment horizontal="center" vertical="center"/>
    </xf>
    <xf numFmtId="0" fontId="7" fillId="0" borderId="0" xfId="0" applyFont="1" applyBorder="1" applyAlignment="1">
      <alignment horizontal="left" wrapText="1"/>
    </xf>
    <xf numFmtId="0" fontId="7" fillId="0" borderId="29" xfId="12" applyFont="1" applyFill="1" applyBorder="1" applyAlignment="1" applyProtection="1"/>
    <xf numFmtId="0" fontId="13" fillId="0" borderId="29" xfId="12" applyFont="1" applyFill="1" applyBorder="1" applyAlignment="1" applyProtection="1">
      <alignment horizontal="left" vertical="center"/>
    </xf>
    <xf numFmtId="0" fontId="6" fillId="69" borderId="6" xfId="20961" applyFont="1" applyFill="1" applyBorder="1" applyAlignment="1" applyProtection="1">
      <alignment horizontal="right" indent="1"/>
    </xf>
    <xf numFmtId="0" fontId="6" fillId="69" borderId="30" xfId="20961" applyFont="1" applyFill="1" applyBorder="1" applyAlignment="1" applyProtection="1">
      <alignment horizontal="right" indent="1"/>
    </xf>
    <xf numFmtId="192" fontId="7" fillId="72" borderId="38" xfId="0" applyNumberFormat="1" applyFont="1" applyFill="1" applyBorder="1" applyAlignment="1" applyProtection="1">
      <alignment vertical="center"/>
      <protection locked="0"/>
    </xf>
    <xf numFmtId="192" fontId="15" fillId="72" borderId="38" xfId="0" applyNumberFormat="1" applyFont="1" applyFill="1" applyBorder="1" applyAlignment="1" applyProtection="1">
      <alignment vertical="center"/>
      <protection locked="0"/>
    </xf>
    <xf numFmtId="192" fontId="15" fillId="72" borderId="33" xfId="0" applyNumberFormat="1" applyFont="1" applyFill="1" applyBorder="1" applyAlignment="1" applyProtection="1">
      <alignment vertical="center"/>
      <protection locked="0"/>
    </xf>
    <xf numFmtId="3" fontId="19" fillId="70" borderId="38" xfId="0" applyNumberFormat="1" applyFont="1" applyFill="1" applyBorder="1" applyAlignment="1">
      <alignment vertical="center" wrapText="1"/>
    </xf>
    <xf numFmtId="3" fontId="19" fillId="70" borderId="33" xfId="0" applyNumberFormat="1" applyFont="1" applyFill="1" applyBorder="1" applyAlignment="1">
      <alignment vertical="center" wrapText="1"/>
    </xf>
    <xf numFmtId="192" fontId="0" fillId="70" borderId="32" xfId="0" applyNumberFormat="1" applyFill="1" applyBorder="1" applyAlignment="1">
      <alignment horizontal="center" vertical="center"/>
    </xf>
    <xf numFmtId="192" fontId="0" fillId="0" borderId="31" xfId="0" applyNumberFormat="1" applyBorder="1" applyAlignment="1"/>
    <xf numFmtId="192" fontId="0" fillId="0" borderId="31" xfId="0" applyNumberFormat="1" applyBorder="1" applyAlignment="1">
      <alignment wrapText="1"/>
    </xf>
    <xf numFmtId="192" fontId="0" fillId="70" borderId="31" xfId="0" applyNumberFormat="1" applyFill="1" applyBorder="1" applyAlignment="1">
      <alignment horizontal="center" vertical="center" wrapText="1"/>
    </xf>
    <xf numFmtId="192" fontId="0" fillId="70" borderId="33" xfId="0" applyNumberFormat="1" applyFill="1" applyBorder="1" applyAlignment="1">
      <alignment horizontal="center" vertical="center" wrapText="1"/>
    </xf>
    <xf numFmtId="192" fontId="6" fillId="70" borderId="31" xfId="4" applyNumberFormat="1" applyFont="1" applyFill="1" applyBorder="1" applyAlignment="1" applyProtection="1">
      <alignment vertical="top"/>
    </xf>
    <xf numFmtId="192" fontId="6" fillId="69" borderId="31" xfId="4" applyNumberFormat="1" applyFont="1" applyFill="1" applyBorder="1" applyAlignment="1" applyProtection="1">
      <alignment vertical="top"/>
      <protection locked="0"/>
    </xf>
    <xf numFmtId="192" fontId="6" fillId="70" borderId="31" xfId="4" applyNumberFormat="1" applyFont="1" applyFill="1" applyBorder="1" applyAlignment="1" applyProtection="1">
      <alignment vertical="top" wrapText="1"/>
    </xf>
    <xf numFmtId="192" fontId="6" fillId="69" borderId="31" xfId="4" applyNumberFormat="1" applyFont="1" applyFill="1" applyBorder="1" applyAlignment="1" applyProtection="1">
      <alignment vertical="top" wrapText="1"/>
      <protection locked="0"/>
    </xf>
    <xf numFmtId="192" fontId="6" fillId="70" borderId="31" xfId="4" applyNumberFormat="1" applyFont="1" applyFill="1" applyBorder="1" applyAlignment="1" applyProtection="1">
      <alignment vertical="top" wrapText="1"/>
      <protection locked="0"/>
    </xf>
    <xf numFmtId="192" fontId="6" fillId="70" borderId="33" xfId="4" applyNumberFormat="1" applyFont="1" applyFill="1" applyBorder="1" applyAlignment="1" applyProtection="1">
      <alignment vertical="top" wrapText="1"/>
    </xf>
    <xf numFmtId="192" fontId="3" fillId="0" borderId="6" xfId="0" applyNumberFormat="1" applyFont="1" applyBorder="1" applyAlignment="1"/>
    <xf numFmtId="192" fontId="3" fillId="70" borderId="38" xfId="0" applyNumberFormat="1" applyFont="1" applyFill="1" applyBorder="1"/>
    <xf numFmtId="192" fontId="3" fillId="0" borderId="25" xfId="0" applyNumberFormat="1" applyFont="1" applyBorder="1" applyAlignment="1"/>
    <xf numFmtId="192" fontId="3" fillId="0" borderId="31" xfId="0" applyNumberFormat="1" applyFont="1" applyBorder="1" applyAlignment="1"/>
    <xf numFmtId="192" fontId="3" fillId="70" borderId="51" xfId="0" applyNumberFormat="1" applyFont="1" applyFill="1" applyBorder="1" applyAlignment="1"/>
    <xf numFmtId="192" fontId="3" fillId="70" borderId="26" xfId="0" applyNumberFormat="1" applyFont="1" applyFill="1" applyBorder="1"/>
    <xf numFmtId="192" fontId="3" fillId="70" borderId="33" xfId="0" applyNumberFormat="1" applyFont="1" applyFill="1" applyBorder="1"/>
    <xf numFmtId="192" fontId="3" fillId="70" borderId="52" xfId="0" applyNumberFormat="1" applyFont="1" applyFill="1" applyBorder="1"/>
    <xf numFmtId="192" fontId="3" fillId="0" borderId="6" xfId="0" applyNumberFormat="1" applyFont="1" applyBorder="1"/>
    <xf numFmtId="192" fontId="3" fillId="0" borderId="6" xfId="0" applyNumberFormat="1" applyFont="1" applyFill="1" applyBorder="1"/>
    <xf numFmtId="192" fontId="7" fillId="70" borderId="6" xfId="7" applyNumberFormat="1" applyFont="1" applyFill="1" applyBorder="1" applyProtection="1">
      <protection locked="0"/>
    </xf>
    <xf numFmtId="192" fontId="7" fillId="69" borderId="6" xfId="7" applyNumberFormat="1" applyFont="1" applyFill="1" applyBorder="1" applyProtection="1">
      <protection locked="0"/>
    </xf>
    <xf numFmtId="192" fontId="8" fillId="70" borderId="38" xfId="17" applyNumberFormat="1" applyFont="1" applyFill="1" applyBorder="1" applyAlignment="1" applyProtection="1">
      <protection locked="0"/>
    </xf>
    <xf numFmtId="192" fontId="7" fillId="70" borderId="6" xfId="3" applyNumberFormat="1" applyFont="1" applyFill="1" applyBorder="1" applyProtection="1">
      <protection locked="0"/>
    </xf>
    <xf numFmtId="192" fontId="7" fillId="0" borderId="6" xfId="3" applyNumberFormat="1" applyFont="1" applyFill="1" applyBorder="1" applyProtection="1">
      <protection locked="0"/>
    </xf>
    <xf numFmtId="192" fontId="8" fillId="70" borderId="38" xfId="3" applyNumberFormat="1" applyFont="1" applyFill="1" applyBorder="1" applyAlignment="1" applyProtection="1">
      <protection locked="0"/>
    </xf>
    <xf numFmtId="192" fontId="7" fillId="69" borderId="38" xfId="7" applyNumberFormat="1" applyFont="1" applyFill="1" applyBorder="1" applyProtection="1">
      <protection locked="0"/>
    </xf>
    <xf numFmtId="192" fontId="21" fillId="0" borderId="0" xfId="0" applyNumberFormat="1" applyFont="1"/>
    <xf numFmtId="0" fontId="3" fillId="0" borderId="53" xfId="0" applyFont="1" applyBorder="1" applyAlignment="1">
      <alignment horizontal="center" vertical="center"/>
    </xf>
    <xf numFmtId="192" fontId="3" fillId="0" borderId="12" xfId="0" applyNumberFormat="1" applyFont="1" applyBorder="1" applyAlignment="1"/>
    <xf numFmtId="0" fontId="3" fillId="0" borderId="53" xfId="0" applyFont="1" applyBorder="1" applyAlignment="1">
      <alignment wrapText="1"/>
    </xf>
    <xf numFmtId="192" fontId="3" fillId="0" borderId="12" xfId="0" applyNumberFormat="1" applyFont="1" applyBorder="1"/>
    <xf numFmtId="192" fontId="3" fillId="0" borderId="27" xfId="0" applyNumberFormat="1" applyFont="1" applyBorder="1" applyAlignment="1"/>
    <xf numFmtId="192" fontId="3" fillId="0" borderId="27" xfId="0" applyNumberFormat="1" applyFont="1" applyBorder="1" applyAlignment="1">
      <alignment wrapText="1"/>
    </xf>
    <xf numFmtId="0" fontId="3" fillId="0" borderId="6" xfId="0" applyFont="1" applyFill="1" applyBorder="1" applyAlignment="1">
      <alignment horizontal="center" vertical="center" wrapText="1"/>
    </xf>
    <xf numFmtId="0" fontId="5" fillId="0" borderId="0" xfId="0" applyFont="1" applyFill="1" applyAlignment="1">
      <alignment horizontal="center"/>
    </xf>
    <xf numFmtId="9" fontId="98" fillId="0" borderId="6"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6" xfId="14" applyFont="1" applyFill="1" applyBorder="1" applyAlignment="1" applyProtection="1">
      <alignment horizontal="center" vertical="center" wrapText="1"/>
      <protection locked="0"/>
    </xf>
    <xf numFmtId="9" fontId="3" fillId="0" borderId="31" xfId="1" applyFont="1" applyBorder="1"/>
    <xf numFmtId="9" fontId="3" fillId="70" borderId="33" xfId="1" applyFont="1" applyFill="1" applyBorder="1"/>
    <xf numFmtId="167" fontId="5" fillId="70" borderId="38" xfId="0" applyNumberFormat="1" applyFont="1" applyFill="1" applyBorder="1" applyAlignment="1">
      <alignment horizontal="center" vertical="center"/>
    </xf>
    <xf numFmtId="0" fontId="7" fillId="0" borderId="24" xfId="0" applyFont="1" applyFill="1" applyBorder="1" applyAlignment="1">
      <alignment horizontal="right" vertical="center" wrapText="1"/>
    </xf>
    <xf numFmtId="0" fontId="6" fillId="0" borderId="34" xfId="0" applyFont="1" applyFill="1" applyBorder="1" applyAlignment="1">
      <alignment vertical="center" wrapText="1"/>
    </xf>
    <xf numFmtId="169" fontId="24" fillId="2" borderId="0" xfId="21" applyBorder="1"/>
    <xf numFmtId="169" fontId="24" fillId="2" borderId="54" xfId="21" applyBorder="1"/>
    <xf numFmtId="0" fontId="3" fillId="0" borderId="16" xfId="0" applyFont="1" applyFill="1" applyBorder="1" applyAlignment="1">
      <alignment vertical="center"/>
    </xf>
    <xf numFmtId="0" fontId="3" fillId="0" borderId="6" xfId="0" applyFont="1" applyFill="1" applyBorder="1" applyAlignment="1">
      <alignment vertical="center"/>
    </xf>
    <xf numFmtId="0" fontId="5" fillId="0" borderId="6" xfId="0" applyFont="1" applyFill="1" applyBorder="1" applyAlignment="1">
      <alignment vertical="center"/>
    </xf>
    <xf numFmtId="0" fontId="3" fillId="0" borderId="34" xfId="0" applyFont="1" applyFill="1" applyBorder="1" applyAlignment="1">
      <alignment vertical="center"/>
    </xf>
    <xf numFmtId="0" fontId="3" fillId="0" borderId="30" xfId="0" applyFont="1" applyFill="1" applyBorder="1" applyAlignment="1">
      <alignment vertical="center"/>
    </xf>
    <xf numFmtId="0" fontId="3" fillId="0" borderId="57" xfId="0" applyFont="1" applyFill="1" applyBorder="1" applyAlignment="1">
      <alignment vertical="center"/>
    </xf>
    <xf numFmtId="0" fontId="3" fillId="0" borderId="24"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2" xfId="0" applyFont="1" applyFill="1" applyBorder="1" applyAlignment="1">
      <alignment horizontal="center" vertical="center"/>
    </xf>
    <xf numFmtId="169" fontId="24" fillId="2" borderId="7" xfId="21" applyBorder="1"/>
    <xf numFmtId="169" fontId="24" fillId="2" borderId="47" xfId="21" applyBorder="1"/>
    <xf numFmtId="169" fontId="24" fillId="2" borderId="64" xfId="21" applyBorder="1"/>
    <xf numFmtId="169" fontId="24" fillId="2" borderId="36" xfId="21" applyBorder="1"/>
    <xf numFmtId="0" fontId="3" fillId="69" borderId="45" xfId="0" applyFont="1" applyFill="1" applyBorder="1" applyAlignment="1">
      <alignment horizontal="center" vertical="center"/>
    </xf>
    <xf numFmtId="0" fontId="3" fillId="69" borderId="0" xfId="0" applyFont="1" applyFill="1" applyBorder="1" applyAlignment="1">
      <alignment vertical="center"/>
    </xf>
    <xf numFmtId="0" fontId="3" fillId="0" borderId="49" xfId="0" applyFont="1" applyFill="1" applyBorder="1" applyAlignment="1">
      <alignment horizontal="center" vertical="center"/>
    </xf>
    <xf numFmtId="0" fontId="3" fillId="69" borderId="8" xfId="0" applyFont="1" applyFill="1" applyBorder="1" applyAlignment="1">
      <alignment vertical="center"/>
    </xf>
    <xf numFmtId="0" fontId="12" fillId="69" borderId="65" xfId="0" applyFont="1" applyFill="1" applyBorder="1" applyAlignment="1">
      <alignment horizontal="left"/>
    </xf>
    <xf numFmtId="0" fontId="12" fillId="69" borderId="66" xfId="0" applyFont="1" applyFill="1" applyBorder="1" applyAlignment="1">
      <alignment horizontal="left"/>
    </xf>
    <xf numFmtId="0" fontId="3" fillId="0" borderId="0" xfId="0" applyFont="1"/>
    <xf numFmtId="0" fontId="3" fillId="0" borderId="0" xfId="0" applyFont="1" applyFill="1"/>
    <xf numFmtId="0" fontId="3" fillId="0" borderId="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5" fillId="69" borderId="67" xfId="0" applyFont="1" applyFill="1" applyBorder="1" applyAlignment="1">
      <alignment vertical="center"/>
    </xf>
    <xf numFmtId="0" fontId="3" fillId="69" borderId="27" xfId="0" applyFont="1" applyFill="1" applyBorder="1" applyAlignment="1">
      <alignment vertical="center"/>
    </xf>
    <xf numFmtId="0" fontId="3" fillId="0" borderId="25" xfId="0" applyFont="1" applyFill="1" applyBorder="1" applyAlignment="1">
      <alignment horizontal="center" vertical="center"/>
    </xf>
    <xf numFmtId="0" fontId="5" fillId="0" borderId="38" xfId="0" applyFont="1" applyFill="1" applyBorder="1" applyAlignment="1">
      <alignment vertical="center"/>
    </xf>
    <xf numFmtId="169" fontId="24" fillId="2" borderId="28" xfId="21" applyBorder="1"/>
    <xf numFmtId="0" fontId="3" fillId="0" borderId="16" xfId="0" applyFont="1" applyFill="1" applyBorder="1" applyAlignment="1">
      <alignment horizontal="center" vertical="center" wrapText="1"/>
    </xf>
    <xf numFmtId="0" fontId="3" fillId="0" borderId="59" xfId="0" applyFont="1" applyFill="1" applyBorder="1" applyAlignment="1">
      <alignment horizontal="center" vertical="center" wrapText="1"/>
    </xf>
    <xf numFmtId="192" fontId="3" fillId="0" borderId="12" xfId="0" applyNumberFormat="1" applyFont="1" applyFill="1" applyBorder="1"/>
    <xf numFmtId="0" fontId="6" fillId="0" borderId="24" xfId="12" applyFont="1" applyFill="1" applyBorder="1" applyAlignment="1" applyProtection="1">
      <alignment vertical="center"/>
    </xf>
    <xf numFmtId="0" fontId="6" fillId="0" borderId="34" xfId="12" applyFont="1" applyFill="1" applyBorder="1" applyAlignment="1" applyProtection="1">
      <alignment vertical="center"/>
    </xf>
    <xf numFmtId="0" fontId="13" fillId="0" borderId="32" xfId="12" applyFont="1" applyFill="1" applyBorder="1" applyAlignment="1" applyProtection="1">
      <alignment horizontal="center" vertical="center"/>
    </xf>
    <xf numFmtId="0" fontId="0" fillId="0" borderId="25" xfId="0" applyBorder="1"/>
    <xf numFmtId="0" fontId="0" fillId="0" borderId="26" xfId="0" applyBorder="1"/>
    <xf numFmtId="0" fontId="5" fillId="70" borderId="64" xfId="0" applyFont="1" applyFill="1" applyBorder="1" applyAlignment="1">
      <alignment vertical="center" wrapText="1"/>
    </xf>
    <xf numFmtId="192" fontId="0" fillId="0" borderId="31" xfId="0" applyNumberFormat="1" applyFill="1" applyBorder="1" applyAlignment="1">
      <alignment wrapText="1"/>
    </xf>
    <xf numFmtId="0" fontId="6" fillId="0" borderId="0" xfId="0" applyFont="1" applyFill="1" applyAlignment="1">
      <alignment wrapText="1"/>
    </xf>
    <xf numFmtId="0" fontId="5" fillId="70" borderId="34" xfId="0" applyFont="1" applyFill="1" applyBorder="1" applyAlignment="1">
      <alignment horizontal="center" vertical="center" wrapText="1"/>
    </xf>
    <xf numFmtId="0" fontId="5" fillId="70" borderId="32" xfId="0" applyFont="1" applyFill="1" applyBorder="1" applyAlignment="1">
      <alignment horizontal="center" vertical="center" wrapText="1"/>
    </xf>
    <xf numFmtId="0" fontId="5" fillId="70" borderId="25" xfId="0" applyFont="1" applyFill="1" applyBorder="1" applyAlignment="1">
      <alignment horizontal="left" vertical="center" wrapText="1"/>
    </xf>
    <xf numFmtId="0" fontId="5" fillId="70" borderId="6" xfId="0" applyFont="1" applyFill="1" applyBorder="1" applyAlignment="1">
      <alignment horizontal="left" vertical="center" wrapText="1"/>
    </xf>
    <xf numFmtId="0" fontId="5" fillId="70" borderId="31"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13" fillId="0" borderId="26" xfId="7" applyNumberFormat="1" applyFont="1" applyFill="1" applyBorder="1" applyAlignment="1" applyProtection="1">
      <alignment horizontal="left" vertical="center"/>
      <protection locked="0"/>
    </xf>
    <xf numFmtId="0" fontId="6" fillId="0" borderId="38" xfId="10" applyFont="1" applyFill="1" applyBorder="1" applyAlignment="1" applyProtection="1">
      <alignment horizontal="left" vertical="center" wrapText="1"/>
      <protection locked="0"/>
    </xf>
    <xf numFmtId="0" fontId="18" fillId="0" borderId="25" xfId="0" applyFont="1" applyBorder="1" applyAlignment="1">
      <alignment horizontal="center" vertical="center" wrapText="1"/>
    </xf>
    <xf numFmtId="3" fontId="19" fillId="70" borderId="6" xfId="0" applyNumberFormat="1" applyFont="1" applyFill="1" applyBorder="1" applyAlignment="1">
      <alignment vertical="center" wrapText="1"/>
    </xf>
    <xf numFmtId="3" fontId="19" fillId="70" borderId="31" xfId="0" applyNumberFormat="1" applyFont="1" applyFill="1" applyBorder="1" applyAlignment="1">
      <alignment vertical="center" wrapText="1"/>
    </xf>
    <xf numFmtId="14" fontId="6" fillId="69" borderId="6" xfId="9" quotePrefix="1" applyNumberFormat="1" applyFont="1" applyFill="1" applyBorder="1" applyAlignment="1" applyProtection="1">
      <alignment horizontal="left" vertical="center" wrapText="1" indent="2"/>
      <protection locked="0"/>
    </xf>
    <xf numFmtId="3" fontId="19" fillId="0" borderId="6" xfId="0" applyNumberFormat="1" applyFont="1" applyBorder="1" applyAlignment="1">
      <alignment vertical="center" wrapText="1"/>
    </xf>
    <xf numFmtId="14" fontId="6" fillId="69" borderId="6" xfId="9" quotePrefix="1" applyNumberFormat="1" applyFont="1" applyFill="1" applyBorder="1" applyAlignment="1" applyProtection="1">
      <alignment horizontal="left" vertical="center" wrapText="1" indent="3"/>
      <protection locked="0"/>
    </xf>
    <xf numFmtId="3" fontId="19" fillId="0" borderId="6" xfId="0" applyNumberFormat="1" applyFont="1" applyFill="1" applyBorder="1" applyAlignment="1">
      <alignment vertical="center" wrapText="1"/>
    </xf>
    <xf numFmtId="0" fontId="9" fillId="0" borderId="6" xfId="18" applyFill="1" applyBorder="1" applyAlignment="1" applyProtection="1"/>
    <xf numFmtId="49" fontId="3" fillId="0" borderId="25" xfId="0" applyNumberFormat="1" applyFont="1" applyFill="1" applyBorder="1" applyAlignment="1">
      <alignment horizontal="right" vertical="center" wrapText="1"/>
    </xf>
    <xf numFmtId="0" fontId="6" fillId="69" borderId="6" xfId="20961" applyFont="1" applyFill="1" applyBorder="1" applyAlignment="1" applyProtection="1"/>
    <xf numFmtId="0" fontId="96" fillId="0" borderId="6" xfId="20961" applyFont="1" applyFill="1" applyBorder="1" applyAlignment="1" applyProtection="1">
      <alignment horizontal="center" vertical="center"/>
    </xf>
    <xf numFmtId="0" fontId="3" fillId="0" borderId="6" xfId="0" applyFont="1" applyBorder="1"/>
    <xf numFmtId="0" fontId="9" fillId="0" borderId="6" xfId="18" applyFill="1" applyBorder="1" applyAlignment="1" applyProtection="1">
      <alignment horizontal="left" vertical="center" wrapText="1"/>
    </xf>
    <xf numFmtId="49" fontId="3" fillId="0" borderId="6" xfId="0" applyNumberFormat="1" applyFont="1" applyFill="1" applyBorder="1" applyAlignment="1">
      <alignment horizontal="right" vertical="center" wrapText="1"/>
    </xf>
    <xf numFmtId="0" fontId="9" fillId="0" borderId="6" xfId="18" applyFill="1" applyBorder="1" applyAlignment="1" applyProtection="1">
      <alignment horizontal="left" vertical="center"/>
    </xf>
    <xf numFmtId="0" fontId="3" fillId="0" borderId="6" xfId="0" applyFont="1" applyFill="1" applyBorder="1"/>
    <xf numFmtId="0" fontId="18" fillId="0" borderId="25" xfId="0" applyFont="1" applyFill="1" applyBorder="1" applyAlignment="1">
      <alignment horizontal="center" vertical="center" wrapText="1"/>
    </xf>
    <xf numFmtId="0" fontId="99" fillId="73" borderId="12" xfId="21412" applyFont="1" applyFill="1" applyBorder="1" applyAlignment="1" applyProtection="1">
      <alignment vertical="center" wrapText="1"/>
      <protection locked="0"/>
    </xf>
    <xf numFmtId="0" fontId="100" fillId="62" borderId="30" xfId="21412" applyFont="1" applyFill="1" applyBorder="1" applyAlignment="1" applyProtection="1">
      <alignment horizontal="center" vertical="center"/>
      <protection locked="0"/>
    </xf>
    <xf numFmtId="0" fontId="99" fillId="74" borderId="6" xfId="21412" applyFont="1" applyFill="1" applyBorder="1" applyAlignment="1" applyProtection="1">
      <alignment horizontal="center" vertical="center"/>
      <protection locked="0"/>
    </xf>
    <xf numFmtId="0" fontId="99" fillId="73" borderId="12" xfId="21412" applyFont="1" applyFill="1" applyBorder="1" applyAlignment="1" applyProtection="1">
      <alignment vertical="center"/>
      <protection locked="0"/>
    </xf>
    <xf numFmtId="0" fontId="101" fillId="62" borderId="30" xfId="21412" applyFont="1" applyFill="1" applyBorder="1" applyAlignment="1" applyProtection="1">
      <alignment horizontal="center" vertical="center"/>
      <protection locked="0"/>
    </xf>
    <xf numFmtId="0" fontId="101" fillId="69" borderId="30" xfId="21412" applyFont="1" applyFill="1" applyBorder="1" applyAlignment="1" applyProtection="1">
      <alignment horizontal="center" vertical="center"/>
      <protection locked="0"/>
    </xf>
    <xf numFmtId="0" fontId="101" fillId="0" borderId="30" xfId="21412" applyFont="1" applyFill="1" applyBorder="1" applyAlignment="1" applyProtection="1">
      <alignment horizontal="center" vertical="center"/>
      <protection locked="0"/>
    </xf>
    <xf numFmtId="0" fontId="102" fillId="74" borderId="6" xfId="21412" applyFont="1" applyFill="1" applyBorder="1" applyAlignment="1" applyProtection="1">
      <alignment horizontal="center" vertical="center"/>
      <protection locked="0"/>
    </xf>
    <xf numFmtId="0" fontId="99" fillId="73" borderId="12" xfId="21412" applyFont="1" applyFill="1" applyBorder="1" applyAlignment="1" applyProtection="1">
      <alignment horizontal="center" vertical="center"/>
      <protection locked="0"/>
    </xf>
    <xf numFmtId="0" fontId="59" fillId="73" borderId="12" xfId="21412" applyFont="1" applyFill="1" applyBorder="1" applyAlignment="1" applyProtection="1">
      <alignment vertical="center"/>
      <protection locked="0"/>
    </xf>
    <xf numFmtId="0" fontId="101" fillId="62" borderId="6" xfId="21412" applyFont="1" applyFill="1" applyBorder="1" applyAlignment="1" applyProtection="1">
      <alignment horizontal="center" vertical="center"/>
      <protection locked="0"/>
    </xf>
    <xf numFmtId="0" fontId="33" fillId="62" borderId="6" xfId="21412" applyFont="1" applyFill="1" applyBorder="1" applyAlignment="1" applyProtection="1">
      <alignment horizontal="center" vertical="center"/>
      <protection locked="0"/>
    </xf>
    <xf numFmtId="0" fontId="59" fillId="73" borderId="68" xfId="21412" applyFont="1" applyFill="1" applyBorder="1" applyAlignment="1" applyProtection="1">
      <alignment vertical="center"/>
      <protection locked="0"/>
    </xf>
    <xf numFmtId="0" fontId="100" fillId="0" borderId="68" xfId="21412" applyFont="1" applyFill="1" applyBorder="1" applyAlignment="1" applyProtection="1">
      <alignment horizontal="left" vertical="center" wrapText="1"/>
      <protection locked="0"/>
    </xf>
    <xf numFmtId="164" fontId="100" fillId="0" borderId="6" xfId="949" applyNumberFormat="1" applyFont="1" applyFill="1" applyBorder="1" applyAlignment="1" applyProtection="1">
      <alignment horizontal="right" vertical="center"/>
      <protection locked="0"/>
    </xf>
    <xf numFmtId="0" fontId="99" fillId="74" borderId="68" xfId="21412" applyFont="1" applyFill="1" applyBorder="1" applyAlignment="1" applyProtection="1">
      <alignment vertical="top" wrapText="1"/>
      <protection locked="0"/>
    </xf>
    <xf numFmtId="164" fontId="100" fillId="74" borderId="6" xfId="949" applyNumberFormat="1" applyFont="1" applyFill="1" applyBorder="1" applyAlignment="1" applyProtection="1">
      <alignment horizontal="right" vertical="center"/>
    </xf>
    <xf numFmtId="164" fontId="59" fillId="73" borderId="68" xfId="949" applyNumberFormat="1" applyFont="1" applyFill="1" applyBorder="1" applyAlignment="1" applyProtection="1">
      <alignment horizontal="right" vertical="center"/>
      <protection locked="0"/>
    </xf>
    <xf numFmtId="0" fontId="100" fillId="62" borderId="68" xfId="21412" applyFont="1" applyFill="1" applyBorder="1" applyAlignment="1" applyProtection="1">
      <alignment vertical="center" wrapText="1"/>
      <protection locked="0"/>
    </xf>
    <xf numFmtId="0" fontId="100" fillId="62" borderId="68" xfId="21412" applyFont="1" applyFill="1" applyBorder="1" applyAlignment="1" applyProtection="1">
      <alignment horizontal="left" vertical="center" wrapText="1"/>
      <protection locked="0"/>
    </xf>
    <xf numFmtId="0" fontId="100" fillId="0" borderId="68" xfId="21412" applyFont="1" applyFill="1" applyBorder="1" applyAlignment="1" applyProtection="1">
      <alignment vertical="center" wrapText="1"/>
      <protection locked="0"/>
    </xf>
    <xf numFmtId="0" fontId="100" fillId="69" borderId="68" xfId="21412" applyFont="1" applyFill="1" applyBorder="1" applyAlignment="1" applyProtection="1">
      <alignment horizontal="left" vertical="center" wrapText="1"/>
      <protection locked="0"/>
    </xf>
    <xf numFmtId="0" fontId="99" fillId="74" borderId="68" xfId="21412" applyFont="1" applyFill="1" applyBorder="1" applyAlignment="1" applyProtection="1">
      <alignment vertical="center" wrapText="1"/>
      <protection locked="0"/>
    </xf>
    <xf numFmtId="164" fontId="99" fillId="73" borderId="68" xfId="949" applyNumberFormat="1" applyFont="1" applyFill="1" applyBorder="1" applyAlignment="1" applyProtection="1">
      <alignment horizontal="right" vertical="center"/>
      <protection locked="0"/>
    </xf>
    <xf numFmtId="164" fontId="100" fillId="69" borderId="6" xfId="949" applyNumberFormat="1" applyFont="1" applyFill="1" applyBorder="1" applyAlignment="1" applyProtection="1">
      <alignment horizontal="right" vertical="center"/>
      <protection locked="0"/>
    </xf>
    <xf numFmtId="10" fontId="6" fillId="0" borderId="6" xfId="1"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0"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1" applyNumberFormat="1" applyFont="1" applyFill="1" applyBorder="1" applyAlignment="1">
      <alignment horizontal="left" vertical="center" wrapText="1"/>
    </xf>
    <xf numFmtId="10" fontId="5" fillId="70" borderId="6" xfId="0" applyNumberFormat="1" applyFont="1" applyFill="1" applyBorder="1" applyAlignment="1">
      <alignment horizontal="center" vertical="center" wrapText="1"/>
    </xf>
    <xf numFmtId="10" fontId="6" fillId="0" borderId="38" xfId="1" applyNumberFormat="1" applyFont="1" applyFill="1" applyBorder="1" applyAlignment="1" applyProtection="1">
      <alignment horizontal="left" vertical="center"/>
    </xf>
    <xf numFmtId="43" fontId="6" fillId="0" borderId="0" xfId="2" applyFont="1"/>
    <xf numFmtId="0" fontId="98" fillId="0" borderId="0" xfId="0" applyFont="1" applyAlignment="1">
      <alignment wrapText="1"/>
    </xf>
    <xf numFmtId="0" fontId="8" fillId="0" borderId="53" xfId="0" applyFont="1" applyBorder="1" applyAlignment="1">
      <alignment horizontal="center" wrapText="1"/>
    </xf>
    <xf numFmtId="0" fontId="7" fillId="0" borderId="25" xfId="0" applyFont="1" applyBorder="1" applyAlignment="1">
      <alignment horizontal="right" vertical="center" wrapText="1"/>
    </xf>
    <xf numFmtId="0" fontId="7" fillId="0" borderId="25" xfId="0" applyFont="1" applyFill="1" applyBorder="1" applyAlignment="1">
      <alignment horizontal="right" vertical="center" wrapText="1"/>
    </xf>
    <xf numFmtId="0" fontId="6" fillId="0" borderId="6" xfId="0" applyFont="1" applyFill="1" applyBorder="1" applyAlignment="1">
      <alignment vertical="center" wrapText="1"/>
    </xf>
    <xf numFmtId="0" fontId="3" fillId="0" borderId="6" xfId="0" applyFont="1" applyBorder="1" applyAlignment="1">
      <alignment vertical="center" wrapText="1"/>
    </xf>
    <xf numFmtId="0" fontId="3" fillId="0" borderId="6" xfId="0" applyFont="1" applyFill="1" applyBorder="1" applyAlignment="1">
      <alignment horizontal="left" vertical="center" wrapText="1" indent="2"/>
    </xf>
    <xf numFmtId="0" fontId="3" fillId="0" borderId="6" xfId="0" applyFont="1" applyFill="1" applyBorder="1" applyAlignment="1">
      <alignment vertical="center" wrapText="1"/>
    </xf>
    <xf numFmtId="3" fontId="19" fillId="70" borderId="12" xfId="0" applyNumberFormat="1" applyFont="1" applyFill="1" applyBorder="1" applyAlignment="1">
      <alignment vertical="center" wrapText="1"/>
    </xf>
    <xf numFmtId="3" fontId="19" fillId="70" borderId="27" xfId="0" applyNumberFormat="1" applyFont="1" applyFill="1" applyBorder="1" applyAlignment="1">
      <alignment vertical="center" wrapText="1"/>
    </xf>
    <xf numFmtId="3" fontId="19" fillId="70" borderId="28" xfId="0" applyNumberFormat="1" applyFont="1" applyFill="1" applyBorder="1" applyAlignment="1">
      <alignment vertical="center" wrapText="1"/>
    </xf>
    <xf numFmtId="3" fontId="19" fillId="70" borderId="69" xfId="0" applyNumberFormat="1" applyFont="1" applyFill="1" applyBorder="1" applyAlignment="1">
      <alignment vertical="center" wrapText="1"/>
    </xf>
    <xf numFmtId="0" fontId="5" fillId="0" borderId="38" xfId="0" applyFont="1" applyBorder="1" applyAlignment="1">
      <alignment vertical="center" wrapText="1"/>
    </xf>
    <xf numFmtId="0" fontId="3" fillId="0" borderId="31" xfId="0" applyFont="1" applyBorder="1" applyAlignment="1"/>
    <xf numFmtId="0" fontId="7" fillId="0" borderId="31" xfId="0" applyFont="1" applyBorder="1" applyAlignment="1"/>
    <xf numFmtId="0" fontId="7" fillId="0" borderId="31" xfId="0" applyFont="1" applyBorder="1" applyAlignment="1">
      <alignment wrapText="1"/>
    </xf>
    <xf numFmtId="0" fontId="8" fillId="0" borderId="32" xfId="0" applyFont="1" applyBorder="1" applyAlignment="1">
      <alignment horizontal="center"/>
    </xf>
    <xf numFmtId="0" fontId="1" fillId="0" borderId="34" xfId="0" applyNumberFormat="1" applyFont="1" applyFill="1" applyBorder="1" applyAlignment="1">
      <alignment horizontal="left" vertical="center" wrapText="1" indent="1"/>
    </xf>
    <xf numFmtId="0" fontId="1" fillId="0" borderId="32" xfId="0" applyNumberFormat="1" applyFont="1" applyFill="1" applyBorder="1" applyAlignment="1">
      <alignment horizontal="left" vertical="center" wrapText="1" indent="1"/>
    </xf>
    <xf numFmtId="0" fontId="7" fillId="0" borderId="2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192" fontId="6" fillId="0" borderId="6"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31" xfId="0" applyNumberFormat="1" applyFont="1" applyFill="1" applyBorder="1" applyAlignment="1" applyProtection="1">
      <alignment vertical="center" wrapText="1"/>
      <protection locked="0"/>
    </xf>
    <xf numFmtId="192" fontId="6" fillId="0" borderId="6" xfId="0" applyNumberFormat="1" applyFont="1" applyFill="1" applyBorder="1" applyAlignment="1" applyProtection="1">
      <alignment horizontal="right" vertical="center" wrapText="1"/>
      <protection locked="0"/>
    </xf>
    <xf numFmtId="0" fontId="6" fillId="0" borderId="6" xfId="0" applyFont="1" applyBorder="1" applyAlignment="1">
      <alignment vertical="center" wrapText="1"/>
    </xf>
    <xf numFmtId="0" fontId="7" fillId="72" borderId="25" xfId="0" applyFont="1" applyFill="1" applyBorder="1" applyAlignment="1">
      <alignment horizontal="right" vertical="center"/>
    </xf>
    <xf numFmtId="0" fontId="7" fillId="72" borderId="6" xfId="0" applyFont="1" applyFill="1" applyBorder="1" applyAlignment="1">
      <alignment vertical="center"/>
    </xf>
    <xf numFmtId="192" fontId="7" fillId="72" borderId="6" xfId="0" applyNumberFormat="1" applyFont="1" applyFill="1" applyBorder="1" applyAlignment="1" applyProtection="1">
      <alignment vertical="center"/>
      <protection locked="0"/>
    </xf>
    <xf numFmtId="192" fontId="15" fillId="72" borderId="6" xfId="0" applyNumberFormat="1" applyFont="1" applyFill="1" applyBorder="1" applyAlignment="1" applyProtection="1">
      <alignment vertical="center"/>
      <protection locked="0"/>
    </xf>
    <xf numFmtId="192" fontId="15" fillId="72" borderId="31" xfId="0" applyNumberFormat="1" applyFont="1" applyFill="1" applyBorder="1" applyAlignment="1" applyProtection="1">
      <alignment vertical="center"/>
      <protection locked="0"/>
    </xf>
    <xf numFmtId="192" fontId="7" fillId="72" borderId="31" xfId="0" applyNumberFormat="1" applyFont="1" applyFill="1" applyBorder="1" applyAlignment="1" applyProtection="1">
      <alignment vertical="center"/>
      <protection locked="0"/>
    </xf>
    <xf numFmtId="0" fontId="13" fillId="0" borderId="25" xfId="0" applyFont="1" applyFill="1" applyBorder="1" applyAlignment="1">
      <alignment horizontal="center" vertical="center" wrapText="1"/>
    </xf>
    <xf numFmtId="14" fontId="3" fillId="0" borderId="0" xfId="0" applyNumberFormat="1" applyFont="1"/>
    <xf numFmtId="0" fontId="5" fillId="0" borderId="0" xfId="0" applyFont="1" applyAlignment="1">
      <alignment horizontal="center" wrapText="1"/>
    </xf>
    <xf numFmtId="0" fontId="3" fillId="69" borderId="35" xfId="0" applyFont="1" applyFill="1" applyBorder="1"/>
    <xf numFmtId="0" fontId="3" fillId="69" borderId="70" xfId="0" applyFont="1" applyFill="1" applyBorder="1" applyAlignment="1">
      <alignment wrapText="1"/>
    </xf>
    <xf numFmtId="0" fontId="3" fillId="69" borderId="71" xfId="0" applyFont="1" applyFill="1" applyBorder="1"/>
    <xf numFmtId="0" fontId="5" fillId="69" borderId="72" xfId="0" applyFont="1" applyFill="1" applyBorder="1" applyAlignment="1">
      <alignment horizontal="center" wrapText="1"/>
    </xf>
    <xf numFmtId="0" fontId="3" fillId="0" borderId="6" xfId="0" applyFont="1" applyFill="1" applyBorder="1" applyAlignment="1">
      <alignment horizontal="center"/>
    </xf>
    <xf numFmtId="0" fontId="3" fillId="0" borderId="6" xfId="0" applyFont="1" applyBorder="1" applyAlignment="1">
      <alignment horizontal="center"/>
    </xf>
    <xf numFmtId="0" fontId="3" fillId="69" borderId="45" xfId="0" applyFont="1" applyFill="1" applyBorder="1"/>
    <xf numFmtId="0" fontId="5"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54"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6" xfId="2" applyNumberFormat="1" applyFont="1" applyBorder="1"/>
    <xf numFmtId="164" fontId="3" fillId="0" borderId="31" xfId="2" applyNumberFormat="1" applyFont="1" applyBorder="1"/>
    <xf numFmtId="0" fontId="12" fillId="0" borderId="6" xfId="0" applyFont="1" applyBorder="1" applyAlignment="1">
      <alignment horizontal="left" wrapText="1" indent="2"/>
    </xf>
    <xf numFmtId="169" fontId="24" fillId="2" borderId="6" xfId="21" applyBorder="1"/>
    <xf numFmtId="164" fontId="3" fillId="0" borderId="6" xfId="2" applyNumberFormat="1" applyFont="1" applyBorder="1" applyAlignment="1">
      <alignment vertical="center"/>
    </xf>
    <xf numFmtId="0" fontId="5" fillId="0" borderId="25" xfId="0" applyFont="1" applyBorder="1"/>
    <xf numFmtId="0" fontId="5" fillId="0" borderId="6" xfId="0" applyFont="1" applyBorder="1" applyAlignment="1">
      <alignment wrapText="1"/>
    </xf>
    <xf numFmtId="164" fontId="5" fillId="0" borderId="31" xfId="2" applyNumberFormat="1" applyFont="1" applyBorder="1"/>
    <xf numFmtId="0" fontId="2" fillId="69" borderId="45" xfId="0" applyFont="1" applyFill="1" applyBorder="1" applyAlignment="1">
      <alignment horizontal="left"/>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54" xfId="2" applyNumberFormat="1" applyFont="1" applyFill="1" applyBorder="1"/>
    <xf numFmtId="164" fontId="3" fillId="0" borderId="6" xfId="2" applyNumberFormat="1" applyFont="1" applyFill="1" applyBorder="1"/>
    <xf numFmtId="164" fontId="3" fillId="0" borderId="6" xfId="2" applyNumberFormat="1" applyFont="1" applyFill="1" applyBorder="1" applyAlignment="1">
      <alignment vertical="center"/>
    </xf>
    <xf numFmtId="0" fontId="12"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54" xfId="0" applyFont="1" applyFill="1" applyBorder="1"/>
    <xf numFmtId="0" fontId="5" fillId="0" borderId="26" xfId="0" applyFont="1" applyBorder="1"/>
    <xf numFmtId="0" fontId="5" fillId="0" borderId="38" xfId="0" applyFont="1" applyBorder="1" applyAlignment="1">
      <alignment wrapText="1"/>
    </xf>
    <xf numFmtId="169" fontId="24" fillId="2" borderId="64" xfId="21" applyBorder="1"/>
    <xf numFmtId="10" fontId="5" fillId="0" borderId="33" xfId="1" applyNumberFormat="1" applyFont="1" applyBorder="1"/>
    <xf numFmtId="0" fontId="7" fillId="72" borderId="60" xfId="0" applyFont="1" applyFill="1" applyBorder="1" applyAlignment="1">
      <alignment horizontal="right" vertical="center"/>
    </xf>
    <xf numFmtId="0" fontId="7" fillId="72" borderId="30" xfId="0" applyFont="1" applyFill="1" applyBorder="1" applyAlignment="1">
      <alignment vertical="center"/>
    </xf>
    <xf numFmtId="192" fontId="15" fillId="72" borderId="30" xfId="0" applyNumberFormat="1" applyFont="1" applyFill="1" applyBorder="1" applyAlignment="1" applyProtection="1">
      <alignment vertical="center"/>
      <protection locked="0"/>
    </xf>
    <xf numFmtId="192" fontId="15" fillId="72" borderId="61" xfId="0" applyNumberFormat="1" applyFont="1" applyFill="1" applyBorder="1" applyAlignment="1" applyProtection="1">
      <alignment vertical="center"/>
      <protection locked="0"/>
    </xf>
    <xf numFmtId="0" fontId="7" fillId="0" borderId="6" xfId="0" applyFont="1" applyFill="1" applyBorder="1" applyAlignment="1">
      <alignment horizontal="left" vertical="center" wrapText="1"/>
    </xf>
    <xf numFmtId="0" fontId="5" fillId="69" borderId="0" xfId="0" applyFont="1" applyFill="1" applyBorder="1" applyAlignment="1">
      <alignment horizontal="center"/>
    </xf>
    <xf numFmtId="0" fontId="103" fillId="0" borderId="0" xfId="12" applyFont="1" applyFill="1" applyBorder="1" applyProtection="1"/>
    <xf numFmtId="0" fontId="104" fillId="0" borderId="0" xfId="0" applyFont="1"/>
    <xf numFmtId="0" fontId="103" fillId="0" borderId="0" xfId="12" applyFont="1" applyFill="1" applyBorder="1" applyAlignment="1" applyProtection="1"/>
    <xf numFmtId="0" fontId="105" fillId="0" borderId="0" xfId="12" applyFont="1" applyFill="1" applyBorder="1" applyAlignment="1" applyProtection="1"/>
    <xf numFmtId="14" fontId="104" fillId="0" borderId="0" xfId="0" applyNumberFormat="1" applyFont="1"/>
    <xf numFmtId="0" fontId="104" fillId="0" borderId="0" xfId="0" applyFont="1" applyAlignment="1">
      <alignment wrapText="1"/>
    </xf>
    <xf numFmtId="0" fontId="107" fillId="0" borderId="0" xfId="0" applyFont="1"/>
    <xf numFmtId="0" fontId="104" fillId="0" borderId="0" xfId="0" applyFont="1" applyFill="1"/>
    <xf numFmtId="0" fontId="104" fillId="0" borderId="0" xfId="0" applyFont="1" applyBorder="1"/>
    <xf numFmtId="0" fontId="104" fillId="0" borderId="0" xfId="0" applyFont="1" applyBorder="1" applyAlignment="1">
      <alignment horizontal="left"/>
    </xf>
    <xf numFmtId="0" fontId="106" fillId="0" borderId="73" xfId="0" applyNumberFormat="1" applyFont="1" applyFill="1" applyBorder="1" applyAlignment="1">
      <alignment horizontal="left" vertical="center" wrapText="1"/>
    </xf>
    <xf numFmtId="0" fontId="98" fillId="0" borderId="0" xfId="0" applyFont="1"/>
    <xf numFmtId="0" fontId="104" fillId="0" borderId="0" xfId="0" applyFont="1" applyFill="1" applyAlignment="1">
      <alignment horizontal="left" vertical="top" wrapText="1"/>
    </xf>
    <xf numFmtId="192" fontId="6" fillId="69" borderId="31" xfId="4" applyNumberFormat="1" applyFont="1" applyFill="1" applyBorder="1" applyAlignment="1" applyProtection="1">
      <alignment vertical="top" wrapText="1"/>
      <protection locked="0"/>
    </xf>
    <xf numFmtId="0" fontId="7" fillId="0" borderId="6" xfId="0" applyFont="1" applyFill="1" applyBorder="1" applyAlignment="1" applyProtection="1">
      <alignment horizontal="center" vertical="center" wrapText="1"/>
    </xf>
    <xf numFmtId="0" fontId="2" fillId="0" borderId="6" xfId="0" applyFont="1" applyBorder="1" applyAlignment="1">
      <alignment horizontal="center" vertical="center"/>
    </xf>
    <xf numFmtId="0" fontId="113" fillId="69" borderId="6" xfId="21414" applyFont="1" applyFill="1" applyBorder="1" applyAlignment="1">
      <alignment horizontal="left" vertical="center" wrapText="1"/>
    </xf>
    <xf numFmtId="0" fontId="114" fillId="0" borderId="6" xfId="21414" applyFont="1" applyFill="1" applyBorder="1" applyAlignment="1">
      <alignment horizontal="left" vertical="center" wrapText="1" indent="1"/>
    </xf>
    <xf numFmtId="0" fontId="115" fillId="69" borderId="6" xfId="21414" applyFont="1" applyFill="1" applyBorder="1" applyAlignment="1">
      <alignment horizontal="left" vertical="center" wrapText="1"/>
    </xf>
    <xf numFmtId="0" fontId="114" fillId="69" borderId="6" xfId="21414" applyFont="1" applyFill="1" applyBorder="1" applyAlignment="1">
      <alignment horizontal="left" vertical="center" wrapText="1" indent="1"/>
    </xf>
    <xf numFmtId="0" fontId="113" fillId="0" borderId="74" xfId="0" applyFont="1" applyFill="1" applyBorder="1" applyAlignment="1">
      <alignment horizontal="left" vertical="center" wrapText="1"/>
    </xf>
    <xf numFmtId="0" fontId="115" fillId="0" borderId="74" xfId="0" applyFont="1" applyFill="1" applyBorder="1" applyAlignment="1">
      <alignment horizontal="left" vertical="center" wrapText="1"/>
    </xf>
    <xf numFmtId="0" fontId="116" fillId="69" borderId="74" xfId="0" applyFont="1" applyFill="1" applyBorder="1" applyAlignment="1">
      <alignment horizontal="left" vertical="center" wrapText="1" indent="1"/>
    </xf>
    <xf numFmtId="0" fontId="115" fillId="69" borderId="74" xfId="0" applyFont="1" applyFill="1" applyBorder="1" applyAlignment="1">
      <alignment horizontal="left" vertical="center" wrapText="1"/>
    </xf>
    <xf numFmtId="0" fontId="115" fillId="69" borderId="75" xfId="0" applyFont="1" applyFill="1" applyBorder="1" applyAlignment="1">
      <alignment horizontal="left" vertical="center" wrapText="1"/>
    </xf>
    <xf numFmtId="0" fontId="116" fillId="0" borderId="74" xfId="0" applyFont="1" applyFill="1" applyBorder="1" applyAlignment="1">
      <alignment horizontal="left" vertical="center" wrapText="1" indent="1"/>
    </xf>
    <xf numFmtId="0" fontId="116" fillId="0" borderId="6" xfId="21414" applyFont="1" applyFill="1" applyBorder="1" applyAlignment="1">
      <alignment horizontal="left" vertical="center" wrapText="1" indent="1"/>
    </xf>
    <xf numFmtId="0" fontId="115" fillId="0" borderId="6" xfId="21414" applyFont="1" applyFill="1" applyBorder="1" applyAlignment="1">
      <alignment horizontal="left" vertical="center" wrapText="1"/>
    </xf>
    <xf numFmtId="0" fontId="117" fillId="0" borderId="6" xfId="21414" applyFont="1" applyFill="1" applyBorder="1" applyAlignment="1">
      <alignment horizontal="center" vertical="center" wrapText="1"/>
    </xf>
    <xf numFmtId="0" fontId="115" fillId="69" borderId="76" xfId="0" applyFont="1" applyFill="1" applyBorder="1" applyAlignment="1">
      <alignment horizontal="left" vertical="center" wrapText="1"/>
    </xf>
    <xf numFmtId="0" fontId="114" fillId="69" borderId="6" xfId="21414" applyFont="1" applyFill="1" applyBorder="1" applyAlignment="1">
      <alignment horizontal="left" vertical="center" wrapText="1" indent="1"/>
    </xf>
    <xf numFmtId="0" fontId="114" fillId="69" borderId="74" xfId="0" applyFont="1" applyFill="1" applyBorder="1" applyAlignment="1">
      <alignment horizontal="left" vertical="center" wrapText="1" indent="1"/>
    </xf>
    <xf numFmtId="0" fontId="114" fillId="0" borderId="6" xfId="21414" applyFont="1" applyFill="1" applyBorder="1" applyAlignment="1">
      <alignment horizontal="left" vertical="center" wrapText="1" indent="1"/>
    </xf>
    <xf numFmtId="0" fontId="115" fillId="0" borderId="74" xfId="0" applyFont="1" applyBorder="1" applyAlignment="1">
      <alignment horizontal="left" vertical="center" wrapText="1"/>
    </xf>
    <xf numFmtId="0" fontId="114" fillId="0" borderId="74" xfId="0" applyFont="1" applyBorder="1" applyAlignment="1">
      <alignment horizontal="left" vertical="center" wrapText="1" indent="1"/>
    </xf>
    <xf numFmtId="0" fontId="114" fillId="0" borderId="75" xfId="0" applyFont="1" applyBorder="1" applyAlignment="1">
      <alignment horizontal="left" vertical="center" wrapText="1" indent="1"/>
    </xf>
    <xf numFmtId="0" fontId="115" fillId="0" borderId="6" xfId="21414" applyFont="1" applyFill="1" applyBorder="1" applyAlignment="1">
      <alignment horizontal="left" vertical="center" wrapText="1"/>
    </xf>
    <xf numFmtId="0" fontId="115" fillId="69" borderId="6" xfId="21414" applyFont="1" applyFill="1" applyBorder="1" applyAlignment="1">
      <alignment horizontal="left" vertical="center" wrapText="1"/>
    </xf>
    <xf numFmtId="0" fontId="117" fillId="0" borderId="6" xfId="21414" applyFont="1" applyFill="1" applyBorder="1" applyAlignment="1">
      <alignment horizontal="center" vertical="center" wrapText="1"/>
    </xf>
    <xf numFmtId="0" fontId="115" fillId="0" borderId="6" xfId="21414" applyFont="1" applyBorder="1" applyAlignment="1">
      <alignment horizontal="left" vertical="center" wrapText="1"/>
    </xf>
    <xf numFmtId="0" fontId="114" fillId="0" borderId="74" xfId="0" applyFont="1" applyFill="1" applyBorder="1" applyAlignment="1">
      <alignment horizontal="left" vertical="center" wrapText="1" indent="1"/>
    </xf>
    <xf numFmtId="0" fontId="118" fillId="0" borderId="6" xfId="0" applyFont="1" applyBorder="1" applyAlignment="1">
      <alignment horizontal="left"/>
    </xf>
    <xf numFmtId="0" fontId="115" fillId="0" borderId="6" xfId="0" applyFont="1" applyFill="1" applyBorder="1" applyAlignment="1">
      <alignment horizontal="left" vertical="center" wrapText="1"/>
    </xf>
    <xf numFmtId="0" fontId="0" fillId="0" borderId="0" xfId="0" applyAlignment="1">
      <alignment horizontal="left" vertical="center"/>
    </xf>
    <xf numFmtId="0" fontId="7" fillId="0" borderId="6" xfId="0" applyFont="1" applyFill="1" applyBorder="1" applyAlignment="1" applyProtection="1">
      <alignment horizontal="center" vertical="center" wrapText="1"/>
    </xf>
    <xf numFmtId="0" fontId="115" fillId="0" borderId="77" xfId="0" applyFont="1" applyFill="1" applyBorder="1" applyAlignment="1">
      <alignment horizontal="justify" vertical="center" wrapText="1"/>
    </xf>
    <xf numFmtId="0" fontId="114" fillId="0" borderId="76" xfId="0" applyFont="1" applyFill="1" applyBorder="1" applyAlignment="1">
      <alignment horizontal="left" vertical="center" wrapText="1" indent="1"/>
    </xf>
    <xf numFmtId="0" fontId="114" fillId="0" borderId="75" xfId="0" applyFont="1" applyFill="1" applyBorder="1" applyAlignment="1">
      <alignment horizontal="left" vertical="center" wrapText="1" indent="1"/>
    </xf>
    <xf numFmtId="0" fontId="115" fillId="0" borderId="74" xfId="0" applyFont="1" applyFill="1" applyBorder="1" applyAlignment="1">
      <alignment horizontal="justify" vertical="center" wrapText="1"/>
    </xf>
    <xf numFmtId="0" fontId="113" fillId="0" borderId="74" xfId="0" applyFont="1" applyFill="1" applyBorder="1" applyAlignment="1">
      <alignment horizontal="justify" vertical="center" wrapText="1"/>
    </xf>
    <xf numFmtId="0" fontId="115" fillId="69" borderId="74" xfId="0" applyFont="1" applyFill="1" applyBorder="1" applyAlignment="1">
      <alignment horizontal="justify" vertical="center" wrapText="1"/>
    </xf>
    <xf numFmtId="0" fontId="115" fillId="0" borderId="75" xfId="0" applyFont="1" applyFill="1" applyBorder="1" applyAlignment="1">
      <alignment horizontal="justify" vertical="center" wrapText="1"/>
    </xf>
    <xf numFmtId="0" fontId="115" fillId="0" borderId="76" xfId="0" applyFont="1" applyFill="1" applyBorder="1" applyAlignment="1">
      <alignment horizontal="justify" vertical="center" wrapText="1"/>
    </xf>
    <xf numFmtId="0" fontId="115" fillId="0" borderId="6" xfId="21414" applyFont="1" applyFill="1" applyBorder="1" applyAlignment="1">
      <alignment horizontal="justify" vertical="center" wrapText="1"/>
    </xf>
    <xf numFmtId="0" fontId="116" fillId="0" borderId="78" xfId="0" applyFont="1" applyFill="1" applyBorder="1" applyAlignment="1">
      <alignment horizontal="left" vertical="center" wrapText="1" indent="1"/>
    </xf>
    <xf numFmtId="0" fontId="113" fillId="0" borderId="74" xfId="0" applyFont="1" applyFill="1" applyBorder="1" applyAlignment="1">
      <alignment vertical="center" wrapText="1"/>
    </xf>
    <xf numFmtId="0" fontId="115" fillId="0" borderId="74" xfId="0" applyFont="1" applyFill="1" applyBorder="1" applyAlignment="1">
      <alignment vertical="center" wrapText="1"/>
    </xf>
    <xf numFmtId="0" fontId="115" fillId="0" borderId="6" xfId="21414" applyFont="1" applyFill="1" applyBorder="1" applyAlignment="1">
      <alignment vertical="center" wrapText="1"/>
    </xf>
    <xf numFmtId="0" fontId="7" fillId="0" borderId="31" xfId="0" applyFont="1" applyFill="1" applyBorder="1" applyAlignment="1" applyProtection="1">
      <alignment horizontal="center" vertical="center" wrapText="1"/>
    </xf>
    <xf numFmtId="0" fontId="0" fillId="0" borderId="6" xfId="0" applyBorder="1" applyAlignment="1">
      <alignment horizontal="center"/>
    </xf>
    <xf numFmtId="192" fontId="7" fillId="0" borderId="6" xfId="0" applyNumberFormat="1" applyFont="1" applyFill="1" applyBorder="1" applyAlignment="1" applyProtection="1">
      <alignment horizontal="right"/>
    </xf>
    <xf numFmtId="192" fontId="7" fillId="70" borderId="6" xfId="0" applyNumberFormat="1" applyFont="1" applyFill="1" applyBorder="1" applyAlignment="1" applyProtection="1">
      <alignment horizontal="right"/>
    </xf>
    <xf numFmtId="192" fontId="7" fillId="70" borderId="31" xfId="0" applyNumberFormat="1" applyFont="1" applyFill="1" applyBorder="1" applyAlignment="1" applyProtection="1">
      <alignment horizontal="right"/>
    </xf>
    <xf numFmtId="0" fontId="13" fillId="0" borderId="6" xfId="0" applyNumberFormat="1" applyFont="1" applyFill="1" applyBorder="1" applyAlignment="1">
      <alignment vertical="center" wrapText="1"/>
    </xf>
    <xf numFmtId="0" fontId="6" fillId="0" borderId="6" xfId="0" applyNumberFormat="1" applyFont="1" applyFill="1" applyBorder="1" applyAlignment="1">
      <alignment horizontal="left" vertical="center" wrapText="1" indent="1"/>
    </xf>
    <xf numFmtId="0" fontId="2" fillId="0" borderId="6" xfId="0" applyFont="1" applyBorder="1" applyAlignment="1">
      <alignment vertical="center"/>
    </xf>
    <xf numFmtId="0" fontId="119" fillId="0" borderId="6" xfId="0" applyFont="1" applyFill="1" applyBorder="1" applyAlignment="1" applyProtection="1">
      <alignment horizontal="left" vertical="center" indent="1"/>
      <protection locked="0"/>
    </xf>
    <xf numFmtId="0" fontId="120" fillId="0" borderId="6" xfId="0" applyFont="1" applyFill="1" applyBorder="1" applyAlignment="1" applyProtection="1">
      <alignment horizontal="left" vertical="center" indent="3"/>
      <protection locked="0"/>
    </xf>
    <xf numFmtId="0" fontId="120" fillId="0" borderId="6" xfId="0" applyFont="1" applyFill="1" applyBorder="1" applyAlignment="1" applyProtection="1">
      <alignment horizontal="left" vertical="center" indent="3"/>
      <protection locked="0"/>
    </xf>
    <xf numFmtId="0" fontId="2" fillId="0" borderId="6" xfId="0" applyFont="1" applyFill="1" applyBorder="1" applyAlignment="1">
      <alignment vertical="center"/>
    </xf>
    <xf numFmtId="0" fontId="2" fillId="0" borderId="6" xfId="0" applyFont="1" applyBorder="1"/>
    <xf numFmtId="0" fontId="0" fillId="0" borderId="0" xfId="0" applyAlignment="1">
      <alignment horizontal="center"/>
    </xf>
    <xf numFmtId="192" fontId="7" fillId="0" borderId="0" xfId="0" applyNumberFormat="1" applyFont="1" applyFill="1" applyBorder="1" applyAlignment="1" applyProtection="1">
      <alignment horizontal="right"/>
    </xf>
    <xf numFmtId="0" fontId="0" fillId="0" borderId="6" xfId="0" applyBorder="1" applyAlignment="1">
      <alignment horizontal="center" vertical="center"/>
    </xf>
    <xf numFmtId="43" fontId="3" fillId="0" borderId="6" xfId="2" applyFont="1" applyFill="1" applyBorder="1" applyAlignment="1">
      <alignment vertical="center" wrapText="1"/>
    </xf>
    <xf numFmtId="43" fontId="3" fillId="0" borderId="6" xfId="2" applyFont="1" applyBorder="1" applyAlignment="1">
      <alignment vertical="center"/>
    </xf>
    <xf numFmtId="43" fontId="3" fillId="0" borderId="6" xfId="2" applyFont="1" applyBorder="1" applyAlignment="1">
      <alignment vertical="center"/>
    </xf>
    <xf numFmtId="0" fontId="0" fillId="0" borderId="30" xfId="0" applyBorder="1" applyAlignment="1">
      <alignment horizontal="center"/>
    </xf>
    <xf numFmtId="0" fontId="114" fillId="0" borderId="30" xfId="21414" applyFont="1" applyFill="1" applyBorder="1" applyAlignment="1">
      <alignment horizontal="left" vertical="center" wrapText="1" indent="1"/>
    </xf>
    <xf numFmtId="0" fontId="114" fillId="69" borderId="6" xfId="0" applyFont="1" applyFill="1" applyBorder="1" applyAlignment="1">
      <alignment horizontal="left" vertical="center" wrapText="1" indent="1"/>
    </xf>
    <xf numFmtId="0" fontId="115" fillId="0" borderId="6" xfId="0" applyFont="1" applyBorder="1" applyAlignment="1">
      <alignment horizontal="left" vertical="center" wrapText="1"/>
    </xf>
    <xf numFmtId="0" fontId="21" fillId="0" borderId="6" xfId="0" applyFont="1" applyBorder="1"/>
    <xf numFmtId="0" fontId="114" fillId="0" borderId="6" xfId="0" applyFont="1" applyBorder="1" applyAlignment="1">
      <alignment horizontal="left" vertical="center" wrapText="1" indent="1"/>
    </xf>
    <xf numFmtId="0" fontId="114" fillId="0" borderId="6" xfId="0" applyFont="1" applyFill="1" applyBorder="1" applyAlignment="1">
      <alignment horizontal="left" vertical="center" wrapText="1" indent="1"/>
    </xf>
    <xf numFmtId="0" fontId="116" fillId="69" borderId="6" xfId="0" applyFont="1" applyFill="1" applyBorder="1" applyAlignment="1">
      <alignment horizontal="left" vertical="center" wrapText="1" indent="1"/>
    </xf>
    <xf numFmtId="0" fontId="116" fillId="0" borderId="6" xfId="0" applyFont="1" applyFill="1" applyBorder="1" applyAlignment="1">
      <alignment horizontal="left" vertical="center" wrapText="1" indent="1"/>
    </xf>
    <xf numFmtId="167" fontId="20" fillId="0" borderId="79" xfId="0" applyNumberFormat="1" applyFont="1" applyFill="1" applyBorder="1" applyAlignment="1">
      <alignment horizontal="center"/>
    </xf>
    <xf numFmtId="167" fontId="16" fillId="0" borderId="40" xfId="0" applyNumberFormat="1" applyFont="1" applyFill="1" applyBorder="1" applyAlignment="1">
      <alignment horizontal="center"/>
    </xf>
    <xf numFmtId="0" fontId="107" fillId="0" borderId="6" xfId="0" applyFont="1" applyBorder="1"/>
    <xf numFmtId="49" fontId="109" fillId="0" borderId="6" xfId="7" applyNumberFormat="1" applyFont="1" applyFill="1" applyBorder="1" applyAlignment="1" applyProtection="1">
      <alignment horizontal="right" vertical="center"/>
      <protection locked="0"/>
    </xf>
    <xf numFmtId="0" fontId="108" fillId="69" borderId="6" xfId="14" applyFont="1" applyFill="1" applyBorder="1" applyAlignment="1" applyProtection="1">
      <alignment horizontal="left" vertical="center" wrapText="1"/>
      <protection locked="0"/>
    </xf>
    <xf numFmtId="49" fontId="108" fillId="69" borderId="6" xfId="7" applyNumberFormat="1" applyFont="1" applyFill="1" applyBorder="1" applyAlignment="1" applyProtection="1">
      <alignment horizontal="right" vertical="center"/>
      <protection locked="0"/>
    </xf>
    <xf numFmtId="0" fontId="108" fillId="0" borderId="6" xfId="14" applyFont="1" applyFill="1" applyBorder="1" applyAlignment="1" applyProtection="1">
      <alignment horizontal="left" vertical="center" wrapText="1"/>
      <protection locked="0"/>
    </xf>
    <xf numFmtId="49" fontId="108" fillId="0" borderId="6" xfId="7" applyNumberFormat="1" applyFont="1" applyFill="1" applyBorder="1" applyAlignment="1" applyProtection="1">
      <alignment horizontal="right" vertical="center"/>
      <protection locked="0"/>
    </xf>
    <xf numFmtId="0" fontId="110" fillId="0" borderId="6" xfId="14" applyFont="1" applyFill="1" applyBorder="1" applyAlignment="1" applyProtection="1">
      <alignment horizontal="left" vertical="center" wrapText="1"/>
      <protection locked="0"/>
    </xf>
    <xf numFmtId="0" fontId="107" fillId="0" borderId="6" xfId="0" applyFont="1" applyBorder="1" applyAlignment="1">
      <alignment horizontal="center" vertical="center" wrapText="1"/>
    </xf>
    <xf numFmtId="0" fontId="107" fillId="0" borderId="6" xfId="0" applyFont="1" applyFill="1" applyBorder="1" applyAlignment="1">
      <alignment horizontal="center" vertical="center" wrapText="1"/>
    </xf>
    <xf numFmtId="0" fontId="103" fillId="0" borderId="6" xfId="0" applyFont="1" applyBorder="1"/>
    <xf numFmtId="0" fontId="103" fillId="0" borderId="6" xfId="0" applyFont="1" applyFill="1" applyBorder="1"/>
    <xf numFmtId="0" fontId="103" fillId="0" borderId="6" xfId="0" applyFont="1" applyBorder="1" applyAlignment="1">
      <alignment horizontal="left" indent="8"/>
    </xf>
    <xf numFmtId="0" fontId="103" fillId="0" borderId="6" xfId="0" applyFont="1" applyBorder="1" applyAlignment="1">
      <alignment wrapText="1"/>
    </xf>
    <xf numFmtId="0" fontId="106" fillId="0" borderId="6" xfId="0" applyFont="1" applyBorder="1"/>
    <xf numFmtId="49" fontId="109" fillId="0" borderId="6" xfId="7" applyNumberFormat="1" applyFont="1" applyFill="1" applyBorder="1" applyAlignment="1" applyProtection="1">
      <alignment horizontal="right" vertical="center" wrapText="1"/>
      <protection locked="0"/>
    </xf>
    <xf numFmtId="49" fontId="108" fillId="69" borderId="6" xfId="7" applyNumberFormat="1" applyFont="1" applyFill="1" applyBorder="1" applyAlignment="1" applyProtection="1">
      <alignment horizontal="right" vertical="center" wrapText="1"/>
      <protection locked="0"/>
    </xf>
    <xf numFmtId="49" fontId="108" fillId="0" borderId="6" xfId="7" applyNumberFormat="1" applyFont="1" applyFill="1" applyBorder="1" applyAlignment="1" applyProtection="1">
      <alignment horizontal="right" vertical="center" wrapText="1"/>
      <protection locked="0"/>
    </xf>
    <xf numFmtId="0" fontId="103" fillId="0" borderId="6" xfId="0" applyFont="1" applyBorder="1" applyAlignment="1">
      <alignment horizontal="center" vertical="center" wrapText="1"/>
    </xf>
    <xf numFmtId="0" fontId="103" fillId="0" borderId="30" xfId="0" applyFont="1" applyFill="1" applyBorder="1" applyAlignment="1">
      <alignment horizontal="center" vertical="center" wrapText="1"/>
    </xf>
    <xf numFmtId="0" fontId="103" fillId="0" borderId="6" xfId="0" applyFont="1" applyBorder="1" applyAlignment="1">
      <alignment horizontal="center" vertical="center"/>
    </xf>
    <xf numFmtId="0" fontId="103" fillId="0" borderId="0" xfId="0" applyFont="1"/>
    <xf numFmtId="0" fontId="103" fillId="0" borderId="0" xfId="0" applyFont="1" applyAlignment="1">
      <alignment wrapText="1"/>
    </xf>
    <xf numFmtId="14" fontId="103" fillId="0" borderId="0" xfId="0" applyNumberFormat="1" applyFont="1"/>
    <xf numFmtId="0" fontId="106" fillId="0" borderId="6" xfId="0" applyFont="1" applyFill="1" applyBorder="1"/>
    <xf numFmtId="0" fontId="103" fillId="0" borderId="6" xfId="0" applyNumberFormat="1" applyFont="1" applyFill="1" applyBorder="1" applyAlignment="1">
      <alignment horizontal="left" vertical="center" wrapText="1"/>
    </xf>
    <xf numFmtId="0" fontId="106" fillId="0" borderId="6" xfId="0" applyFont="1" applyFill="1" applyBorder="1" applyAlignment="1">
      <alignment horizontal="left" wrapText="1" indent="1"/>
    </xf>
    <xf numFmtId="0" fontId="106" fillId="0" borderId="6" xfId="0" applyFont="1" applyFill="1" applyBorder="1" applyAlignment="1">
      <alignment horizontal="left" vertical="center" indent="1"/>
    </xf>
    <xf numFmtId="0" fontId="103" fillId="0" borderId="6" xfId="0" applyFont="1" applyFill="1" applyBorder="1" applyAlignment="1">
      <alignment horizontal="left" wrapText="1" indent="1"/>
    </xf>
    <xf numFmtId="0" fontId="103" fillId="0" borderId="6" xfId="0" applyFont="1" applyFill="1" applyBorder="1" applyAlignment="1">
      <alignment horizontal="left" indent="1"/>
    </xf>
    <xf numFmtId="0" fontId="103" fillId="0" borderId="6" xfId="0" applyFont="1" applyFill="1" applyBorder="1" applyAlignment="1">
      <alignment horizontal="left" wrapText="1" indent="4"/>
    </xf>
    <xf numFmtId="0" fontId="103" fillId="0" borderId="6" xfId="0" applyNumberFormat="1" applyFont="1" applyFill="1" applyBorder="1" applyAlignment="1">
      <alignment horizontal="left" indent="3"/>
    </xf>
    <xf numFmtId="0" fontId="106" fillId="0" borderId="6" xfId="0" applyFont="1" applyFill="1" applyBorder="1" applyAlignment="1">
      <alignment horizontal="left" indent="1"/>
    </xf>
    <xf numFmtId="0" fontId="107" fillId="0" borderId="6" xfId="0" applyFont="1" applyFill="1" applyBorder="1" applyAlignment="1">
      <alignment horizontal="center" vertical="center" wrapText="1"/>
    </xf>
    <xf numFmtId="0" fontId="103" fillId="75" borderId="6" xfId="0" applyFont="1" applyFill="1" applyBorder="1"/>
    <xf numFmtId="0" fontId="106" fillId="0" borderId="16" xfId="0" applyFont="1" applyBorder="1"/>
    <xf numFmtId="0" fontId="103" fillId="0" borderId="6" xfId="0" applyFont="1" applyFill="1" applyBorder="1" applyAlignment="1">
      <alignment horizontal="left" wrapText="1" indent="2"/>
    </xf>
    <xf numFmtId="0" fontId="103" fillId="0" borderId="6" xfId="0" applyFont="1" applyFill="1" applyBorder="1" applyAlignment="1">
      <alignment horizontal="left" wrapText="1"/>
    </xf>
    <xf numFmtId="0" fontId="103" fillId="0" borderId="0" xfId="0" applyFont="1" applyBorder="1"/>
    <xf numFmtId="0" fontId="103" fillId="0" borderId="6" xfId="0" applyFont="1" applyBorder="1" applyAlignment="1">
      <alignment horizontal="left" indent="1"/>
    </xf>
    <xf numFmtId="0" fontId="103" fillId="0" borderId="6" xfId="0" applyFont="1" applyBorder="1" applyAlignment="1">
      <alignment horizontal="center"/>
    </xf>
    <xf numFmtId="0" fontId="103" fillId="0" borderId="0" xfId="0" applyFont="1" applyBorder="1" applyAlignment="1">
      <alignment horizontal="center" vertical="center"/>
    </xf>
    <xf numFmtId="0" fontId="103" fillId="0" borderId="6" xfId="0" applyFont="1" applyFill="1" applyBorder="1" applyAlignment="1">
      <alignment horizontal="center" vertical="center" wrapText="1"/>
    </xf>
    <xf numFmtId="0" fontId="103" fillId="0" borderId="16" xfId="0" applyFont="1" applyBorder="1" applyAlignment="1">
      <alignment horizontal="center" vertical="center" wrapText="1"/>
    </xf>
    <xf numFmtId="0" fontId="103" fillId="0" borderId="72" xfId="0" applyFont="1" applyBorder="1" applyAlignment="1">
      <alignment horizontal="center" vertical="center" wrapText="1"/>
    </xf>
    <xf numFmtId="0" fontId="103" fillId="0" borderId="55" xfId="0" applyFont="1" applyBorder="1" applyAlignment="1">
      <alignment wrapText="1"/>
    </xf>
    <xf numFmtId="0" fontId="103" fillId="0" borderId="16" xfId="0" applyFont="1" applyBorder="1" applyAlignment="1">
      <alignment wrapText="1"/>
    </xf>
    <xf numFmtId="0" fontId="103" fillId="0" borderId="0" xfId="0" applyFont="1" applyBorder="1" applyAlignment="1">
      <alignment horizontal="center" vertical="center" wrapText="1"/>
    </xf>
    <xf numFmtId="0" fontId="103" fillId="0" borderId="56"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0" borderId="68" xfId="0" applyFont="1" applyFill="1" applyBorder="1" applyAlignment="1">
      <alignment horizontal="center" vertical="center" wrapText="1"/>
    </xf>
    <xf numFmtId="0" fontId="103" fillId="0" borderId="66" xfId="0" applyFont="1" applyFill="1" applyBorder="1" applyAlignment="1">
      <alignment horizontal="center" vertical="center" wrapText="1"/>
    </xf>
    <xf numFmtId="0" fontId="103" fillId="0" borderId="0" xfId="0" applyFont="1" applyFill="1"/>
    <xf numFmtId="49" fontId="103" fillId="0" borderId="33" xfId="0" applyNumberFormat="1" applyFont="1" applyFill="1" applyBorder="1" applyAlignment="1">
      <alignment horizontal="left" wrapText="1" indent="1"/>
    </xf>
    <xf numFmtId="0" fontId="103" fillId="0" borderId="26" xfId="0" applyNumberFormat="1" applyFont="1" applyFill="1" applyBorder="1" applyAlignment="1">
      <alignment horizontal="left" wrapText="1" indent="1"/>
    </xf>
    <xf numFmtId="49" fontId="103" fillId="0" borderId="31" xfId="0" applyNumberFormat="1" applyFont="1" applyFill="1" applyBorder="1" applyAlignment="1">
      <alignment horizontal="left" wrapText="1" indent="1"/>
    </xf>
    <xf numFmtId="0" fontId="103" fillId="0" borderId="25" xfId="0" applyNumberFormat="1" applyFont="1" applyFill="1" applyBorder="1" applyAlignment="1">
      <alignment horizontal="left" wrapText="1" indent="1"/>
    </xf>
    <xf numFmtId="49" fontId="103" fillId="0" borderId="25" xfId="0" applyNumberFormat="1" applyFont="1" applyFill="1" applyBorder="1" applyAlignment="1">
      <alignment horizontal="left" wrapText="1" indent="3"/>
    </xf>
    <xf numFmtId="49" fontId="103" fillId="0" borderId="31" xfId="0" applyNumberFormat="1" applyFont="1" applyFill="1" applyBorder="1" applyAlignment="1">
      <alignment horizontal="left" wrapText="1" indent="3"/>
    </xf>
    <xf numFmtId="49" fontId="103" fillId="0" borderId="31" xfId="0" applyNumberFormat="1" applyFont="1" applyFill="1" applyBorder="1" applyAlignment="1">
      <alignment horizontal="left" wrapText="1" indent="2"/>
    </xf>
    <xf numFmtId="49" fontId="103" fillId="0" borderId="25" xfId="0" applyNumberFormat="1" applyFont="1" applyBorder="1" applyAlignment="1">
      <alignment horizontal="left" wrapText="1" indent="2"/>
    </xf>
    <xf numFmtId="49" fontId="103" fillId="0" borderId="31" xfId="0" applyNumberFormat="1" applyFont="1" applyFill="1" applyBorder="1" applyAlignment="1">
      <alignment horizontal="left" vertical="top" wrapText="1" indent="2"/>
    </xf>
    <xf numFmtId="49" fontId="103" fillId="0" borderId="31" xfId="0" applyNumberFormat="1" applyFont="1" applyFill="1" applyBorder="1" applyAlignment="1">
      <alignment horizontal="left" indent="1"/>
    </xf>
    <xf numFmtId="0" fontId="103" fillId="0" borderId="25" xfId="0" applyNumberFormat="1" applyFont="1" applyBorder="1" applyAlignment="1">
      <alignment horizontal="left" indent="1"/>
    </xf>
    <xf numFmtId="49" fontId="103" fillId="0" borderId="25" xfId="0" applyNumberFormat="1" applyFont="1" applyBorder="1" applyAlignment="1">
      <alignment horizontal="left" indent="1"/>
    </xf>
    <xf numFmtId="49" fontId="103" fillId="0" borderId="31" xfId="0" applyNumberFormat="1" applyFont="1" applyFill="1" applyBorder="1" applyAlignment="1">
      <alignment horizontal="left" indent="3"/>
    </xf>
    <xf numFmtId="49" fontId="103" fillId="0" borderId="25" xfId="0" applyNumberFormat="1" applyFont="1" applyBorder="1" applyAlignment="1">
      <alignment horizontal="left" indent="3"/>
    </xf>
    <xf numFmtId="0" fontId="103" fillId="0" borderId="25" xfId="0" applyFont="1" applyBorder="1" applyAlignment="1">
      <alignment horizontal="left" indent="2"/>
    </xf>
    <xf numFmtId="0" fontId="103" fillId="0" borderId="31" xfId="0" applyFont="1" applyBorder="1" applyAlignment="1">
      <alignment horizontal="left" indent="2"/>
    </xf>
    <xf numFmtId="0" fontId="103" fillId="0" borderId="25" xfId="0" applyFont="1" applyBorder="1" applyAlignment="1">
      <alignment horizontal="left" indent="1"/>
    </xf>
    <xf numFmtId="0" fontId="103" fillId="0" borderId="31" xfId="0" applyFont="1" applyBorder="1" applyAlignment="1">
      <alignment horizontal="left" indent="1"/>
    </xf>
    <xf numFmtId="0" fontId="106" fillId="0" borderId="59" xfId="0" applyFont="1" applyBorder="1"/>
    <xf numFmtId="0" fontId="103" fillId="0" borderId="49" xfId="0" applyFont="1" applyBorder="1"/>
    <xf numFmtId="0" fontId="103" fillId="0" borderId="0" xfId="0" applyFont="1" applyBorder="1" applyAlignment="1">
      <alignment wrapText="1"/>
    </xf>
    <xf numFmtId="0" fontId="103" fillId="0" borderId="0" xfId="0" applyFont="1" applyAlignment="1">
      <alignment horizontal="center" vertical="center"/>
    </xf>
    <xf numFmtId="0" fontId="103" fillId="0" borderId="0" xfId="0" applyFont="1" applyBorder="1" applyAlignment="1">
      <alignment horizontal="left"/>
    </xf>
    <xf numFmtId="0" fontId="106" fillId="0" borderId="6" xfId="0" applyNumberFormat="1" applyFont="1" applyFill="1" applyBorder="1" applyAlignment="1">
      <alignment horizontal="left" vertical="center" wrapText="1"/>
    </xf>
    <xf numFmtId="0" fontId="103" fillId="0" borderId="16" xfId="0" applyFont="1" applyFill="1" applyBorder="1" applyAlignment="1">
      <alignment horizontal="center" vertical="center" wrapText="1"/>
    </xf>
    <xf numFmtId="0" fontId="119" fillId="0" borderId="0" xfId="0" applyFont="1"/>
    <xf numFmtId="0" fontId="103" fillId="0" borderId="84" xfId="0" applyNumberFormat="1" applyFont="1" applyFill="1" applyBorder="1" applyAlignment="1">
      <alignment horizontal="left" vertical="center" wrapText="1" indent="1" readingOrder="1"/>
    </xf>
    <xf numFmtId="0" fontId="108" fillId="0" borderId="6" xfId="0" applyFont="1" applyBorder="1" applyAlignment="1">
      <alignment horizontal="left" indent="3"/>
    </xf>
    <xf numFmtId="0" fontId="106" fillId="0" borderId="6" xfId="0" applyNumberFormat="1" applyFont="1" applyFill="1" applyBorder="1" applyAlignment="1">
      <alignment vertical="center" wrapText="1" readingOrder="1"/>
    </xf>
    <xf numFmtId="0" fontId="103" fillId="0" borderId="85" xfId="0" applyNumberFormat="1" applyFont="1" applyFill="1" applyBorder="1" applyAlignment="1">
      <alignment vertical="center" wrapText="1" readingOrder="1"/>
    </xf>
    <xf numFmtId="0" fontId="108" fillId="0" borderId="30" xfId="0" applyFont="1" applyBorder="1" applyAlignment="1">
      <alignment horizontal="left" indent="2"/>
    </xf>
    <xf numFmtId="0" fontId="103" fillId="0" borderId="84" xfId="0" applyNumberFormat="1" applyFont="1" applyFill="1" applyBorder="1" applyAlignment="1">
      <alignment vertical="center" wrapText="1" readingOrder="1"/>
    </xf>
    <xf numFmtId="0" fontId="108" fillId="0" borderId="6" xfId="0" applyFont="1" applyBorder="1" applyAlignment="1">
      <alignment horizontal="left" indent="2"/>
    </xf>
    <xf numFmtId="0" fontId="103" fillId="0" borderId="86" xfId="0" applyNumberFormat="1" applyFont="1" applyFill="1" applyBorder="1" applyAlignment="1">
      <alignment vertical="center" wrapText="1" readingOrder="1"/>
    </xf>
    <xf numFmtId="0" fontId="119" fillId="0" borderId="16" xfId="0" applyFont="1" applyBorder="1"/>
    <xf numFmtId="167" fontId="17" fillId="20" borderId="87" xfId="0" applyNumberFormat="1" applyFont="1" applyFill="1" applyBorder="1" applyAlignment="1">
      <alignment horizontal="center"/>
    </xf>
    <xf numFmtId="0" fontId="1" fillId="0" borderId="24" xfId="0" applyNumberFormat="1" applyFont="1" applyFill="1" applyBorder="1" applyAlignment="1">
      <alignment horizontal="left" vertical="center" wrapText="1" indent="1"/>
    </xf>
    <xf numFmtId="169" fontId="24" fillId="2" borderId="45" xfId="21" applyBorder="1"/>
    <xf numFmtId="192" fontId="3" fillId="0" borderId="25"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31" xfId="0" applyNumberFormat="1" applyFont="1" applyFill="1" applyBorder="1" applyAlignment="1" applyProtection="1">
      <alignment vertical="center" wrapText="1"/>
      <protection locked="0"/>
    </xf>
    <xf numFmtId="192" fontId="15" fillId="72" borderId="25" xfId="0" applyNumberFormat="1" applyFont="1" applyFill="1" applyBorder="1" applyAlignment="1" applyProtection="1">
      <alignment vertical="center"/>
      <protection locked="0"/>
    </xf>
    <xf numFmtId="192" fontId="15" fillId="72" borderId="6" xfId="0" applyNumberFormat="1" applyFont="1" applyFill="1" applyBorder="1" applyAlignment="1" applyProtection="1">
      <alignment vertical="center"/>
      <protection locked="0"/>
    </xf>
    <xf numFmtId="192" fontId="15" fillId="72" borderId="31" xfId="0" applyNumberFormat="1" applyFont="1" applyFill="1" applyBorder="1" applyAlignment="1" applyProtection="1">
      <alignment vertical="center"/>
      <protection locked="0"/>
    </xf>
    <xf numFmtId="192" fontId="7" fillId="72" borderId="25" xfId="0" applyNumberFormat="1" applyFont="1" applyFill="1" applyBorder="1" applyAlignment="1" applyProtection="1">
      <alignment vertical="center"/>
      <protection locked="0"/>
    </xf>
    <xf numFmtId="192" fontId="7" fillId="72" borderId="6" xfId="0" applyNumberFormat="1" applyFont="1" applyFill="1" applyBorder="1" applyAlignment="1" applyProtection="1">
      <alignment vertical="center"/>
      <protection locked="0"/>
    </xf>
    <xf numFmtId="192" fontId="7" fillId="72" borderId="31" xfId="0" applyNumberFormat="1" applyFont="1" applyFill="1" applyBorder="1" applyAlignment="1" applyProtection="1">
      <alignment vertical="center"/>
      <protection locked="0"/>
    </xf>
    <xf numFmtId="192" fontId="15" fillId="72" borderId="60" xfId="0" applyNumberFormat="1" applyFont="1" applyFill="1" applyBorder="1" applyAlignment="1" applyProtection="1">
      <alignment vertical="center"/>
      <protection locked="0"/>
    </xf>
    <xf numFmtId="192" fontId="15" fillId="72" borderId="30" xfId="0" applyNumberFormat="1" applyFont="1" applyFill="1" applyBorder="1" applyAlignment="1" applyProtection="1">
      <alignment vertical="center"/>
      <protection locked="0"/>
    </xf>
    <xf numFmtId="0" fontId="9" fillId="0" borderId="6" xfId="18" applyFill="1" applyBorder="1" applyAlignment="1" applyProtection="1">
      <alignment horizontal="left" vertical="top" wrapText="1"/>
    </xf>
    <xf numFmtId="0" fontId="3" fillId="0" borderId="31" xfId="0" applyFont="1" applyBorder="1" applyAlignment="1"/>
    <xf numFmtId="164" fontId="2" fillId="0" borderId="6" xfId="2" applyNumberFormat="1" applyFont="1" applyBorder="1"/>
    <xf numFmtId="164" fontId="0" fillId="0" borderId="6" xfId="2" applyNumberFormat="1" applyFont="1" applyBorder="1"/>
    <xf numFmtId="164" fontId="2" fillId="0" borderId="6" xfId="2" applyNumberFormat="1" applyFont="1" applyBorder="1" applyAlignment="1">
      <alignment vertical="center"/>
    </xf>
    <xf numFmtId="164" fontId="2" fillId="70" borderId="6" xfId="2" applyNumberFormat="1" applyFont="1" applyFill="1" applyBorder="1"/>
    <xf numFmtId="164" fontId="0" fillId="70" borderId="6" xfId="2" applyNumberFormat="1" applyFont="1" applyFill="1" applyBorder="1"/>
    <xf numFmtId="164" fontId="2" fillId="70" borderId="6" xfId="2" applyNumberFormat="1" applyFont="1" applyFill="1" applyBorder="1" applyAlignment="1">
      <alignment vertical="center"/>
    </xf>
    <xf numFmtId="164" fontId="0" fillId="0" borderId="0" xfId="2" applyNumberFormat="1" applyFont="1"/>
    <xf numFmtId="164" fontId="0" fillId="0" borderId="0" xfId="0" applyNumberFormat="1"/>
    <xf numFmtId="164" fontId="122" fillId="0" borderId="6" xfId="2" applyNumberFormat="1" applyFont="1" applyBorder="1"/>
    <xf numFmtId="164" fontId="122" fillId="70" borderId="6" xfId="2" applyNumberFormat="1" applyFont="1" applyFill="1" applyBorder="1"/>
    <xf numFmtId="0" fontId="11" fillId="0" borderId="12" xfId="0" applyFont="1" applyFill="1" applyBorder="1" applyAlignment="1">
      <alignment wrapText="1"/>
    </xf>
    <xf numFmtId="0" fontId="3" fillId="0" borderId="31" xfId="0" applyFont="1" applyFill="1" applyBorder="1" applyAlignment="1"/>
    <xf numFmtId="164" fontId="24" fillId="2" borderId="0" xfId="2" applyNumberFormat="1" applyFont="1" applyFill="1" applyBorder="1"/>
    <xf numFmtId="164" fontId="3" fillId="0" borderId="55" xfId="2" applyNumberFormat="1" applyFont="1" applyFill="1" applyBorder="1" applyAlignment="1">
      <alignment vertical="center"/>
    </xf>
    <xf numFmtId="164" fontId="3" fillId="0" borderId="59" xfId="2" applyNumberFormat="1" applyFont="1" applyFill="1" applyBorder="1" applyAlignment="1">
      <alignment vertical="center"/>
    </xf>
    <xf numFmtId="164" fontId="3" fillId="69" borderId="8" xfId="2" applyNumberFormat="1" applyFont="1" applyFill="1" applyBorder="1" applyAlignment="1">
      <alignment vertical="center"/>
    </xf>
    <xf numFmtId="164" fontId="3" fillId="69" borderId="27" xfId="2" applyNumberFormat="1" applyFont="1" applyFill="1" applyBorder="1" applyAlignment="1">
      <alignment vertical="center"/>
    </xf>
    <xf numFmtId="164" fontId="3" fillId="0" borderId="12" xfId="2" applyNumberFormat="1" applyFont="1" applyFill="1" applyBorder="1" applyAlignment="1">
      <alignment vertical="center"/>
    </xf>
    <xf numFmtId="164" fontId="3" fillId="0" borderId="31" xfId="2" applyNumberFormat="1" applyFont="1" applyFill="1" applyBorder="1" applyAlignment="1">
      <alignment vertical="center"/>
    </xf>
    <xf numFmtId="164" fontId="3" fillId="0" borderId="38" xfId="2" applyNumberFormat="1" applyFont="1" applyFill="1" applyBorder="1" applyAlignment="1">
      <alignment vertical="center"/>
    </xf>
    <xf numFmtId="164" fontId="3" fillId="0" borderId="28" xfId="2" applyNumberFormat="1" applyFont="1" applyFill="1" applyBorder="1" applyAlignment="1">
      <alignment vertical="center"/>
    </xf>
    <xf numFmtId="164" fontId="3" fillId="0" borderId="33" xfId="2" applyNumberFormat="1" applyFont="1" applyFill="1" applyBorder="1" applyAlignment="1">
      <alignment vertical="center"/>
    </xf>
    <xf numFmtId="164" fontId="3" fillId="0" borderId="53" xfId="2" applyNumberFormat="1" applyFont="1" applyFill="1" applyBorder="1" applyAlignment="1">
      <alignment vertical="center"/>
    </xf>
    <xf numFmtId="164" fontId="3" fillId="0" borderId="32" xfId="2" applyNumberFormat="1" applyFont="1" applyFill="1" applyBorder="1" applyAlignment="1">
      <alignment vertical="center"/>
    </xf>
    <xf numFmtId="164" fontId="3" fillId="0" borderId="56" xfId="2" applyNumberFormat="1" applyFont="1" applyFill="1" applyBorder="1" applyAlignment="1">
      <alignment vertical="center"/>
    </xf>
    <xf numFmtId="164" fontId="3" fillId="0" borderId="61" xfId="2" applyNumberFormat="1" applyFont="1" applyFill="1" applyBorder="1" applyAlignment="1">
      <alignment vertical="center"/>
    </xf>
    <xf numFmtId="10" fontId="3" fillId="0" borderId="58" xfId="1" applyNumberFormat="1" applyFont="1" applyFill="1" applyBorder="1" applyAlignment="1">
      <alignment vertical="center"/>
    </xf>
    <xf numFmtId="10" fontId="3" fillId="0" borderId="63" xfId="1" applyNumberFormat="1" applyFont="1" applyFill="1" applyBorder="1" applyAlignment="1">
      <alignment vertical="center"/>
    </xf>
    <xf numFmtId="165" fontId="3" fillId="0" borderId="6" xfId="1" applyNumberFormat="1" applyFont="1" applyFill="1" applyBorder="1" applyAlignment="1" applyProtection="1">
      <alignment horizontal="right" vertical="center" wrapText="1"/>
      <protection locked="0"/>
    </xf>
    <xf numFmtId="165" fontId="3" fillId="0" borderId="6" xfId="1" applyNumberFormat="1" applyFont="1" applyBorder="1" applyAlignment="1" applyProtection="1">
      <alignment vertical="center" wrapText="1"/>
      <protection locked="0"/>
    </xf>
    <xf numFmtId="165" fontId="3" fillId="0" borderId="31" xfId="1" applyNumberFormat="1" applyFont="1" applyBorder="1" applyAlignment="1" applyProtection="1">
      <alignment vertical="center" wrapText="1"/>
      <protection locked="0"/>
    </xf>
    <xf numFmtId="165" fontId="0" fillId="0" borderId="0" xfId="1" applyNumberFormat="1" applyFont="1"/>
    <xf numFmtId="165" fontId="3" fillId="0" borderId="25" xfId="1" applyNumberFormat="1" applyFont="1" applyBorder="1" applyAlignment="1" applyProtection="1">
      <alignment vertical="center" wrapText="1"/>
      <protection locked="0"/>
    </xf>
    <xf numFmtId="165" fontId="24" fillId="2" borderId="0" xfId="1" applyNumberFormat="1" applyFont="1" applyFill="1" applyBorder="1"/>
    <xf numFmtId="165" fontId="24" fillId="2" borderId="54" xfId="1" applyNumberFormat="1" applyFont="1" applyFill="1" applyBorder="1"/>
    <xf numFmtId="165" fontId="24" fillId="2" borderId="45" xfId="1" applyNumberFormat="1" applyFont="1" applyFill="1" applyBorder="1"/>
    <xf numFmtId="165" fontId="7" fillId="72" borderId="6" xfId="1" applyNumberFormat="1" applyFont="1" applyFill="1" applyBorder="1" applyAlignment="1" applyProtection="1">
      <alignment vertical="center"/>
      <protection locked="0"/>
    </xf>
    <xf numFmtId="165" fontId="15" fillId="72" borderId="6" xfId="1" applyNumberFormat="1" applyFont="1" applyFill="1" applyBorder="1" applyAlignment="1" applyProtection="1">
      <alignment vertical="center"/>
      <protection locked="0"/>
    </xf>
    <xf numFmtId="165" fontId="15" fillId="72" borderId="31" xfId="1" applyNumberFormat="1" applyFont="1" applyFill="1" applyBorder="1" applyAlignment="1" applyProtection="1">
      <alignment vertical="center"/>
      <protection locked="0"/>
    </xf>
    <xf numFmtId="165" fontId="15" fillId="72" borderId="25" xfId="1" applyNumberFormat="1" applyFont="1" applyFill="1" applyBorder="1" applyAlignment="1" applyProtection="1">
      <alignment vertical="center"/>
      <protection locked="0"/>
    </xf>
    <xf numFmtId="165" fontId="7" fillId="72" borderId="31" xfId="1" applyNumberFormat="1" applyFont="1" applyFill="1" applyBorder="1" applyAlignment="1" applyProtection="1">
      <alignment vertical="center"/>
      <protection locked="0"/>
    </xf>
    <xf numFmtId="165" fontId="7" fillId="72" borderId="25" xfId="1" applyNumberFormat="1" applyFont="1" applyFill="1" applyBorder="1" applyAlignment="1" applyProtection="1">
      <alignment vertical="center"/>
      <protection locked="0"/>
    </xf>
    <xf numFmtId="165" fontId="15" fillId="72" borderId="26" xfId="1" applyNumberFormat="1" applyFont="1" applyFill="1" applyBorder="1" applyAlignment="1" applyProtection="1">
      <alignment vertical="center"/>
      <protection locked="0"/>
    </xf>
    <xf numFmtId="165" fontId="15" fillId="72" borderId="38" xfId="1" applyNumberFormat="1" applyFont="1" applyFill="1" applyBorder="1" applyAlignment="1" applyProtection="1">
      <alignment vertical="center"/>
      <protection locked="0"/>
    </xf>
    <xf numFmtId="165" fontId="15" fillId="72" borderId="33" xfId="1" applyNumberFormat="1" applyFont="1" applyFill="1" applyBorder="1" applyAlignment="1" applyProtection="1">
      <alignment vertical="center"/>
      <protection locked="0"/>
    </xf>
    <xf numFmtId="192" fontId="0" fillId="0" borderId="0" xfId="0" applyNumberFormat="1"/>
    <xf numFmtId="4" fontId="0" fillId="0" borderId="0" xfId="0" applyNumberFormat="1"/>
    <xf numFmtId="0" fontId="124" fillId="0" borderId="0" xfId="0" applyFont="1"/>
    <xf numFmtId="3" fontId="10" fillId="0" borderId="0" xfId="0" applyNumberFormat="1" applyFont="1"/>
    <xf numFmtId="164" fontId="3" fillId="0" borderId="31" xfId="2" applyNumberFormat="1" applyFont="1" applyFill="1" applyBorder="1" applyAlignment="1">
      <alignment horizontal="right" vertical="center" wrapText="1"/>
    </xf>
    <xf numFmtId="164" fontId="5" fillId="70" borderId="31" xfId="2" applyNumberFormat="1" applyFont="1" applyFill="1" applyBorder="1" applyAlignment="1">
      <alignment horizontal="right" vertical="center" wrapText="1"/>
    </xf>
    <xf numFmtId="164" fontId="5" fillId="70" borderId="31" xfId="2" applyNumberFormat="1" applyFont="1" applyFill="1" applyBorder="1" applyAlignment="1">
      <alignment horizontal="center" vertical="center" wrapText="1"/>
    </xf>
    <xf numFmtId="164" fontId="6" fillId="0" borderId="33" xfId="2" applyNumberFormat="1" applyFont="1" applyFill="1" applyBorder="1" applyAlignment="1" applyProtection="1">
      <alignment horizontal="right" vertical="center"/>
    </xf>
    <xf numFmtId="192" fontId="3" fillId="0" borderId="0" xfId="0" applyNumberFormat="1" applyFont="1"/>
    <xf numFmtId="167" fontId="10" fillId="0" borderId="0" xfId="0" applyNumberFormat="1" applyFont="1" applyAlignment="1"/>
    <xf numFmtId="192" fontId="10" fillId="0" borderId="0" xfId="0" applyNumberFormat="1" applyFont="1" applyAlignment="1"/>
    <xf numFmtId="43" fontId="10" fillId="0" borderId="0" xfId="2" applyFont="1"/>
    <xf numFmtId="192" fontId="7" fillId="0" borderId="6" xfId="0" applyNumberFormat="1" applyFont="1" applyFill="1" applyBorder="1" applyAlignment="1" applyProtection="1">
      <alignment vertical="center"/>
      <protection locked="0"/>
    </xf>
    <xf numFmtId="165" fontId="7" fillId="0" borderId="6" xfId="1" applyNumberFormat="1" applyFont="1" applyFill="1" applyBorder="1" applyAlignment="1" applyProtection="1">
      <alignment vertical="center"/>
      <protection locked="0"/>
    </xf>
    <xf numFmtId="43" fontId="0" fillId="0" borderId="0" xfId="2" applyFont="1"/>
    <xf numFmtId="43" fontId="0" fillId="0" borderId="0" xfId="0" applyNumberFormat="1"/>
    <xf numFmtId="0" fontId="3" fillId="0" borderId="31" xfId="0" applyFont="1" applyBorder="1" applyAlignment="1"/>
    <xf numFmtId="167" fontId="0" fillId="0" borderId="0" xfId="0" applyNumberFormat="1"/>
    <xf numFmtId="43" fontId="0" fillId="0" borderId="0" xfId="0" applyNumberFormat="1" applyFont="1" applyFill="1"/>
    <xf numFmtId="43" fontId="20" fillId="0" borderId="79" xfId="2" applyFont="1" applyFill="1" applyBorder="1" applyAlignment="1">
      <alignment horizontal="center"/>
    </xf>
    <xf numFmtId="43" fontId="21" fillId="0" borderId="40" xfId="2" applyFont="1" applyBorder="1" applyAlignment="1">
      <alignment horizontal="center"/>
    </xf>
    <xf numFmtId="43" fontId="21" fillId="0" borderId="41" xfId="2" applyFont="1" applyBorder="1" applyAlignment="1">
      <alignment horizontal="center"/>
    </xf>
    <xf numFmtId="43" fontId="21" fillId="0" borderId="6" xfId="2" applyFont="1" applyBorder="1" applyAlignment="1">
      <alignment horizontal="center"/>
    </xf>
    <xf numFmtId="43" fontId="21" fillId="0" borderId="6" xfId="2" applyFont="1" applyFill="1" applyBorder="1" applyAlignment="1">
      <alignment horizontal="center"/>
    </xf>
    <xf numFmtId="43" fontId="21" fillId="0" borderId="6" xfId="2" applyFont="1" applyBorder="1" applyAlignment="1"/>
    <xf numFmtId="164" fontId="21" fillId="0" borderId="0" xfId="2" applyNumberFormat="1" applyFont="1"/>
    <xf numFmtId="164" fontId="7" fillId="0" borderId="0" xfId="2" applyNumberFormat="1" applyFont="1" applyFill="1" applyBorder="1" applyAlignment="1" applyProtection="1"/>
    <xf numFmtId="164" fontId="3" fillId="0" borderId="44" xfId="2" applyNumberFormat="1" applyFont="1" applyFill="1" applyBorder="1" applyAlignment="1">
      <alignment horizontal="center" vertical="center" wrapText="1"/>
    </xf>
    <xf numFmtId="164" fontId="20" fillId="0" borderId="82" xfId="2" applyNumberFormat="1" applyFont="1" applyBorder="1" applyAlignment="1">
      <alignment horizontal="center" vertical="center"/>
    </xf>
    <xf numFmtId="164" fontId="21" fillId="0" borderId="80" xfId="2" applyNumberFormat="1" applyFont="1" applyBorder="1" applyAlignment="1">
      <alignment horizontal="center" vertical="center"/>
    </xf>
    <xf numFmtId="164" fontId="20" fillId="0" borderId="80" xfId="2" applyNumberFormat="1" applyFont="1" applyBorder="1" applyAlignment="1">
      <alignment horizontal="center" vertical="center"/>
    </xf>
    <xf numFmtId="164" fontId="17" fillId="0" borderId="80" xfId="2" applyNumberFormat="1" applyFont="1" applyBorder="1" applyAlignment="1">
      <alignment horizontal="center" vertical="center"/>
    </xf>
    <xf numFmtId="164" fontId="97" fillId="0" borderId="80" xfId="2" applyNumberFormat="1" applyFont="1" applyBorder="1" applyAlignment="1">
      <alignment horizontal="center" vertical="center"/>
    </xf>
    <xf numFmtId="164" fontId="21" fillId="0" borderId="80" xfId="2" applyNumberFormat="1" applyFont="1" applyFill="1" applyBorder="1" applyAlignment="1">
      <alignment horizontal="center" vertical="center"/>
    </xf>
    <xf numFmtId="164" fontId="21" fillId="0" borderId="50" xfId="2" applyNumberFormat="1" applyFont="1" applyBorder="1" applyAlignment="1">
      <alignment horizontal="center" vertical="center"/>
    </xf>
    <xf numFmtId="164" fontId="20" fillId="0" borderId="81" xfId="2" applyNumberFormat="1" applyFont="1" applyFill="1" applyBorder="1" applyAlignment="1">
      <alignment horizontal="center" vertical="center"/>
    </xf>
    <xf numFmtId="164" fontId="20" fillId="0" borderId="83" xfId="2" applyNumberFormat="1" applyFont="1" applyBorder="1" applyAlignment="1">
      <alignment horizontal="center" vertical="center"/>
    </xf>
    <xf numFmtId="164" fontId="20" fillId="0" borderId="50" xfId="2" applyNumberFormat="1" applyFont="1" applyBorder="1" applyAlignment="1">
      <alignment horizontal="center" vertical="center"/>
    </xf>
    <xf numFmtId="164" fontId="17" fillId="0" borderId="50" xfId="2" applyNumberFormat="1" applyFont="1" applyBorder="1" applyAlignment="1">
      <alignment horizontal="center" vertical="center"/>
    </xf>
    <xf numFmtId="164" fontId="21" fillId="0" borderId="6" xfId="2" applyNumberFormat="1" applyFont="1" applyBorder="1" applyAlignment="1">
      <alignment horizontal="center" vertical="center"/>
    </xf>
    <xf numFmtId="164" fontId="20" fillId="0" borderId="6" xfId="2" applyNumberFormat="1" applyFont="1" applyFill="1" applyBorder="1" applyAlignment="1">
      <alignment horizontal="center" vertical="center"/>
    </xf>
    <xf numFmtId="164" fontId="20" fillId="0" borderId="6" xfId="2" applyNumberFormat="1" applyFont="1" applyBorder="1" applyAlignment="1">
      <alignment horizontal="center" vertical="center"/>
    </xf>
    <xf numFmtId="0" fontId="103" fillId="0" borderId="16" xfId="0" applyFont="1" applyBorder="1" applyAlignment="1">
      <alignment horizontal="center" vertical="center" wrapText="1"/>
    </xf>
    <xf numFmtId="0" fontId="103" fillId="0" borderId="6" xfId="0" applyFont="1" applyBorder="1" applyAlignment="1">
      <alignment horizontal="center" vertical="center" wrapText="1"/>
    </xf>
    <xf numFmtId="0" fontId="103" fillId="0" borderId="56" xfId="0" applyFont="1" applyFill="1" applyBorder="1" applyAlignment="1">
      <alignment horizontal="center" vertical="center" wrapText="1"/>
    </xf>
    <xf numFmtId="0" fontId="103" fillId="0" borderId="31" xfId="0" applyFont="1" applyBorder="1" applyAlignment="1">
      <alignment horizontal="center" vertical="center" wrapText="1"/>
    </xf>
    <xf numFmtId="164" fontId="104" fillId="0" borderId="6" xfId="2" applyNumberFormat="1" applyFont="1" applyBorder="1"/>
    <xf numFmtId="164" fontId="107" fillId="0" borderId="6" xfId="2" applyNumberFormat="1" applyFont="1" applyBorder="1"/>
    <xf numFmtId="164" fontId="103" fillId="0" borderId="6" xfId="2" applyNumberFormat="1" applyFont="1" applyBorder="1"/>
    <xf numFmtId="164" fontId="103" fillId="0" borderId="6" xfId="2" applyNumberFormat="1" applyFont="1" applyBorder="1" applyAlignment="1">
      <alignment horizontal="center" vertical="center" wrapText="1"/>
    </xf>
    <xf numFmtId="164" fontId="103" fillId="0" borderId="6" xfId="2" applyNumberFormat="1" applyFont="1" applyBorder="1" applyAlignment="1">
      <alignment horizontal="center" vertical="center"/>
    </xf>
    <xf numFmtId="164" fontId="106" fillId="0" borderId="6" xfId="2" applyNumberFormat="1" applyFont="1" applyBorder="1"/>
    <xf numFmtId="164" fontId="108" fillId="0" borderId="6" xfId="2" applyNumberFormat="1" applyFont="1" applyBorder="1"/>
    <xf numFmtId="9" fontId="108" fillId="0" borderId="6" xfId="1" applyFont="1" applyBorder="1"/>
    <xf numFmtId="1" fontId="108" fillId="0" borderId="6" xfId="1" applyNumberFormat="1" applyFont="1" applyBorder="1"/>
    <xf numFmtId="164" fontId="108" fillId="0" borderId="30" xfId="2" applyNumberFormat="1" applyFont="1" applyBorder="1"/>
    <xf numFmtId="164" fontId="103" fillId="70" borderId="6" xfId="2" applyNumberFormat="1" applyFont="1" applyFill="1" applyBorder="1"/>
    <xf numFmtId="164" fontId="103" fillId="0" borderId="31" xfId="2" applyNumberFormat="1" applyFont="1" applyBorder="1"/>
    <xf numFmtId="164" fontId="103" fillId="77" borderId="25" xfId="2" applyNumberFormat="1" applyFont="1" applyFill="1" applyBorder="1"/>
    <xf numFmtId="164" fontId="103" fillId="77" borderId="6" xfId="2" applyNumberFormat="1" applyFont="1" applyFill="1" applyBorder="1"/>
    <xf numFmtId="164" fontId="103" fillId="77" borderId="31" xfId="2" applyNumberFormat="1" applyFont="1" applyFill="1" applyBorder="1"/>
    <xf numFmtId="164" fontId="103" fillId="0" borderId="6" xfId="2" applyNumberFormat="1" applyFont="1" applyFill="1" applyBorder="1"/>
    <xf numFmtId="164" fontId="103" fillId="0" borderId="31" xfId="2" applyNumberFormat="1" applyFont="1" applyFill="1" applyBorder="1"/>
    <xf numFmtId="164" fontId="103" fillId="0" borderId="38" xfId="2" applyNumberFormat="1" applyFont="1" applyFill="1" applyBorder="1"/>
    <xf numFmtId="164" fontId="103" fillId="0" borderId="33" xfId="2" applyNumberFormat="1" applyFont="1" applyFill="1" applyBorder="1"/>
    <xf numFmtId="164" fontId="103" fillId="0" borderId="49" xfId="2" applyNumberFormat="1" applyFont="1" applyBorder="1"/>
    <xf numFmtId="164" fontId="103" fillId="0" borderId="109" xfId="2" applyNumberFormat="1" applyFont="1" applyBorder="1"/>
    <xf numFmtId="164" fontId="103" fillId="0" borderId="6" xfId="2" applyNumberFormat="1" applyFont="1" applyBorder="1" applyAlignment="1">
      <alignment horizontal="left" indent="1"/>
    </xf>
    <xf numFmtId="164" fontId="106" fillId="76" borderId="6" xfId="2" applyNumberFormat="1" applyFont="1" applyFill="1" applyBorder="1"/>
    <xf numFmtId="164" fontId="103" fillId="0" borderId="6" xfId="0" applyNumberFormat="1" applyFont="1" applyFill="1" applyBorder="1" applyAlignment="1">
      <alignment horizontal="left" vertical="center" wrapText="1"/>
    </xf>
    <xf numFmtId="164" fontId="108" fillId="0" borderId="6" xfId="0" applyNumberFormat="1" applyFont="1" applyBorder="1"/>
    <xf numFmtId="0" fontId="109" fillId="0" borderId="6" xfId="0" applyFont="1" applyFill="1" applyBorder="1" applyAlignment="1">
      <alignment horizontal="left" indent="2"/>
    </xf>
    <xf numFmtId="164" fontId="109" fillId="0" borderId="6" xfId="0" applyNumberFormat="1" applyFont="1" applyBorder="1"/>
    <xf numFmtId="164" fontId="109" fillId="0" borderId="6" xfId="2" applyNumberFormat="1" applyFont="1" applyBorder="1"/>
    <xf numFmtId="9" fontId="109" fillId="0" borderId="6" xfId="1" applyFont="1" applyBorder="1"/>
    <xf numFmtId="1" fontId="109" fillId="0" borderId="6" xfId="1" applyNumberFormat="1" applyFont="1" applyBorder="1"/>
    <xf numFmtId="0" fontId="125" fillId="0" borderId="0" xfId="0" applyFont="1"/>
    <xf numFmtId="10" fontId="3" fillId="0" borderId="27" xfId="1" applyNumberFormat="1" applyFont="1" applyFill="1" applyBorder="1" applyAlignment="1"/>
    <xf numFmtId="3" fontId="103" fillId="0" borderId="6" xfId="0" applyNumberFormat="1" applyFont="1" applyBorder="1"/>
    <xf numFmtId="3" fontId="103" fillId="0" borderId="6" xfId="0" applyNumberFormat="1" applyFont="1" applyFill="1" applyBorder="1"/>
    <xf numFmtId="3" fontId="103" fillId="70" borderId="6" xfId="21413" applyNumberFormat="1" applyFont="1" applyFill="1" applyBorder="1"/>
    <xf numFmtId="3" fontId="106" fillId="0" borderId="6" xfId="0" applyNumberFormat="1" applyFont="1" applyBorder="1"/>
    <xf numFmtId="192" fontId="7" fillId="0" borderId="30" xfId="0" applyNumberFormat="1" applyFont="1" applyFill="1" applyBorder="1" applyAlignment="1" applyProtection="1">
      <alignment vertical="center"/>
      <protection locked="0"/>
    </xf>
    <xf numFmtId="165" fontId="7" fillId="0" borderId="38" xfId="1" applyNumberFormat="1" applyFont="1" applyFill="1" applyBorder="1" applyAlignment="1" applyProtection="1">
      <alignment vertical="center"/>
      <protection locked="0"/>
    </xf>
    <xf numFmtId="3" fontId="19" fillId="0" borderId="12" xfId="0" applyNumberFormat="1" applyFont="1" applyFill="1" applyBorder="1" applyAlignment="1">
      <alignment vertical="center" wrapText="1"/>
    </xf>
    <xf numFmtId="3" fontId="19" fillId="0" borderId="27" xfId="0" applyNumberFormat="1" applyFont="1" applyFill="1" applyBorder="1" applyAlignment="1">
      <alignment vertical="center" wrapText="1"/>
    </xf>
    <xf numFmtId="0" fontId="6" fillId="0" borderId="6" xfId="14" applyFont="1" applyFill="1" applyBorder="1" applyAlignment="1" applyProtection="1">
      <alignment wrapText="1"/>
      <protection locked="0"/>
    </xf>
    <xf numFmtId="0" fontId="6" fillId="0" borderId="6" xfId="14" applyFont="1" applyFill="1" applyBorder="1" applyAlignment="1" applyProtection="1">
      <alignment vertical="center" wrapText="1"/>
      <protection locked="0"/>
    </xf>
    <xf numFmtId="3" fontId="0" fillId="0" borderId="0" xfId="0" applyNumberFormat="1" applyAlignment="1">
      <alignment wrapText="1"/>
    </xf>
    <xf numFmtId="4" fontId="0" fillId="0" borderId="0" xfId="0" applyNumberFormat="1" applyAlignment="1">
      <alignment wrapText="1"/>
    </xf>
    <xf numFmtId="164" fontId="3" fillId="0" borderId="0" xfId="0" applyNumberFormat="1" applyFont="1" applyFill="1" applyAlignment="1">
      <alignment horizontal="left" vertical="center"/>
    </xf>
    <xf numFmtId="164" fontId="3" fillId="0" borderId="31" xfId="2" applyNumberFormat="1" applyFont="1" applyBorder="1" applyAlignment="1"/>
    <xf numFmtId="164" fontId="3" fillId="70" borderId="33" xfId="2" applyNumberFormat="1" applyFont="1" applyFill="1" applyBorder="1"/>
    <xf numFmtId="165" fontId="100" fillId="74" borderId="6" xfId="1" applyNumberFormat="1" applyFont="1" applyFill="1" applyBorder="1" applyAlignment="1" applyProtection="1">
      <alignment horizontal="right" vertical="center"/>
    </xf>
    <xf numFmtId="164" fontId="24" fillId="0" borderId="6" xfId="2" applyNumberFormat="1" applyFont="1" applyFill="1" applyBorder="1"/>
    <xf numFmtId="164" fontId="104" fillId="0" borderId="0" xfId="0" applyNumberFormat="1" applyFont="1"/>
    <xf numFmtId="3" fontId="104" fillId="0" borderId="0" xfId="0" applyNumberFormat="1" applyFont="1"/>
    <xf numFmtId="4" fontId="104" fillId="0" borderId="0" xfId="0" applyNumberFormat="1" applyFont="1"/>
    <xf numFmtId="164" fontId="104" fillId="0" borderId="0" xfId="0" applyNumberFormat="1" applyFont="1" applyBorder="1"/>
    <xf numFmtId="164" fontId="103" fillId="0" borderId="0" xfId="0" applyNumberFormat="1" applyFont="1"/>
    <xf numFmtId="164" fontId="103" fillId="76" borderId="6" xfId="2" applyNumberFormat="1" applyFont="1" applyFill="1" applyBorder="1"/>
    <xf numFmtId="164" fontId="103" fillId="0" borderId="0" xfId="0" applyNumberFormat="1" applyFont="1" applyBorder="1"/>
    <xf numFmtId="0" fontId="106" fillId="0" borderId="6" xfId="0" applyFont="1" applyBorder="1" applyAlignment="1">
      <alignment horizontal="center"/>
    </xf>
    <xf numFmtId="164" fontId="106" fillId="0" borderId="6" xfId="2" applyNumberFormat="1" applyFont="1" applyBorder="1" applyAlignment="1">
      <alignment horizontal="left" indent="1"/>
    </xf>
    <xf numFmtId="164" fontId="106" fillId="0" borderId="0" xfId="0" applyNumberFormat="1" applyFont="1" applyBorder="1"/>
    <xf numFmtId="0" fontId="106" fillId="0" borderId="0" xfId="0" applyFont="1"/>
    <xf numFmtId="0" fontId="7" fillId="0" borderId="60" xfId="0" applyFont="1" applyBorder="1" applyAlignment="1">
      <alignment vertical="center"/>
    </xf>
    <xf numFmtId="0" fontId="7" fillId="0" borderId="24" xfId="0" applyFont="1" applyBorder="1" applyAlignment="1">
      <alignment vertical="center"/>
    </xf>
    <xf numFmtId="0" fontId="8" fillId="0" borderId="53" xfId="0" applyFont="1" applyBorder="1" applyAlignment="1">
      <alignment horizontal="center" vertical="center" wrapText="1"/>
    </xf>
    <xf numFmtId="0" fontId="8" fillId="0" borderId="32" xfId="0" applyFont="1" applyBorder="1" applyAlignment="1">
      <alignment horizontal="center" vertical="center" wrapText="1"/>
    </xf>
    <xf numFmtId="0" fontId="7" fillId="0" borderId="26" xfId="0" applyFont="1" applyBorder="1" applyAlignment="1">
      <alignment vertical="center"/>
    </xf>
    <xf numFmtId="10" fontId="3" fillId="0" borderId="69" xfId="1" applyNumberFormat="1" applyFont="1" applyFill="1" applyBorder="1" applyAlignment="1"/>
    <xf numFmtId="0" fontId="3" fillId="0" borderId="24" xfId="0" applyFont="1" applyBorder="1" applyAlignment="1">
      <alignment vertical="center" wrapText="1"/>
    </xf>
    <xf numFmtId="0" fontId="5" fillId="0" borderId="34" xfId="0" applyFont="1" applyBorder="1" applyAlignment="1">
      <alignment vertical="center" wrapText="1"/>
    </xf>
    <xf numFmtId="3" fontId="19" fillId="0" borderId="31" xfId="0" applyNumberFormat="1" applyFont="1" applyBorder="1" applyAlignment="1">
      <alignment vertical="center" wrapText="1"/>
    </xf>
    <xf numFmtId="3" fontId="3" fillId="0" borderId="0" xfId="0" applyNumberFormat="1" applyFont="1"/>
    <xf numFmtId="164" fontId="104" fillId="0" borderId="0" xfId="2" applyNumberFormat="1" applyFont="1"/>
    <xf numFmtId="164" fontId="98" fillId="0" borderId="0" xfId="0" applyNumberFormat="1" applyFont="1"/>
    <xf numFmtId="164" fontId="104" fillId="0" borderId="6" xfId="2" applyNumberFormat="1" applyFont="1" applyFill="1" applyBorder="1"/>
    <xf numFmtId="164" fontId="103" fillId="0" borderId="49" xfId="2" applyNumberFormat="1" applyFont="1" applyFill="1" applyBorder="1"/>
    <xf numFmtId="164" fontId="126" fillId="0" borderId="6" xfId="2" applyNumberFormat="1" applyFont="1" applyFill="1" applyBorder="1"/>
    <xf numFmtId="0" fontId="104" fillId="0" borderId="0" xfId="12" applyFont="1" applyFill="1" applyBorder="1" applyProtection="1"/>
    <xf numFmtId="43" fontId="3" fillId="0" borderId="0" xfId="2" applyFont="1"/>
    <xf numFmtId="0" fontId="104" fillId="0" borderId="0" xfId="12" applyFont="1" applyFill="1" applyBorder="1" applyAlignment="1" applyProtection="1"/>
    <xf numFmtId="0" fontId="111" fillId="0" borderId="0" xfId="12" applyFont="1" applyFill="1" applyBorder="1" applyAlignment="1" applyProtection="1"/>
    <xf numFmtId="0" fontId="126" fillId="0" borderId="0" xfId="0" applyFont="1"/>
    <xf numFmtId="0" fontId="126" fillId="0" borderId="0" xfId="0" applyFont="1" applyAlignment="1">
      <alignment horizontal="center" vertical="center"/>
    </xf>
    <xf numFmtId="0" fontId="104" fillId="0" borderId="6" xfId="0" applyFont="1" applyBorder="1"/>
    <xf numFmtId="0" fontId="104" fillId="0" borderId="6" xfId="0" applyFont="1" applyFill="1" applyBorder="1"/>
    <xf numFmtId="0" fontId="104" fillId="0" borderId="6" xfId="0" applyFont="1" applyBorder="1" applyAlignment="1">
      <alignment horizontal="left" indent="1"/>
    </xf>
    <xf numFmtId="164" fontId="128" fillId="56" borderId="3" xfId="850" applyNumberFormat="1" applyFont="1"/>
    <xf numFmtId="0" fontId="104" fillId="0" borderId="6" xfId="0" applyFont="1" applyFill="1" applyBorder="1" applyAlignment="1">
      <alignment horizontal="left" indent="1"/>
    </xf>
    <xf numFmtId="0" fontId="21" fillId="0" borderId="0" xfId="0" applyFont="1" applyFill="1" applyBorder="1" applyAlignment="1">
      <alignment wrapText="1"/>
    </xf>
    <xf numFmtId="0" fontId="97" fillId="0" borderId="56" xfId="0" applyFont="1" applyBorder="1" applyAlignment="1">
      <alignment horizontal="left" vertical="center" wrapText="1"/>
    </xf>
    <xf numFmtId="0" fontId="97" fillId="0" borderId="66" xfId="0" applyFont="1" applyBorder="1" applyAlignment="1">
      <alignment horizontal="left" vertical="center" wrapText="1"/>
    </xf>
    <xf numFmtId="0" fontId="121" fillId="0" borderId="88" xfId="0" applyFont="1" applyBorder="1" applyAlignment="1">
      <alignment horizontal="center" vertical="center"/>
    </xf>
    <xf numFmtId="0" fontId="121" fillId="0" borderId="7" xfId="0" applyFont="1" applyBorder="1" applyAlignment="1">
      <alignment horizontal="center" vertical="center"/>
    </xf>
    <xf numFmtId="0" fontId="121" fillId="0" borderId="89" xfId="0" applyFont="1" applyBorder="1" applyAlignment="1">
      <alignment horizontal="center" vertical="center"/>
    </xf>
    <xf numFmtId="0" fontId="122" fillId="0" borderId="88" xfId="0" applyFont="1" applyBorder="1" applyAlignment="1">
      <alignment horizontal="center" wrapText="1"/>
    </xf>
    <xf numFmtId="0" fontId="122" fillId="0" borderId="7" xfId="0" applyFont="1" applyBorder="1" applyAlignment="1">
      <alignment horizontal="center" wrapText="1"/>
    </xf>
    <xf numFmtId="0" fontId="122" fillId="0" borderId="89" xfId="0" applyFont="1" applyBorder="1" applyAlignment="1">
      <alignment horizontal="center" wrapText="1"/>
    </xf>
    <xf numFmtId="0" fontId="0" fillId="0" borderId="12" xfId="0" applyBorder="1" applyAlignment="1">
      <alignment horizontal="center"/>
    </xf>
    <xf numFmtId="0" fontId="0" fillId="0" borderId="8" xfId="0" applyBorder="1" applyAlignment="1">
      <alignment horizontal="center"/>
    </xf>
    <xf numFmtId="0" fontId="0" fillId="0" borderId="68" xfId="0" applyBorder="1" applyAlignment="1">
      <alignment horizontal="center"/>
    </xf>
    <xf numFmtId="0" fontId="0" fillId="0" borderId="6" xfId="0" applyBorder="1" applyAlignment="1">
      <alignment horizontal="center" vertical="center"/>
    </xf>
    <xf numFmtId="0" fontId="112" fillId="0" borderId="30" xfId="0" applyFont="1" applyBorder="1" applyAlignment="1">
      <alignment horizontal="center" vertical="center"/>
    </xf>
    <xf numFmtId="0" fontId="112" fillId="0" borderId="16" xfId="0" applyFont="1" applyBorder="1" applyAlignment="1">
      <alignment horizontal="center" vertical="center"/>
    </xf>
    <xf numFmtId="0" fontId="8" fillId="0" borderId="34"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112" fillId="0" borderId="30" xfId="0" applyFont="1" applyBorder="1" applyAlignment="1">
      <alignment horizontal="center" vertical="center" wrapText="1"/>
    </xf>
    <xf numFmtId="0" fontId="112" fillId="0" borderId="16" xfId="0" applyFont="1" applyBorder="1" applyAlignment="1">
      <alignment horizontal="center" vertical="center" wrapText="1"/>
    </xf>
    <xf numFmtId="0" fontId="0" fillId="0" borderId="73" xfId="0" applyBorder="1" applyAlignment="1">
      <alignment horizontal="center" vertical="center"/>
    </xf>
    <xf numFmtId="0" fontId="0" fillId="0" borderId="72" xfId="0" applyBorder="1" applyAlignment="1">
      <alignment horizontal="center" vertical="center"/>
    </xf>
    <xf numFmtId="0" fontId="0" fillId="0" borderId="6" xfId="0" applyBorder="1" applyAlignment="1">
      <alignment horizontal="center" vertical="center" wrapText="1"/>
    </xf>
    <xf numFmtId="0" fontId="8" fillId="0" borderId="34" xfId="0" applyFont="1" applyFill="1" applyBorder="1" applyAlignment="1" applyProtection="1">
      <alignment horizontal="center"/>
    </xf>
    <xf numFmtId="0" fontId="8" fillId="0" borderId="32" xfId="0" applyFont="1" applyFill="1" applyBorder="1" applyAlignment="1" applyProtection="1">
      <alignment horizontal="center"/>
    </xf>
    <xf numFmtId="0" fontId="11" fillId="0" borderId="30" xfId="0" applyFont="1" applyBorder="1" applyAlignment="1">
      <alignment wrapText="1"/>
    </xf>
    <xf numFmtId="0" fontId="3" fillId="0" borderId="61" xfId="0" applyFont="1" applyBorder="1" applyAlignment="1"/>
    <xf numFmtId="0" fontId="8" fillId="0" borderId="12"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xf>
    <xf numFmtId="0" fontId="3" fillId="0" borderId="27" xfId="0" applyFont="1" applyFill="1" applyBorder="1" applyAlignment="1">
      <alignment horizontal="center"/>
    </xf>
    <xf numFmtId="0" fontId="5" fillId="70" borderId="90" xfId="0" applyFont="1" applyFill="1" applyBorder="1" applyAlignment="1">
      <alignment horizontal="center" vertical="center" wrapText="1"/>
    </xf>
    <xf numFmtId="0" fontId="5" fillId="70" borderId="91" xfId="0" applyFont="1" applyFill="1" applyBorder="1" applyAlignment="1">
      <alignment horizontal="center" vertical="center" wrapText="1"/>
    </xf>
    <xf numFmtId="0" fontId="5" fillId="70" borderId="67" xfId="0" applyFont="1" applyFill="1" applyBorder="1" applyAlignment="1">
      <alignment horizontal="center" vertical="center" wrapText="1"/>
    </xf>
    <xf numFmtId="0" fontId="5" fillId="70" borderId="68" xfId="0" applyFont="1" applyFill="1" applyBorder="1" applyAlignment="1">
      <alignment horizontal="center" vertical="center" wrapText="1"/>
    </xf>
    <xf numFmtId="0" fontId="94" fillId="69" borderId="61" xfId="14" applyFont="1" applyFill="1" applyBorder="1" applyAlignment="1" applyProtection="1">
      <alignment horizontal="center" vertical="center" wrapText="1"/>
      <protection locked="0"/>
    </xf>
    <xf numFmtId="0" fontId="94" fillId="69" borderId="59" xfId="14" applyFont="1" applyFill="1" applyBorder="1" applyAlignment="1" applyProtection="1">
      <alignment horizontal="center" vertical="center" wrapText="1"/>
      <protection locked="0"/>
    </xf>
    <xf numFmtId="9" fontId="3" fillId="0" borderId="12" xfId="0" applyNumberFormat="1" applyFont="1" applyBorder="1" applyAlignment="1">
      <alignment horizontal="center" vertical="center"/>
    </xf>
    <xf numFmtId="9" fontId="3" fillId="0" borderId="68" xfId="0" applyNumberFormat="1" applyFont="1" applyBorder="1" applyAlignment="1">
      <alignment horizontal="center" vertical="center"/>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164" fontId="13" fillId="69" borderId="24" xfId="3" applyNumberFormat="1" applyFont="1" applyFill="1" applyBorder="1" applyAlignment="1" applyProtection="1">
      <alignment horizontal="center"/>
      <protection locked="0"/>
    </xf>
    <xf numFmtId="164" fontId="13" fillId="69" borderId="34" xfId="3" applyNumberFormat="1" applyFont="1" applyFill="1" applyBorder="1" applyAlignment="1" applyProtection="1">
      <alignment horizontal="center"/>
      <protection locked="0"/>
    </xf>
    <xf numFmtId="164" fontId="13" fillId="69" borderId="32" xfId="3" applyNumberFormat="1" applyFont="1" applyFill="1" applyBorder="1" applyAlignment="1" applyProtection="1">
      <alignment horizontal="center"/>
      <protection locked="0"/>
    </xf>
    <xf numFmtId="0" fontId="5" fillId="0" borderId="92" xfId="0" applyFont="1" applyBorder="1" applyAlignment="1">
      <alignment horizontal="center" vertical="center" wrapText="1"/>
    </xf>
    <xf numFmtId="0" fontId="5" fillId="0" borderId="51" xfId="0" applyFont="1" applyBorder="1" applyAlignment="1">
      <alignment horizontal="center" vertical="center" wrapText="1"/>
    </xf>
    <xf numFmtId="164" fontId="13" fillId="0" borderId="93" xfId="3" applyNumberFormat="1" applyFont="1" applyFill="1" applyBorder="1" applyAlignment="1" applyProtection="1">
      <alignment horizontal="center" vertical="center" wrapText="1"/>
      <protection locked="0"/>
    </xf>
    <xf numFmtId="164" fontId="13" fillId="0" borderId="94" xfId="3" applyNumberFormat="1" applyFont="1" applyFill="1" applyBorder="1" applyAlignment="1" applyProtection="1">
      <alignment horizontal="center" vertical="center" wrapText="1"/>
      <protection locked="0"/>
    </xf>
    <xf numFmtId="0" fontId="3" fillId="0" borderId="3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68" xfId="0" applyFont="1" applyFill="1" applyBorder="1" applyAlignment="1">
      <alignment horizontal="center" wrapText="1"/>
    </xf>
    <xf numFmtId="0" fontId="3" fillId="0" borderId="4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3" fillId="0" borderId="34" xfId="0" applyFont="1" applyBorder="1" applyAlignment="1">
      <alignment horizontal="center"/>
    </xf>
    <xf numFmtId="0" fontId="3" fillId="0" borderId="32" xfId="0" applyFont="1" applyBorder="1" applyAlignment="1">
      <alignment horizontal="center" vertical="center" wrapText="1"/>
    </xf>
    <xf numFmtId="0" fontId="3" fillId="0" borderId="31" xfId="0" applyFont="1" applyBorder="1" applyAlignment="1">
      <alignment horizontal="center" vertical="center" wrapText="1"/>
    </xf>
    <xf numFmtId="0" fontId="106" fillId="0" borderId="96" xfId="0" applyNumberFormat="1" applyFont="1" applyFill="1" applyBorder="1" applyAlignment="1">
      <alignment horizontal="left" vertical="center" wrapText="1"/>
    </xf>
    <xf numFmtId="0" fontId="106" fillId="0" borderId="97" xfId="0" applyNumberFormat="1" applyFont="1" applyFill="1" applyBorder="1" applyAlignment="1">
      <alignment horizontal="left" vertical="center" wrapText="1"/>
    </xf>
    <xf numFmtId="0" fontId="106" fillId="0" borderId="98" xfId="0" applyNumberFormat="1" applyFont="1" applyFill="1" applyBorder="1" applyAlignment="1">
      <alignment horizontal="left" vertical="center" wrapText="1"/>
    </xf>
    <xf numFmtId="0" fontId="106" fillId="0" borderId="99" xfId="0" applyNumberFormat="1" applyFont="1" applyFill="1" applyBorder="1" applyAlignment="1">
      <alignment horizontal="left" vertical="center" wrapText="1"/>
    </xf>
    <xf numFmtId="0" fontId="106" fillId="0" borderId="100" xfId="0" applyNumberFormat="1" applyFont="1" applyFill="1" applyBorder="1" applyAlignment="1">
      <alignment horizontal="left" vertical="center" wrapText="1"/>
    </xf>
    <xf numFmtId="0" fontId="106" fillId="0" borderId="101" xfId="0" applyNumberFormat="1" applyFont="1" applyFill="1" applyBorder="1" applyAlignment="1">
      <alignment horizontal="left" vertical="center" wrapText="1"/>
    </xf>
    <xf numFmtId="0" fontId="107" fillId="0" borderId="56" xfId="0" applyFont="1" applyFill="1" applyBorder="1" applyAlignment="1">
      <alignment horizontal="center" vertical="center" wrapText="1"/>
    </xf>
    <xf numFmtId="0" fontId="107" fillId="0" borderId="66" xfId="0" applyFont="1" applyFill="1" applyBorder="1" applyAlignment="1">
      <alignment horizontal="center" vertical="center" wrapText="1"/>
    </xf>
    <xf numFmtId="0" fontId="107" fillId="0" borderId="102" xfId="0" applyFont="1" applyFill="1" applyBorder="1" applyAlignment="1">
      <alignment horizontal="center" vertical="center" wrapText="1"/>
    </xf>
    <xf numFmtId="0" fontId="107" fillId="0" borderId="55" xfId="0" applyFont="1" applyFill="1" applyBorder="1" applyAlignment="1">
      <alignment horizontal="center" vertical="center" wrapText="1"/>
    </xf>
    <xf numFmtId="0" fontId="107" fillId="0" borderId="103" xfId="0" applyFont="1" applyFill="1" applyBorder="1" applyAlignment="1">
      <alignment horizontal="center" vertical="center" wrapText="1"/>
    </xf>
    <xf numFmtId="0" fontId="107" fillId="0" borderId="72" xfId="0" applyFont="1" applyFill="1" applyBorder="1" applyAlignment="1">
      <alignment horizontal="center" vertical="center" wrapText="1"/>
    </xf>
    <xf numFmtId="0" fontId="103" fillId="0" borderId="30" xfId="0" applyFont="1" applyBorder="1" applyAlignment="1">
      <alignment horizontal="center" vertical="center" wrapText="1"/>
    </xf>
    <xf numFmtId="0" fontId="103" fillId="0" borderId="16" xfId="0" applyFont="1" applyBorder="1" applyAlignment="1">
      <alignment horizontal="center" vertical="center" wrapText="1"/>
    </xf>
    <xf numFmtId="0" fontId="103" fillId="0" borderId="6" xfId="0" applyFont="1" applyBorder="1" applyAlignment="1">
      <alignment horizontal="center" vertical="center" wrapText="1"/>
    </xf>
    <xf numFmtId="0" fontId="103" fillId="0" borderId="12" xfId="0" applyFont="1" applyBorder="1" applyAlignment="1">
      <alignment horizontal="center" vertical="center" wrapText="1"/>
    </xf>
    <xf numFmtId="0" fontId="103" fillId="0" borderId="68" xfId="0" applyFont="1" applyBorder="1" applyAlignment="1">
      <alignment horizontal="center" vertical="center" wrapText="1"/>
    </xf>
    <xf numFmtId="0" fontId="111" fillId="0" borderId="6" xfId="0" applyFont="1" applyFill="1" applyBorder="1" applyAlignment="1">
      <alignment horizontal="center" vertical="center"/>
    </xf>
    <xf numFmtId="0" fontId="105" fillId="0" borderId="56" xfId="0" applyFont="1" applyFill="1" applyBorder="1" applyAlignment="1">
      <alignment horizontal="center" vertical="center"/>
    </xf>
    <xf numFmtId="0" fontId="105" fillId="0" borderId="102" xfId="0" applyFont="1" applyFill="1" applyBorder="1" applyAlignment="1">
      <alignment horizontal="center" vertical="center"/>
    </xf>
    <xf numFmtId="0" fontId="105" fillId="0" borderId="55" xfId="0" applyFont="1" applyFill="1" applyBorder="1" applyAlignment="1">
      <alignment horizontal="center" vertical="center"/>
    </xf>
    <xf numFmtId="0" fontId="105" fillId="0" borderId="72" xfId="0" applyFont="1" applyFill="1" applyBorder="1" applyAlignment="1">
      <alignment horizontal="center" vertical="center"/>
    </xf>
    <xf numFmtId="0" fontId="106" fillId="0" borderId="6" xfId="0" applyFont="1" applyFill="1" applyBorder="1" applyAlignment="1">
      <alignment horizontal="center" vertical="center" wrapText="1"/>
    </xf>
    <xf numFmtId="0" fontId="106" fillId="0" borderId="56" xfId="0" applyFont="1" applyFill="1" applyBorder="1" applyAlignment="1">
      <alignment horizontal="center" vertical="center" wrapText="1"/>
    </xf>
    <xf numFmtId="0" fontId="106" fillId="0" borderId="102" xfId="0" applyFont="1" applyFill="1" applyBorder="1" applyAlignment="1">
      <alignment horizontal="center" vertical="center" wrapText="1"/>
    </xf>
    <xf numFmtId="0" fontId="106" fillId="0" borderId="104" xfId="0" applyFont="1" applyFill="1" applyBorder="1" applyAlignment="1">
      <alignment horizontal="center" vertical="center" wrapText="1"/>
    </xf>
    <xf numFmtId="0" fontId="106" fillId="0" borderId="73" xfId="0" applyFont="1" applyFill="1" applyBorder="1" applyAlignment="1">
      <alignment horizontal="center" vertical="center" wrapText="1"/>
    </xf>
    <xf numFmtId="0" fontId="106" fillId="0" borderId="55" xfId="0" applyFont="1" applyFill="1" applyBorder="1" applyAlignment="1">
      <alignment horizontal="center" vertical="center" wrapText="1"/>
    </xf>
    <xf numFmtId="0" fontId="106" fillId="0" borderId="72" xfId="0" applyFont="1" applyFill="1" applyBorder="1" applyAlignment="1">
      <alignment horizontal="center" vertical="center" wrapText="1"/>
    </xf>
    <xf numFmtId="0" fontId="103" fillId="0" borderId="12" xfId="0" applyFont="1" applyFill="1" applyBorder="1" applyAlignment="1">
      <alignment horizontal="center" vertical="center" wrapText="1"/>
    </xf>
    <xf numFmtId="0" fontId="103" fillId="0" borderId="8" xfId="0" applyFont="1" applyFill="1" applyBorder="1" applyAlignment="1">
      <alignment horizontal="center" vertical="center" wrapText="1"/>
    </xf>
    <xf numFmtId="0" fontId="106" fillId="0" borderId="78" xfId="0" applyFont="1" applyFill="1" applyBorder="1" applyAlignment="1">
      <alignment horizontal="center" vertical="center" wrapText="1"/>
    </xf>
    <xf numFmtId="0" fontId="106" fillId="0" borderId="16" xfId="0" applyFont="1" applyFill="1" applyBorder="1" applyAlignment="1">
      <alignment horizontal="center" vertical="center" wrapText="1"/>
    </xf>
    <xf numFmtId="0" fontId="103" fillId="0" borderId="78" xfId="0" applyFont="1" applyFill="1" applyBorder="1" applyAlignment="1">
      <alignment horizontal="center" vertical="center" wrapText="1"/>
    </xf>
    <xf numFmtId="0" fontId="103" fillId="0" borderId="56" xfId="0" applyFont="1" applyFill="1" applyBorder="1" applyAlignment="1">
      <alignment horizontal="center" vertical="center" wrapText="1"/>
    </xf>
    <xf numFmtId="0" fontId="103" fillId="0" borderId="66" xfId="0" applyFont="1" applyFill="1" applyBorder="1" applyAlignment="1">
      <alignment horizontal="center" vertical="center" wrapText="1"/>
    </xf>
    <xf numFmtId="0" fontId="103" fillId="0" borderId="102" xfId="0" applyFont="1" applyFill="1" applyBorder="1" applyAlignment="1">
      <alignment horizontal="center" vertical="center" wrapText="1"/>
    </xf>
    <xf numFmtId="0" fontId="103" fillId="0" borderId="72" xfId="0" applyFont="1" applyBorder="1" applyAlignment="1">
      <alignment horizontal="center" vertical="center" wrapText="1"/>
    </xf>
    <xf numFmtId="0" fontId="103" fillId="0" borderId="31" xfId="0" applyFont="1" applyBorder="1" applyAlignment="1">
      <alignment horizontal="center" vertical="center" wrapText="1"/>
    </xf>
    <xf numFmtId="0" fontId="103" fillId="0" borderId="35" xfId="0" applyFont="1" applyFill="1" applyBorder="1" applyAlignment="1">
      <alignment horizontal="center" vertical="center" wrapText="1"/>
    </xf>
    <xf numFmtId="0" fontId="103" fillId="0" borderId="36" xfId="0" applyFont="1" applyFill="1" applyBorder="1" applyAlignment="1">
      <alignment horizontal="center" vertical="center" wrapText="1"/>
    </xf>
    <xf numFmtId="0" fontId="103" fillId="0" borderId="95" xfId="0" applyFont="1" applyFill="1" applyBorder="1" applyAlignment="1">
      <alignment horizontal="center" vertical="center" wrapText="1"/>
    </xf>
    <xf numFmtId="0" fontId="106" fillId="0" borderId="35" xfId="0" applyNumberFormat="1" applyFont="1" applyFill="1" applyBorder="1" applyAlignment="1">
      <alignment horizontal="left" vertical="top" wrapText="1"/>
    </xf>
    <xf numFmtId="0" fontId="106" fillId="0" borderId="95" xfId="0" applyNumberFormat="1" applyFont="1" applyFill="1" applyBorder="1" applyAlignment="1">
      <alignment horizontal="left" vertical="top" wrapText="1"/>
    </xf>
    <xf numFmtId="0" fontId="106" fillId="0" borderId="45" xfId="0" applyNumberFormat="1" applyFont="1" applyFill="1" applyBorder="1" applyAlignment="1">
      <alignment horizontal="left" vertical="top" wrapText="1"/>
    </xf>
    <xf numFmtId="0" fontId="106" fillId="0" borderId="54" xfId="0" applyNumberFormat="1" applyFont="1" applyFill="1" applyBorder="1" applyAlignment="1">
      <alignment horizontal="left" vertical="top" wrapText="1"/>
    </xf>
    <xf numFmtId="0" fontId="106" fillId="0" borderId="71" xfId="0" applyNumberFormat="1" applyFont="1" applyFill="1" applyBorder="1" applyAlignment="1">
      <alignment horizontal="left" vertical="top" wrapText="1"/>
    </xf>
    <xf numFmtId="0" fontId="106" fillId="0" borderId="105" xfId="0" applyNumberFormat="1" applyFont="1" applyFill="1" applyBorder="1" applyAlignment="1">
      <alignment horizontal="left" vertical="top" wrapText="1"/>
    </xf>
    <xf numFmtId="0" fontId="103" fillId="0" borderId="30" xfId="0" applyFont="1" applyFill="1" applyBorder="1" applyAlignment="1">
      <alignment horizontal="center" vertical="center" wrapText="1"/>
    </xf>
    <xf numFmtId="0" fontId="106" fillId="0" borderId="106" xfId="0" applyFont="1" applyFill="1" applyBorder="1" applyAlignment="1">
      <alignment horizontal="center" vertical="center" wrapText="1"/>
    </xf>
    <xf numFmtId="0" fontId="106" fillId="0" borderId="49" xfId="0" applyFont="1" applyFill="1" applyBorder="1" applyAlignment="1">
      <alignment horizontal="center" vertical="center" wrapText="1"/>
    </xf>
    <xf numFmtId="0" fontId="103" fillId="0" borderId="56" xfId="0" applyFont="1" applyBorder="1" applyAlignment="1">
      <alignment horizontal="center" vertical="top" wrapText="1"/>
    </xf>
    <xf numFmtId="0" fontId="103" fillId="0" borderId="66" xfId="0" applyFont="1" applyBorder="1" applyAlignment="1">
      <alignment horizontal="center" vertical="top" wrapText="1"/>
    </xf>
    <xf numFmtId="0" fontId="103" fillId="0" borderId="56" xfId="0" applyFont="1" applyFill="1" applyBorder="1" applyAlignment="1">
      <alignment horizontal="center" vertical="top" wrapText="1"/>
    </xf>
    <xf numFmtId="0" fontId="103" fillId="0" borderId="8" xfId="0" applyFont="1" applyFill="1" applyBorder="1" applyAlignment="1">
      <alignment horizontal="center" vertical="top" wrapText="1"/>
    </xf>
    <xf numFmtId="0" fontId="103" fillId="0" borderId="68" xfId="0" applyFont="1" applyFill="1" applyBorder="1" applyAlignment="1">
      <alignment horizontal="center" vertical="top" wrapText="1"/>
    </xf>
    <xf numFmtId="0" fontId="127" fillId="0" borderId="107" xfId="0" applyNumberFormat="1" applyFont="1" applyFill="1" applyBorder="1" applyAlignment="1">
      <alignment horizontal="left" vertical="top" wrapText="1"/>
    </xf>
    <xf numFmtId="0" fontId="127" fillId="0" borderId="108" xfId="0" applyNumberFormat="1" applyFont="1" applyFill="1" applyBorder="1" applyAlignment="1">
      <alignment horizontal="left" vertical="top" wrapText="1"/>
    </xf>
    <xf numFmtId="0" fontId="109" fillId="0" borderId="6" xfId="0" applyFont="1" applyBorder="1" applyAlignment="1">
      <alignment horizontal="center" vertical="center"/>
    </xf>
    <xf numFmtId="0" fontId="108" fillId="0" borderId="6" xfId="0" applyFont="1" applyBorder="1" applyAlignment="1">
      <alignment horizontal="center" vertical="center" wrapText="1"/>
    </xf>
    <xf numFmtId="0" fontId="108" fillId="0" borderId="30" xfId="0" applyFont="1" applyBorder="1" applyAlignment="1">
      <alignment horizontal="center" vertical="center" wrapText="1"/>
    </xf>
  </cellXfs>
  <cellStyles count="21415">
    <cellStyle name="_RC VALUTEBIS WRILSI " xfId="19"/>
    <cellStyle name="=C:\WINNT35\SYSTEM32\COMMAND.COM" xfId="21412"/>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2 2" xfId="21408"/>
    <cellStyle name="Calculation 2 10 3" xfId="725"/>
    <cellStyle name="Calculation 2 10 3 2" xfId="21407"/>
    <cellStyle name="Calculation 2 10 4" xfId="726"/>
    <cellStyle name="Calculation 2 10 4 2" xfId="21406"/>
    <cellStyle name="Calculation 2 10 5" xfId="727"/>
    <cellStyle name="Calculation 2 10 5 2" xfId="21405"/>
    <cellStyle name="Calculation 2 11" xfId="728"/>
    <cellStyle name="Calculation 2 11 2" xfId="729"/>
    <cellStyle name="Calculation 2 11 2 2" xfId="21403"/>
    <cellStyle name="Calculation 2 11 3" xfId="730"/>
    <cellStyle name="Calculation 2 11 3 2" xfId="21402"/>
    <cellStyle name="Calculation 2 11 4" xfId="731"/>
    <cellStyle name="Calculation 2 11 4 2" xfId="21401"/>
    <cellStyle name="Calculation 2 11 5" xfId="732"/>
    <cellStyle name="Calculation 2 11 5 2" xfId="21400"/>
    <cellStyle name="Calculation 2 11 6" xfId="21404"/>
    <cellStyle name="Calculation 2 12" xfId="733"/>
    <cellStyle name="Calculation 2 12 2" xfId="734"/>
    <cellStyle name="Calculation 2 12 2 2" xfId="21398"/>
    <cellStyle name="Calculation 2 12 3" xfId="735"/>
    <cellStyle name="Calculation 2 12 3 2" xfId="21397"/>
    <cellStyle name="Calculation 2 12 4" xfId="736"/>
    <cellStyle name="Calculation 2 12 4 2" xfId="21396"/>
    <cellStyle name="Calculation 2 12 5" xfId="737"/>
    <cellStyle name="Calculation 2 12 5 2" xfId="21395"/>
    <cellStyle name="Calculation 2 12 6" xfId="21399"/>
    <cellStyle name="Calculation 2 13" xfId="738"/>
    <cellStyle name="Calculation 2 13 2" xfId="739"/>
    <cellStyle name="Calculation 2 13 2 2" xfId="21393"/>
    <cellStyle name="Calculation 2 13 3" xfId="740"/>
    <cellStyle name="Calculation 2 13 3 2" xfId="21392"/>
    <cellStyle name="Calculation 2 13 4" xfId="741"/>
    <cellStyle name="Calculation 2 13 4 2" xfId="21391"/>
    <cellStyle name="Calculation 2 13 5" xfId="21394"/>
    <cellStyle name="Calculation 2 14" xfId="742"/>
    <cellStyle name="Calculation 2 14 2" xfId="21390"/>
    <cellStyle name="Calculation 2 15" xfId="743"/>
    <cellStyle name="Calculation 2 15 2" xfId="21389"/>
    <cellStyle name="Calculation 2 16" xfId="744"/>
    <cellStyle name="Calculation 2 16 2" xfId="21388"/>
    <cellStyle name="Calculation 2 17" xfId="21409"/>
    <cellStyle name="Calculation 2 2" xfId="745"/>
    <cellStyle name="Calculation 2 2 10" xfId="21387"/>
    <cellStyle name="Calculation 2 2 2" xfId="746"/>
    <cellStyle name="Calculation 2 2 2 2" xfId="747"/>
    <cellStyle name="Calculation 2 2 2 2 2" xfId="21385"/>
    <cellStyle name="Calculation 2 2 2 3" xfId="748"/>
    <cellStyle name="Calculation 2 2 2 3 2" xfId="21384"/>
    <cellStyle name="Calculation 2 2 2 4" xfId="749"/>
    <cellStyle name="Calculation 2 2 2 4 2" xfId="21383"/>
    <cellStyle name="Calculation 2 2 2 5" xfId="21386"/>
    <cellStyle name="Calculation 2 2 3" xfId="750"/>
    <cellStyle name="Calculation 2 2 3 2" xfId="751"/>
    <cellStyle name="Calculation 2 2 3 2 2" xfId="21381"/>
    <cellStyle name="Calculation 2 2 3 3" xfId="752"/>
    <cellStyle name="Calculation 2 2 3 3 2" xfId="21380"/>
    <cellStyle name="Calculation 2 2 3 4" xfId="753"/>
    <cellStyle name="Calculation 2 2 3 4 2" xfId="21379"/>
    <cellStyle name="Calculation 2 2 3 5" xfId="21382"/>
    <cellStyle name="Calculation 2 2 4" xfId="754"/>
    <cellStyle name="Calculation 2 2 4 2" xfId="755"/>
    <cellStyle name="Calculation 2 2 4 2 2" xfId="21377"/>
    <cellStyle name="Calculation 2 2 4 3" xfId="756"/>
    <cellStyle name="Calculation 2 2 4 3 2" xfId="21376"/>
    <cellStyle name="Calculation 2 2 4 4" xfId="757"/>
    <cellStyle name="Calculation 2 2 4 4 2" xfId="21375"/>
    <cellStyle name="Calculation 2 2 4 5" xfId="21378"/>
    <cellStyle name="Calculation 2 2 5" xfId="758"/>
    <cellStyle name="Calculation 2 2 5 2" xfId="759"/>
    <cellStyle name="Calculation 2 2 5 2 2" xfId="21373"/>
    <cellStyle name="Calculation 2 2 5 3" xfId="760"/>
    <cellStyle name="Calculation 2 2 5 3 2" xfId="21372"/>
    <cellStyle name="Calculation 2 2 5 4" xfId="761"/>
    <cellStyle name="Calculation 2 2 5 4 2" xfId="21371"/>
    <cellStyle name="Calculation 2 2 5 5" xfId="21374"/>
    <cellStyle name="Calculation 2 2 6" xfId="762"/>
    <cellStyle name="Calculation 2 2 6 2" xfId="21370"/>
    <cellStyle name="Calculation 2 2 7" xfId="763"/>
    <cellStyle name="Calculation 2 2 7 2" xfId="21369"/>
    <cellStyle name="Calculation 2 2 8" xfId="764"/>
    <cellStyle name="Calculation 2 2 8 2" xfId="21368"/>
    <cellStyle name="Calculation 2 2 9" xfId="765"/>
    <cellStyle name="Calculation 2 2 9 2" xfId="21367"/>
    <cellStyle name="Calculation 2 3" xfId="766"/>
    <cellStyle name="Calculation 2 3 2" xfId="767"/>
    <cellStyle name="Calculation 2 3 2 2" xfId="21366"/>
    <cellStyle name="Calculation 2 3 3" xfId="768"/>
    <cellStyle name="Calculation 2 3 3 2" xfId="21365"/>
    <cellStyle name="Calculation 2 3 4" xfId="769"/>
    <cellStyle name="Calculation 2 3 4 2" xfId="21364"/>
    <cellStyle name="Calculation 2 3 5" xfId="770"/>
    <cellStyle name="Calculation 2 3 5 2" xfId="21363"/>
    <cellStyle name="Calculation 2 4" xfId="771"/>
    <cellStyle name="Calculation 2 4 2" xfId="772"/>
    <cellStyle name="Calculation 2 4 2 2" xfId="21362"/>
    <cellStyle name="Calculation 2 4 3" xfId="773"/>
    <cellStyle name="Calculation 2 4 3 2" xfId="21361"/>
    <cellStyle name="Calculation 2 4 4" xfId="774"/>
    <cellStyle name="Calculation 2 4 4 2" xfId="21360"/>
    <cellStyle name="Calculation 2 4 5" xfId="775"/>
    <cellStyle name="Calculation 2 4 5 2" xfId="21359"/>
    <cellStyle name="Calculation 2 5" xfId="776"/>
    <cellStyle name="Calculation 2 5 2" xfId="777"/>
    <cellStyle name="Calculation 2 5 2 2" xfId="21358"/>
    <cellStyle name="Calculation 2 5 3" xfId="778"/>
    <cellStyle name="Calculation 2 5 3 2" xfId="21357"/>
    <cellStyle name="Calculation 2 5 4" xfId="779"/>
    <cellStyle name="Calculation 2 5 4 2" xfId="21356"/>
    <cellStyle name="Calculation 2 5 5" xfId="780"/>
    <cellStyle name="Calculation 2 5 5 2" xfId="21355"/>
    <cellStyle name="Calculation 2 6" xfId="781"/>
    <cellStyle name="Calculation 2 6 2" xfId="782"/>
    <cellStyle name="Calculation 2 6 2 2" xfId="21354"/>
    <cellStyle name="Calculation 2 6 3" xfId="783"/>
    <cellStyle name="Calculation 2 6 3 2" xfId="21353"/>
    <cellStyle name="Calculation 2 6 4" xfId="784"/>
    <cellStyle name="Calculation 2 6 4 2" xfId="21352"/>
    <cellStyle name="Calculation 2 6 5" xfId="785"/>
    <cellStyle name="Calculation 2 6 5 2" xfId="21351"/>
    <cellStyle name="Calculation 2 7" xfId="786"/>
    <cellStyle name="Calculation 2 7 2" xfId="787"/>
    <cellStyle name="Calculation 2 7 2 2" xfId="21350"/>
    <cellStyle name="Calculation 2 7 3" xfId="788"/>
    <cellStyle name="Calculation 2 7 3 2" xfId="21349"/>
    <cellStyle name="Calculation 2 7 4" xfId="789"/>
    <cellStyle name="Calculation 2 7 4 2" xfId="21348"/>
    <cellStyle name="Calculation 2 7 5" xfId="790"/>
    <cellStyle name="Calculation 2 7 5 2" xfId="21347"/>
    <cellStyle name="Calculation 2 8" xfId="791"/>
    <cellStyle name="Calculation 2 8 2" xfId="792"/>
    <cellStyle name="Calculation 2 8 2 2" xfId="21346"/>
    <cellStyle name="Calculation 2 8 3" xfId="793"/>
    <cellStyle name="Calculation 2 8 3 2" xfId="21345"/>
    <cellStyle name="Calculation 2 8 4" xfId="794"/>
    <cellStyle name="Calculation 2 8 4 2" xfId="21344"/>
    <cellStyle name="Calculation 2 8 5" xfId="795"/>
    <cellStyle name="Calculation 2 8 5 2" xfId="21343"/>
    <cellStyle name="Calculation 2 9" xfId="796"/>
    <cellStyle name="Calculation 2 9 2" xfId="797"/>
    <cellStyle name="Calculation 2 9 2 2" xfId="21342"/>
    <cellStyle name="Calculation 2 9 3" xfId="798"/>
    <cellStyle name="Calculation 2 9 3 2" xfId="21341"/>
    <cellStyle name="Calculation 2 9 4" xfId="799"/>
    <cellStyle name="Calculation 2 9 4 2" xfId="21340"/>
    <cellStyle name="Calculation 2 9 5" xfId="800"/>
    <cellStyle name="Calculation 2 9 5 2" xfId="21339"/>
    <cellStyle name="Calculation 3" xfId="801"/>
    <cellStyle name="Calculation 3 2" xfId="802"/>
    <cellStyle name="Calculation 3 2 2" xfId="21337"/>
    <cellStyle name="Calculation 3 3" xfId="803"/>
    <cellStyle name="Calculation 3 3 2" xfId="21336"/>
    <cellStyle name="Calculation 3 4" xfId="21338"/>
    <cellStyle name="Calculation 4" xfId="804"/>
    <cellStyle name="Calculation 4 2" xfId="805"/>
    <cellStyle name="Calculation 4 2 2" xfId="21334"/>
    <cellStyle name="Calculation 4 3" xfId="806"/>
    <cellStyle name="Calculation 4 3 2" xfId="21333"/>
    <cellStyle name="Calculation 4 4" xfId="21335"/>
    <cellStyle name="Calculation 5" xfId="807"/>
    <cellStyle name="Calculation 5 2" xfId="808"/>
    <cellStyle name="Calculation 5 2 2" xfId="21331"/>
    <cellStyle name="Calculation 5 3" xfId="809"/>
    <cellStyle name="Calculation 5 3 2" xfId="21330"/>
    <cellStyle name="Calculation 5 4" xfId="21332"/>
    <cellStyle name="Calculation 6" xfId="810"/>
    <cellStyle name="Calculation 6 2" xfId="811"/>
    <cellStyle name="Calculation 6 2 2" xfId="21328"/>
    <cellStyle name="Calculation 6 3" xfId="812"/>
    <cellStyle name="Calculation 6 3 2" xfId="21327"/>
    <cellStyle name="Calculation 6 4" xfId="21329"/>
    <cellStyle name="Calculation 7" xfId="813"/>
    <cellStyle name="Calculation 7 2" xfId="21326"/>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1413"/>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10 2" xfId="21324"/>
    <cellStyle name="Gia's 11" xfId="21325"/>
    <cellStyle name="Gia's 2" xfId="9188"/>
    <cellStyle name="Gia's 2 2" xfId="21323"/>
    <cellStyle name="Gia's 3" xfId="9189"/>
    <cellStyle name="Gia's 3 2" xfId="21322"/>
    <cellStyle name="Gia's 4" xfId="9190"/>
    <cellStyle name="Gia's 4 2" xfId="21321"/>
    <cellStyle name="Gia's 5" xfId="9191"/>
    <cellStyle name="Gia's 5 2" xfId="21320"/>
    <cellStyle name="Gia's 6" xfId="9192"/>
    <cellStyle name="Gia's 6 2" xfId="21319"/>
    <cellStyle name="Gia's 7" xfId="9193"/>
    <cellStyle name="Gia's 7 2" xfId="21318"/>
    <cellStyle name="Gia's 8" xfId="9194"/>
    <cellStyle name="Gia's 8 2" xfId="21317"/>
    <cellStyle name="Gia's 9" xfId="9195"/>
    <cellStyle name="Gia's 9 2" xfId="21316"/>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greyed 2" xfId="21315"/>
    <cellStyle name="Header1" xfId="9223"/>
    <cellStyle name="Header1 2" xfId="9224"/>
    <cellStyle name="Header1 3" xfId="9225"/>
    <cellStyle name="Header2" xfId="9226"/>
    <cellStyle name="Header2 2" xfId="9227"/>
    <cellStyle name="Header2 2 2" xfId="21313"/>
    <cellStyle name="Header2 3" xfId="9228"/>
    <cellStyle name="Header2 3 2" xfId="21312"/>
    <cellStyle name="Header2 4" xfId="21314"/>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eadingTable 2" xfId="21311"/>
    <cellStyle name="highlightExposure" xfId="9324"/>
    <cellStyle name="highlightExposure 2" xfId="21310"/>
    <cellStyle name="highlightPercentage" xfId="9325"/>
    <cellStyle name="highlightPercentage 2" xfId="21309"/>
    <cellStyle name="highlightText" xfId="9326"/>
    <cellStyle name="highlightText 2" xfId="21308"/>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2 2" xfId="21306"/>
    <cellStyle name="Input 2 10 3" xfId="9337"/>
    <cellStyle name="Input 2 10 3 2" xfId="21305"/>
    <cellStyle name="Input 2 10 4" xfId="9338"/>
    <cellStyle name="Input 2 10 4 2" xfId="21304"/>
    <cellStyle name="Input 2 10 5" xfId="9339"/>
    <cellStyle name="Input 2 10 5 2" xfId="21303"/>
    <cellStyle name="Input 2 11" xfId="9340"/>
    <cellStyle name="Input 2 11 2" xfId="9341"/>
    <cellStyle name="Input 2 11 2 2" xfId="21301"/>
    <cellStyle name="Input 2 11 3" xfId="9342"/>
    <cellStyle name="Input 2 11 3 2" xfId="21300"/>
    <cellStyle name="Input 2 11 4" xfId="9343"/>
    <cellStyle name="Input 2 11 4 2" xfId="21299"/>
    <cellStyle name="Input 2 11 5" xfId="9344"/>
    <cellStyle name="Input 2 11 5 2" xfId="21298"/>
    <cellStyle name="Input 2 11 6" xfId="21302"/>
    <cellStyle name="Input 2 12" xfId="9345"/>
    <cellStyle name="Input 2 12 2" xfId="9346"/>
    <cellStyle name="Input 2 12 2 2" xfId="21296"/>
    <cellStyle name="Input 2 12 3" xfId="9347"/>
    <cellStyle name="Input 2 12 3 2" xfId="21295"/>
    <cellStyle name="Input 2 12 4" xfId="9348"/>
    <cellStyle name="Input 2 12 4 2" xfId="21294"/>
    <cellStyle name="Input 2 12 5" xfId="9349"/>
    <cellStyle name="Input 2 12 5 2" xfId="21293"/>
    <cellStyle name="Input 2 12 6" xfId="21297"/>
    <cellStyle name="Input 2 13" xfId="9350"/>
    <cellStyle name="Input 2 13 2" xfId="9351"/>
    <cellStyle name="Input 2 13 2 2" xfId="21291"/>
    <cellStyle name="Input 2 13 3" xfId="9352"/>
    <cellStyle name="Input 2 13 3 2" xfId="21290"/>
    <cellStyle name="Input 2 13 4" xfId="9353"/>
    <cellStyle name="Input 2 13 4 2" xfId="21289"/>
    <cellStyle name="Input 2 13 5" xfId="21292"/>
    <cellStyle name="Input 2 14" xfId="9354"/>
    <cellStyle name="Input 2 14 2" xfId="21288"/>
    <cellStyle name="Input 2 15" xfId="9355"/>
    <cellStyle name="Input 2 15 2" xfId="21287"/>
    <cellStyle name="Input 2 16" xfId="9356"/>
    <cellStyle name="Input 2 16 2" xfId="21286"/>
    <cellStyle name="Input 2 17" xfId="21307"/>
    <cellStyle name="Input 2 2" xfId="9357"/>
    <cellStyle name="Input 2 2 10" xfId="21285"/>
    <cellStyle name="Input 2 2 2" xfId="9358"/>
    <cellStyle name="Input 2 2 2 2" xfId="9359"/>
    <cellStyle name="Input 2 2 2 2 2" xfId="21283"/>
    <cellStyle name="Input 2 2 2 3" xfId="9360"/>
    <cellStyle name="Input 2 2 2 3 2" xfId="21282"/>
    <cellStyle name="Input 2 2 2 4" xfId="9361"/>
    <cellStyle name="Input 2 2 2 4 2" xfId="21281"/>
    <cellStyle name="Input 2 2 2 5" xfId="21284"/>
    <cellStyle name="Input 2 2 3" xfId="9362"/>
    <cellStyle name="Input 2 2 3 2" xfId="9363"/>
    <cellStyle name="Input 2 2 3 2 2" xfId="21279"/>
    <cellStyle name="Input 2 2 3 3" xfId="9364"/>
    <cellStyle name="Input 2 2 3 3 2" xfId="21278"/>
    <cellStyle name="Input 2 2 3 4" xfId="9365"/>
    <cellStyle name="Input 2 2 3 4 2" xfId="21277"/>
    <cellStyle name="Input 2 2 3 5" xfId="21280"/>
    <cellStyle name="Input 2 2 4" xfId="9366"/>
    <cellStyle name="Input 2 2 4 2" xfId="9367"/>
    <cellStyle name="Input 2 2 4 2 2" xfId="21275"/>
    <cellStyle name="Input 2 2 4 3" xfId="9368"/>
    <cellStyle name="Input 2 2 4 3 2" xfId="21274"/>
    <cellStyle name="Input 2 2 4 4" xfId="9369"/>
    <cellStyle name="Input 2 2 4 4 2" xfId="21273"/>
    <cellStyle name="Input 2 2 4 5" xfId="21276"/>
    <cellStyle name="Input 2 2 5" xfId="9370"/>
    <cellStyle name="Input 2 2 5 2" xfId="9371"/>
    <cellStyle name="Input 2 2 5 2 2" xfId="21271"/>
    <cellStyle name="Input 2 2 5 3" xfId="9372"/>
    <cellStyle name="Input 2 2 5 3 2" xfId="21270"/>
    <cellStyle name="Input 2 2 5 4" xfId="9373"/>
    <cellStyle name="Input 2 2 5 4 2" xfId="21269"/>
    <cellStyle name="Input 2 2 5 5" xfId="21272"/>
    <cellStyle name="Input 2 2 6" xfId="9374"/>
    <cellStyle name="Input 2 2 6 2" xfId="21268"/>
    <cellStyle name="Input 2 2 7" xfId="9375"/>
    <cellStyle name="Input 2 2 7 2" xfId="21267"/>
    <cellStyle name="Input 2 2 8" xfId="9376"/>
    <cellStyle name="Input 2 2 8 2" xfId="21266"/>
    <cellStyle name="Input 2 2 9" xfId="9377"/>
    <cellStyle name="Input 2 2 9 2" xfId="21265"/>
    <cellStyle name="Input 2 3" xfId="9378"/>
    <cellStyle name="Input 2 3 2" xfId="9379"/>
    <cellStyle name="Input 2 3 2 2" xfId="21264"/>
    <cellStyle name="Input 2 3 3" xfId="9380"/>
    <cellStyle name="Input 2 3 3 2" xfId="21263"/>
    <cellStyle name="Input 2 3 4" xfId="9381"/>
    <cellStyle name="Input 2 3 4 2" xfId="21262"/>
    <cellStyle name="Input 2 3 5" xfId="9382"/>
    <cellStyle name="Input 2 3 5 2" xfId="21261"/>
    <cellStyle name="Input 2 4" xfId="9383"/>
    <cellStyle name="Input 2 4 2" xfId="9384"/>
    <cellStyle name="Input 2 4 2 2" xfId="21260"/>
    <cellStyle name="Input 2 4 3" xfId="9385"/>
    <cellStyle name="Input 2 4 3 2" xfId="21259"/>
    <cellStyle name="Input 2 4 4" xfId="9386"/>
    <cellStyle name="Input 2 4 4 2" xfId="21258"/>
    <cellStyle name="Input 2 4 5" xfId="9387"/>
    <cellStyle name="Input 2 4 5 2" xfId="21257"/>
    <cellStyle name="Input 2 5" xfId="9388"/>
    <cellStyle name="Input 2 5 2" xfId="9389"/>
    <cellStyle name="Input 2 5 2 2" xfId="21256"/>
    <cellStyle name="Input 2 5 3" xfId="9390"/>
    <cellStyle name="Input 2 5 3 2" xfId="21255"/>
    <cellStyle name="Input 2 5 4" xfId="9391"/>
    <cellStyle name="Input 2 5 4 2" xfId="21254"/>
    <cellStyle name="Input 2 5 5" xfId="9392"/>
    <cellStyle name="Input 2 5 5 2" xfId="21253"/>
    <cellStyle name="Input 2 6" xfId="9393"/>
    <cellStyle name="Input 2 6 2" xfId="9394"/>
    <cellStyle name="Input 2 6 2 2" xfId="21252"/>
    <cellStyle name="Input 2 6 3" xfId="9395"/>
    <cellStyle name="Input 2 6 3 2" xfId="21251"/>
    <cellStyle name="Input 2 6 4" xfId="9396"/>
    <cellStyle name="Input 2 6 4 2" xfId="21250"/>
    <cellStyle name="Input 2 6 5" xfId="9397"/>
    <cellStyle name="Input 2 6 5 2" xfId="21249"/>
    <cellStyle name="Input 2 7" xfId="9398"/>
    <cellStyle name="Input 2 7 2" xfId="9399"/>
    <cellStyle name="Input 2 7 2 2" xfId="21248"/>
    <cellStyle name="Input 2 7 3" xfId="9400"/>
    <cellStyle name="Input 2 7 3 2" xfId="21247"/>
    <cellStyle name="Input 2 7 4" xfId="9401"/>
    <cellStyle name="Input 2 7 4 2" xfId="21246"/>
    <cellStyle name="Input 2 7 5" xfId="9402"/>
    <cellStyle name="Input 2 7 5 2" xfId="21245"/>
    <cellStyle name="Input 2 8" xfId="9403"/>
    <cellStyle name="Input 2 8 2" xfId="9404"/>
    <cellStyle name="Input 2 8 2 2" xfId="21244"/>
    <cellStyle name="Input 2 8 3" xfId="9405"/>
    <cellStyle name="Input 2 8 3 2" xfId="21243"/>
    <cellStyle name="Input 2 8 4" xfId="9406"/>
    <cellStyle name="Input 2 8 4 2" xfId="21242"/>
    <cellStyle name="Input 2 8 5" xfId="9407"/>
    <cellStyle name="Input 2 8 5 2" xfId="21241"/>
    <cellStyle name="Input 2 9" xfId="9408"/>
    <cellStyle name="Input 2 9 2" xfId="9409"/>
    <cellStyle name="Input 2 9 2 2" xfId="21240"/>
    <cellStyle name="Input 2 9 3" xfId="9410"/>
    <cellStyle name="Input 2 9 3 2" xfId="21239"/>
    <cellStyle name="Input 2 9 4" xfId="9411"/>
    <cellStyle name="Input 2 9 4 2" xfId="21238"/>
    <cellStyle name="Input 2 9 5" xfId="9412"/>
    <cellStyle name="Input 2 9 5 2" xfId="21237"/>
    <cellStyle name="Input 3" xfId="9413"/>
    <cellStyle name="Input 3 2" xfId="9414"/>
    <cellStyle name="Input 3 2 2" xfId="21235"/>
    <cellStyle name="Input 3 3" xfId="9415"/>
    <cellStyle name="Input 3 3 2" xfId="21234"/>
    <cellStyle name="Input 3 4" xfId="21236"/>
    <cellStyle name="Input 4" xfId="9416"/>
    <cellStyle name="Input 4 2" xfId="9417"/>
    <cellStyle name="Input 4 2 2" xfId="21232"/>
    <cellStyle name="Input 4 3" xfId="9418"/>
    <cellStyle name="Input 4 3 2" xfId="21231"/>
    <cellStyle name="Input 4 4" xfId="21233"/>
    <cellStyle name="Input 5" xfId="9419"/>
    <cellStyle name="Input 5 2" xfId="9420"/>
    <cellStyle name="Input 5 2 2" xfId="21229"/>
    <cellStyle name="Input 5 3" xfId="9421"/>
    <cellStyle name="Input 5 3 2" xfId="21228"/>
    <cellStyle name="Input 5 4" xfId="21230"/>
    <cellStyle name="Input 6" xfId="9422"/>
    <cellStyle name="Input 6 2" xfId="9423"/>
    <cellStyle name="Input 6 2 2" xfId="21226"/>
    <cellStyle name="Input 6 3" xfId="9424"/>
    <cellStyle name="Input 6 3 2" xfId="21225"/>
    <cellStyle name="Input 6 4" xfId="21227"/>
    <cellStyle name="Input 7" xfId="9425"/>
    <cellStyle name="Input 7 2" xfId="21224"/>
    <cellStyle name="inputExposure" xfId="9426"/>
    <cellStyle name="inputExposure 2" xfId="21223"/>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1410"/>
    <cellStyle name="Normal 122" xfId="20961"/>
    <cellStyle name="Normal 123" xfId="21414"/>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sestdy draft" xfId="16"/>
    <cellStyle name="Normal_Casestdy draft 2" xfId="10"/>
    <cellStyle name="Normalny_Eksport 2000 - F" xfId="20383"/>
    <cellStyle name="Note 2" xfId="20384"/>
    <cellStyle name="Note 2 10" xfId="20385"/>
    <cellStyle name="Note 2 10 2" xfId="20386"/>
    <cellStyle name="Note 2 10 2 2" xfId="21221"/>
    <cellStyle name="Note 2 10 3" xfId="20387"/>
    <cellStyle name="Note 2 10 3 2" xfId="21220"/>
    <cellStyle name="Note 2 10 4" xfId="20388"/>
    <cellStyle name="Note 2 10 4 2" xfId="21219"/>
    <cellStyle name="Note 2 10 5" xfId="20389"/>
    <cellStyle name="Note 2 10 5 2" xfId="21218"/>
    <cellStyle name="Note 2 11" xfId="20390"/>
    <cellStyle name="Note 2 11 2" xfId="20391"/>
    <cellStyle name="Note 2 11 2 2" xfId="21217"/>
    <cellStyle name="Note 2 11 3" xfId="20392"/>
    <cellStyle name="Note 2 11 3 2" xfId="21216"/>
    <cellStyle name="Note 2 11 4" xfId="20393"/>
    <cellStyle name="Note 2 11 4 2" xfId="21215"/>
    <cellStyle name="Note 2 11 5" xfId="20394"/>
    <cellStyle name="Note 2 11 5 2" xfId="21214"/>
    <cellStyle name="Note 2 12" xfId="20395"/>
    <cellStyle name="Note 2 12 2" xfId="20396"/>
    <cellStyle name="Note 2 12 2 2" xfId="21213"/>
    <cellStyle name="Note 2 12 3" xfId="20397"/>
    <cellStyle name="Note 2 12 3 2" xfId="21212"/>
    <cellStyle name="Note 2 12 4" xfId="20398"/>
    <cellStyle name="Note 2 12 4 2" xfId="21211"/>
    <cellStyle name="Note 2 12 5" xfId="20399"/>
    <cellStyle name="Note 2 12 5 2" xfId="21210"/>
    <cellStyle name="Note 2 13" xfId="20400"/>
    <cellStyle name="Note 2 13 2" xfId="20401"/>
    <cellStyle name="Note 2 13 2 2" xfId="21209"/>
    <cellStyle name="Note 2 13 3" xfId="20402"/>
    <cellStyle name="Note 2 13 3 2" xfId="21208"/>
    <cellStyle name="Note 2 13 4" xfId="20403"/>
    <cellStyle name="Note 2 13 4 2" xfId="21207"/>
    <cellStyle name="Note 2 13 5" xfId="20404"/>
    <cellStyle name="Note 2 13 5 2" xfId="21206"/>
    <cellStyle name="Note 2 14" xfId="20405"/>
    <cellStyle name="Note 2 14 2" xfId="20406"/>
    <cellStyle name="Note 2 14 2 2" xfId="21204"/>
    <cellStyle name="Note 2 14 3" xfId="21205"/>
    <cellStyle name="Note 2 15" xfId="20407"/>
    <cellStyle name="Note 2 15 2" xfId="20408"/>
    <cellStyle name="Note 2 15 2 2" xfId="21203"/>
    <cellStyle name="Note 2 16" xfId="20409"/>
    <cellStyle name="Note 2 16 2" xfId="21202"/>
    <cellStyle name="Note 2 17" xfId="20410"/>
    <cellStyle name="Note 2 17 2" xfId="21201"/>
    <cellStyle name="Note 2 18" xfId="21222"/>
    <cellStyle name="Note 2 2" xfId="20411"/>
    <cellStyle name="Note 2 2 10" xfId="20412"/>
    <cellStyle name="Note 2 2 10 2" xfId="21199"/>
    <cellStyle name="Note 2 2 11" xfId="21200"/>
    <cellStyle name="Note 2 2 2" xfId="20413"/>
    <cellStyle name="Note 2 2 2 2" xfId="20414"/>
    <cellStyle name="Note 2 2 2 2 2" xfId="21197"/>
    <cellStyle name="Note 2 2 2 3" xfId="20415"/>
    <cellStyle name="Note 2 2 2 3 2" xfId="21196"/>
    <cellStyle name="Note 2 2 2 4" xfId="20416"/>
    <cellStyle name="Note 2 2 2 4 2" xfId="21195"/>
    <cellStyle name="Note 2 2 2 5" xfId="20417"/>
    <cellStyle name="Note 2 2 2 5 2" xfId="21194"/>
    <cellStyle name="Note 2 2 2 6" xfId="21198"/>
    <cellStyle name="Note 2 2 3" xfId="20418"/>
    <cellStyle name="Note 2 2 3 2" xfId="20419"/>
    <cellStyle name="Note 2 2 3 2 2" xfId="21193"/>
    <cellStyle name="Note 2 2 3 3" xfId="20420"/>
    <cellStyle name="Note 2 2 3 3 2" xfId="21192"/>
    <cellStyle name="Note 2 2 3 4" xfId="20421"/>
    <cellStyle name="Note 2 2 3 4 2" xfId="21191"/>
    <cellStyle name="Note 2 2 3 5" xfId="20422"/>
    <cellStyle name="Note 2 2 3 5 2" xfId="21190"/>
    <cellStyle name="Note 2 2 4" xfId="20423"/>
    <cellStyle name="Note 2 2 4 2" xfId="20424"/>
    <cellStyle name="Note 2 2 4 2 2" xfId="21188"/>
    <cellStyle name="Note 2 2 4 3" xfId="20425"/>
    <cellStyle name="Note 2 2 4 3 2" xfId="21187"/>
    <cellStyle name="Note 2 2 4 4" xfId="20426"/>
    <cellStyle name="Note 2 2 4 4 2" xfId="21186"/>
    <cellStyle name="Note 2 2 4 5" xfId="21189"/>
    <cellStyle name="Note 2 2 5" xfId="20427"/>
    <cellStyle name="Note 2 2 5 2" xfId="20428"/>
    <cellStyle name="Note 2 2 5 2 2" xfId="21184"/>
    <cellStyle name="Note 2 2 5 3" xfId="20429"/>
    <cellStyle name="Note 2 2 5 3 2" xfId="21183"/>
    <cellStyle name="Note 2 2 5 4" xfId="20430"/>
    <cellStyle name="Note 2 2 5 4 2" xfId="21182"/>
    <cellStyle name="Note 2 2 5 5" xfId="21185"/>
    <cellStyle name="Note 2 2 6" xfId="20431"/>
    <cellStyle name="Note 2 2 6 2" xfId="21181"/>
    <cellStyle name="Note 2 2 7" xfId="20432"/>
    <cellStyle name="Note 2 2 7 2" xfId="21180"/>
    <cellStyle name="Note 2 2 8" xfId="20433"/>
    <cellStyle name="Note 2 2 8 2" xfId="21179"/>
    <cellStyle name="Note 2 2 9" xfId="20434"/>
    <cellStyle name="Note 2 2 9 2" xfId="21178"/>
    <cellStyle name="Note 2 3" xfId="20435"/>
    <cellStyle name="Note 2 3 2" xfId="20436"/>
    <cellStyle name="Note 2 3 2 2" xfId="21177"/>
    <cellStyle name="Note 2 3 3" xfId="20437"/>
    <cellStyle name="Note 2 3 3 2" xfId="21176"/>
    <cellStyle name="Note 2 3 4" xfId="20438"/>
    <cellStyle name="Note 2 3 4 2" xfId="21175"/>
    <cellStyle name="Note 2 3 5" xfId="20439"/>
    <cellStyle name="Note 2 3 5 2" xfId="21174"/>
    <cellStyle name="Note 2 4" xfId="20440"/>
    <cellStyle name="Note 2 4 2" xfId="20441"/>
    <cellStyle name="Note 2 4 2 2" xfId="20442"/>
    <cellStyle name="Note 2 4 2 2 2" xfId="21173"/>
    <cellStyle name="Note 2 4 3" xfId="20443"/>
    <cellStyle name="Note 2 4 3 2" xfId="20444"/>
    <cellStyle name="Note 2 4 3 2 2" xfId="21172"/>
    <cellStyle name="Note 2 4 4" xfId="20445"/>
    <cellStyle name="Note 2 4 4 2" xfId="20446"/>
    <cellStyle name="Note 2 4 4 2 2" xfId="21171"/>
    <cellStyle name="Note 2 4 5" xfId="20447"/>
    <cellStyle name="Note 2 4 6" xfId="20448"/>
    <cellStyle name="Note 2 4 7" xfId="20449"/>
    <cellStyle name="Note 2 4 7 2" xfId="21170"/>
    <cellStyle name="Note 2 5" xfId="20450"/>
    <cellStyle name="Note 2 5 2" xfId="20451"/>
    <cellStyle name="Note 2 5 2 2" xfId="20452"/>
    <cellStyle name="Note 2 5 2 2 2" xfId="21169"/>
    <cellStyle name="Note 2 5 3" xfId="20453"/>
    <cellStyle name="Note 2 5 3 2" xfId="20454"/>
    <cellStyle name="Note 2 5 3 2 2" xfId="21168"/>
    <cellStyle name="Note 2 5 4" xfId="20455"/>
    <cellStyle name="Note 2 5 4 2" xfId="20456"/>
    <cellStyle name="Note 2 5 4 2 2" xfId="21167"/>
    <cellStyle name="Note 2 5 5" xfId="20457"/>
    <cellStyle name="Note 2 5 6" xfId="20458"/>
    <cellStyle name="Note 2 5 7" xfId="20459"/>
    <cellStyle name="Note 2 5 7 2" xfId="21166"/>
    <cellStyle name="Note 2 6" xfId="20460"/>
    <cellStyle name="Note 2 6 2" xfId="20461"/>
    <cellStyle name="Note 2 6 2 2" xfId="20462"/>
    <cellStyle name="Note 2 6 2 2 2" xfId="21165"/>
    <cellStyle name="Note 2 6 3" xfId="20463"/>
    <cellStyle name="Note 2 6 3 2" xfId="20464"/>
    <cellStyle name="Note 2 6 3 2 2" xfId="21164"/>
    <cellStyle name="Note 2 6 4" xfId="20465"/>
    <cellStyle name="Note 2 6 4 2" xfId="20466"/>
    <cellStyle name="Note 2 6 4 2 2" xfId="21163"/>
    <cellStyle name="Note 2 6 5" xfId="20467"/>
    <cellStyle name="Note 2 6 6" xfId="20468"/>
    <cellStyle name="Note 2 6 7" xfId="20469"/>
    <cellStyle name="Note 2 6 7 2" xfId="21162"/>
    <cellStyle name="Note 2 7" xfId="20470"/>
    <cellStyle name="Note 2 7 2" xfId="20471"/>
    <cellStyle name="Note 2 7 2 2" xfId="20472"/>
    <cellStyle name="Note 2 7 2 2 2" xfId="21161"/>
    <cellStyle name="Note 2 7 3" xfId="20473"/>
    <cellStyle name="Note 2 7 3 2" xfId="20474"/>
    <cellStyle name="Note 2 7 3 2 2" xfId="21160"/>
    <cellStyle name="Note 2 7 4" xfId="20475"/>
    <cellStyle name="Note 2 7 4 2" xfId="20476"/>
    <cellStyle name="Note 2 7 4 2 2" xfId="21159"/>
    <cellStyle name="Note 2 7 5" xfId="20477"/>
    <cellStyle name="Note 2 7 6" xfId="20478"/>
    <cellStyle name="Note 2 7 7" xfId="20479"/>
    <cellStyle name="Note 2 7 7 2" xfId="21158"/>
    <cellStyle name="Note 2 8" xfId="20480"/>
    <cellStyle name="Note 2 8 2" xfId="20481"/>
    <cellStyle name="Note 2 8 2 2" xfId="21157"/>
    <cellStyle name="Note 2 8 3" xfId="20482"/>
    <cellStyle name="Note 2 8 3 2" xfId="21156"/>
    <cellStyle name="Note 2 8 4" xfId="20483"/>
    <cellStyle name="Note 2 8 4 2" xfId="21155"/>
    <cellStyle name="Note 2 8 5" xfId="20484"/>
    <cellStyle name="Note 2 8 5 2" xfId="21154"/>
    <cellStyle name="Note 2 9" xfId="20485"/>
    <cellStyle name="Note 2 9 2" xfId="20486"/>
    <cellStyle name="Note 2 9 2 2" xfId="21153"/>
    <cellStyle name="Note 2 9 3" xfId="20487"/>
    <cellStyle name="Note 2 9 3 2" xfId="21152"/>
    <cellStyle name="Note 2 9 4" xfId="20488"/>
    <cellStyle name="Note 2 9 4 2" xfId="21151"/>
    <cellStyle name="Note 2 9 5" xfId="20489"/>
    <cellStyle name="Note 2 9 5 2" xfId="21150"/>
    <cellStyle name="Note 3 2" xfId="20490"/>
    <cellStyle name="Note 3 2 2" xfId="20491"/>
    <cellStyle name="Note 3 2 2 2" xfId="21148"/>
    <cellStyle name="Note 3 2 3" xfId="20492"/>
    <cellStyle name="Note 3 2 4" xfId="21149"/>
    <cellStyle name="Note 3 3" xfId="20493"/>
    <cellStyle name="Note 3 3 2" xfId="20494"/>
    <cellStyle name="Note 3 3 3" xfId="21147"/>
    <cellStyle name="Note 3 4" xfId="20495"/>
    <cellStyle name="Note 3 4 2" xfId="21146"/>
    <cellStyle name="Note 3 5" xfId="20496"/>
    <cellStyle name="Note 4 2" xfId="20497"/>
    <cellStyle name="Note 4 2 2" xfId="20498"/>
    <cellStyle name="Note 4 2 2 2" xfId="21144"/>
    <cellStyle name="Note 4 2 3" xfId="20499"/>
    <cellStyle name="Note 4 2 4" xfId="21145"/>
    <cellStyle name="Note 4 3" xfId="20500"/>
    <cellStyle name="Note 4 4" xfId="20501"/>
    <cellStyle name="Note 4 4 2" xfId="21143"/>
    <cellStyle name="Note 4 5" xfId="20502"/>
    <cellStyle name="Note 5" xfId="20503"/>
    <cellStyle name="Note 5 2" xfId="20504"/>
    <cellStyle name="Note 5 2 2" xfId="20505"/>
    <cellStyle name="Note 5 2 3" xfId="21141"/>
    <cellStyle name="Note 5 3" xfId="20506"/>
    <cellStyle name="Note 5 3 2" xfId="20507"/>
    <cellStyle name="Note 5 3 3" xfId="21140"/>
    <cellStyle name="Note 5 4" xfId="20508"/>
    <cellStyle name="Note 5 4 2" xfId="21139"/>
    <cellStyle name="Note 5 5" xfId="20509"/>
    <cellStyle name="Note 5 6" xfId="21142"/>
    <cellStyle name="Note 6" xfId="20510"/>
    <cellStyle name="Note 6 2" xfId="20511"/>
    <cellStyle name="Note 6 2 2" xfId="20512"/>
    <cellStyle name="Note 6 2 3" xfId="21137"/>
    <cellStyle name="Note 6 3" xfId="20513"/>
    <cellStyle name="Note 6 4" xfId="20514"/>
    <cellStyle name="Note 6 5" xfId="21138"/>
    <cellStyle name="Note 7" xfId="20515"/>
    <cellStyle name="Note 7 2" xfId="21136"/>
    <cellStyle name="Note 8" xfId="20516"/>
    <cellStyle name="Note 8 2" xfId="20517"/>
    <cellStyle name="Note 8 2 2" xfId="21134"/>
    <cellStyle name="Note 8 3" xfId="21135"/>
    <cellStyle name="Note 9" xfId="20518"/>
    <cellStyle name="Note 9 2" xfId="21133"/>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alExposure 2" xfId="21132"/>
    <cellStyle name="OptionHeading" xfId="20526"/>
    <cellStyle name="OptionHeading 2" xfId="20527"/>
    <cellStyle name="OptionHeading 3" xfId="20528"/>
    <cellStyle name="Output 2" xfId="20529"/>
    <cellStyle name="Output 2 10" xfId="20530"/>
    <cellStyle name="Output 2 10 2" xfId="20531"/>
    <cellStyle name="Output 2 10 2 2" xfId="21130"/>
    <cellStyle name="Output 2 10 3" xfId="20532"/>
    <cellStyle name="Output 2 10 3 2" xfId="21129"/>
    <cellStyle name="Output 2 10 4" xfId="20533"/>
    <cellStyle name="Output 2 10 4 2" xfId="21128"/>
    <cellStyle name="Output 2 10 5" xfId="20534"/>
    <cellStyle name="Output 2 10 5 2" xfId="21127"/>
    <cellStyle name="Output 2 11" xfId="20535"/>
    <cellStyle name="Output 2 11 2" xfId="20536"/>
    <cellStyle name="Output 2 11 2 2" xfId="21125"/>
    <cellStyle name="Output 2 11 3" xfId="20537"/>
    <cellStyle name="Output 2 11 3 2" xfId="21124"/>
    <cellStyle name="Output 2 11 4" xfId="20538"/>
    <cellStyle name="Output 2 11 4 2" xfId="21123"/>
    <cellStyle name="Output 2 11 5" xfId="20539"/>
    <cellStyle name="Output 2 11 5 2" xfId="21122"/>
    <cellStyle name="Output 2 11 6" xfId="21126"/>
    <cellStyle name="Output 2 12" xfId="20540"/>
    <cellStyle name="Output 2 12 2" xfId="20541"/>
    <cellStyle name="Output 2 12 2 2" xfId="21120"/>
    <cellStyle name="Output 2 12 3" xfId="20542"/>
    <cellStyle name="Output 2 12 3 2" xfId="21119"/>
    <cellStyle name="Output 2 12 4" xfId="20543"/>
    <cellStyle name="Output 2 12 4 2" xfId="21118"/>
    <cellStyle name="Output 2 12 5" xfId="20544"/>
    <cellStyle name="Output 2 12 5 2" xfId="21117"/>
    <cellStyle name="Output 2 12 6" xfId="21121"/>
    <cellStyle name="Output 2 13" xfId="20545"/>
    <cellStyle name="Output 2 13 2" xfId="20546"/>
    <cellStyle name="Output 2 13 2 2" xfId="21115"/>
    <cellStyle name="Output 2 13 3" xfId="20547"/>
    <cellStyle name="Output 2 13 3 2" xfId="21114"/>
    <cellStyle name="Output 2 13 4" xfId="20548"/>
    <cellStyle name="Output 2 13 4 2" xfId="21113"/>
    <cellStyle name="Output 2 13 5" xfId="21116"/>
    <cellStyle name="Output 2 14" xfId="20549"/>
    <cellStyle name="Output 2 14 2" xfId="21112"/>
    <cellStyle name="Output 2 15" xfId="20550"/>
    <cellStyle name="Output 2 15 2" xfId="21111"/>
    <cellStyle name="Output 2 16" xfId="20551"/>
    <cellStyle name="Output 2 16 2" xfId="21110"/>
    <cellStyle name="Output 2 17" xfId="21131"/>
    <cellStyle name="Output 2 2" xfId="20552"/>
    <cellStyle name="Output 2 2 10" xfId="21109"/>
    <cellStyle name="Output 2 2 2" xfId="20553"/>
    <cellStyle name="Output 2 2 2 2" xfId="20554"/>
    <cellStyle name="Output 2 2 2 2 2" xfId="21107"/>
    <cellStyle name="Output 2 2 2 3" xfId="20555"/>
    <cellStyle name="Output 2 2 2 3 2" xfId="21106"/>
    <cellStyle name="Output 2 2 2 4" xfId="20556"/>
    <cellStyle name="Output 2 2 2 4 2" xfId="21105"/>
    <cellStyle name="Output 2 2 2 5" xfId="21108"/>
    <cellStyle name="Output 2 2 3" xfId="20557"/>
    <cellStyle name="Output 2 2 3 2" xfId="20558"/>
    <cellStyle name="Output 2 2 3 2 2" xfId="21103"/>
    <cellStyle name="Output 2 2 3 3" xfId="20559"/>
    <cellStyle name="Output 2 2 3 3 2" xfId="21102"/>
    <cellStyle name="Output 2 2 3 4" xfId="20560"/>
    <cellStyle name="Output 2 2 3 4 2" xfId="21101"/>
    <cellStyle name="Output 2 2 3 5" xfId="21104"/>
    <cellStyle name="Output 2 2 4" xfId="20561"/>
    <cellStyle name="Output 2 2 4 2" xfId="20562"/>
    <cellStyle name="Output 2 2 4 2 2" xfId="21099"/>
    <cellStyle name="Output 2 2 4 3" xfId="20563"/>
    <cellStyle name="Output 2 2 4 3 2" xfId="21098"/>
    <cellStyle name="Output 2 2 4 4" xfId="20564"/>
    <cellStyle name="Output 2 2 4 4 2" xfId="21097"/>
    <cellStyle name="Output 2 2 4 5" xfId="21100"/>
    <cellStyle name="Output 2 2 5" xfId="20565"/>
    <cellStyle name="Output 2 2 5 2" xfId="20566"/>
    <cellStyle name="Output 2 2 5 2 2" xfId="21095"/>
    <cellStyle name="Output 2 2 5 3" xfId="20567"/>
    <cellStyle name="Output 2 2 5 3 2" xfId="21094"/>
    <cellStyle name="Output 2 2 5 4" xfId="20568"/>
    <cellStyle name="Output 2 2 5 4 2" xfId="21093"/>
    <cellStyle name="Output 2 2 5 5" xfId="21096"/>
    <cellStyle name="Output 2 2 6" xfId="20569"/>
    <cellStyle name="Output 2 2 6 2" xfId="21092"/>
    <cellStyle name="Output 2 2 7" xfId="20570"/>
    <cellStyle name="Output 2 2 7 2" xfId="21091"/>
    <cellStyle name="Output 2 2 8" xfId="20571"/>
    <cellStyle name="Output 2 2 8 2" xfId="21090"/>
    <cellStyle name="Output 2 2 9" xfId="20572"/>
    <cellStyle name="Output 2 2 9 2" xfId="21089"/>
    <cellStyle name="Output 2 3" xfId="20573"/>
    <cellStyle name="Output 2 3 2" xfId="20574"/>
    <cellStyle name="Output 2 3 2 2" xfId="21088"/>
    <cellStyle name="Output 2 3 3" xfId="20575"/>
    <cellStyle name="Output 2 3 3 2" xfId="21087"/>
    <cellStyle name="Output 2 3 4" xfId="20576"/>
    <cellStyle name="Output 2 3 4 2" xfId="21086"/>
    <cellStyle name="Output 2 3 5" xfId="20577"/>
    <cellStyle name="Output 2 3 5 2" xfId="21085"/>
    <cellStyle name="Output 2 4" xfId="20578"/>
    <cellStyle name="Output 2 4 2" xfId="20579"/>
    <cellStyle name="Output 2 4 2 2" xfId="21084"/>
    <cellStyle name="Output 2 4 3" xfId="20580"/>
    <cellStyle name="Output 2 4 3 2" xfId="21083"/>
    <cellStyle name="Output 2 4 4" xfId="20581"/>
    <cellStyle name="Output 2 4 4 2" xfId="21082"/>
    <cellStyle name="Output 2 4 5" xfId="20582"/>
    <cellStyle name="Output 2 4 5 2" xfId="21081"/>
    <cellStyle name="Output 2 5" xfId="20583"/>
    <cellStyle name="Output 2 5 2" xfId="20584"/>
    <cellStyle name="Output 2 5 2 2" xfId="21080"/>
    <cellStyle name="Output 2 5 3" xfId="20585"/>
    <cellStyle name="Output 2 5 3 2" xfId="21079"/>
    <cellStyle name="Output 2 5 4" xfId="20586"/>
    <cellStyle name="Output 2 5 4 2" xfId="21078"/>
    <cellStyle name="Output 2 5 5" xfId="20587"/>
    <cellStyle name="Output 2 5 5 2" xfId="21077"/>
    <cellStyle name="Output 2 6" xfId="20588"/>
    <cellStyle name="Output 2 6 2" xfId="20589"/>
    <cellStyle name="Output 2 6 2 2" xfId="21076"/>
    <cellStyle name="Output 2 6 3" xfId="20590"/>
    <cellStyle name="Output 2 6 3 2" xfId="21075"/>
    <cellStyle name="Output 2 6 4" xfId="20591"/>
    <cellStyle name="Output 2 6 4 2" xfId="21074"/>
    <cellStyle name="Output 2 6 5" xfId="20592"/>
    <cellStyle name="Output 2 6 5 2" xfId="21073"/>
    <cellStyle name="Output 2 7" xfId="20593"/>
    <cellStyle name="Output 2 7 2" xfId="20594"/>
    <cellStyle name="Output 2 7 2 2" xfId="21072"/>
    <cellStyle name="Output 2 7 3" xfId="20595"/>
    <cellStyle name="Output 2 7 3 2" xfId="21071"/>
    <cellStyle name="Output 2 7 4" xfId="20596"/>
    <cellStyle name="Output 2 7 4 2" xfId="21070"/>
    <cellStyle name="Output 2 7 5" xfId="20597"/>
    <cellStyle name="Output 2 7 5 2" xfId="21069"/>
    <cellStyle name="Output 2 8" xfId="20598"/>
    <cellStyle name="Output 2 8 2" xfId="20599"/>
    <cellStyle name="Output 2 8 2 2" xfId="21068"/>
    <cellStyle name="Output 2 8 3" xfId="20600"/>
    <cellStyle name="Output 2 8 3 2" xfId="21067"/>
    <cellStyle name="Output 2 8 4" xfId="20601"/>
    <cellStyle name="Output 2 8 4 2" xfId="21066"/>
    <cellStyle name="Output 2 8 5" xfId="20602"/>
    <cellStyle name="Output 2 8 5 2" xfId="21065"/>
    <cellStyle name="Output 2 9" xfId="20603"/>
    <cellStyle name="Output 2 9 2" xfId="20604"/>
    <cellStyle name="Output 2 9 2 2" xfId="21064"/>
    <cellStyle name="Output 2 9 3" xfId="20605"/>
    <cellStyle name="Output 2 9 3 2" xfId="21063"/>
    <cellStyle name="Output 2 9 4" xfId="20606"/>
    <cellStyle name="Output 2 9 4 2" xfId="21062"/>
    <cellStyle name="Output 2 9 5" xfId="20607"/>
    <cellStyle name="Output 2 9 5 2" xfId="21061"/>
    <cellStyle name="Output 3" xfId="20608"/>
    <cellStyle name="Output 3 2" xfId="20609"/>
    <cellStyle name="Output 3 2 2" xfId="21059"/>
    <cellStyle name="Output 3 3" xfId="20610"/>
    <cellStyle name="Output 3 3 2" xfId="21058"/>
    <cellStyle name="Output 3 4" xfId="21060"/>
    <cellStyle name="Output 4" xfId="20611"/>
    <cellStyle name="Output 4 2" xfId="20612"/>
    <cellStyle name="Output 4 2 2" xfId="21056"/>
    <cellStyle name="Output 4 3" xfId="20613"/>
    <cellStyle name="Output 4 3 2" xfId="21055"/>
    <cellStyle name="Output 4 4" xfId="21057"/>
    <cellStyle name="Output 5" xfId="20614"/>
    <cellStyle name="Output 5 2" xfId="20615"/>
    <cellStyle name="Output 5 2 2" xfId="21053"/>
    <cellStyle name="Output 5 3" xfId="20616"/>
    <cellStyle name="Output 5 3 2" xfId="21052"/>
    <cellStyle name="Output 5 4" xfId="21054"/>
    <cellStyle name="Output 6" xfId="20617"/>
    <cellStyle name="Output 6 2" xfId="20618"/>
    <cellStyle name="Output 6 2 2" xfId="21050"/>
    <cellStyle name="Output 6 3" xfId="20619"/>
    <cellStyle name="Output 6 3 2" xfId="21049"/>
    <cellStyle name="Output 6 4" xfId="21051"/>
    <cellStyle name="Output 7" xfId="20620"/>
    <cellStyle name="Output 7 2" xfId="21048"/>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Exposure 2" xfId="21047"/>
    <cellStyle name="showParameterE" xfId="20788"/>
    <cellStyle name="showParameterE 2" xfId="21046"/>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Style 9" xfId="2141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2 2" xfId="21044"/>
    <cellStyle name="Total 2 10 3" xfId="20827"/>
    <cellStyle name="Total 2 10 3 2" xfId="21043"/>
    <cellStyle name="Total 2 10 4" xfId="20828"/>
    <cellStyle name="Total 2 10 4 2" xfId="21042"/>
    <cellStyle name="Total 2 10 5" xfId="20829"/>
    <cellStyle name="Total 2 10 5 2" xfId="21041"/>
    <cellStyle name="Total 2 11" xfId="20830"/>
    <cellStyle name="Total 2 11 2" xfId="20831"/>
    <cellStyle name="Total 2 11 2 2" xfId="21039"/>
    <cellStyle name="Total 2 11 3" xfId="20832"/>
    <cellStyle name="Total 2 11 3 2" xfId="21038"/>
    <cellStyle name="Total 2 11 4" xfId="20833"/>
    <cellStyle name="Total 2 11 4 2" xfId="21037"/>
    <cellStyle name="Total 2 11 5" xfId="20834"/>
    <cellStyle name="Total 2 11 5 2" xfId="21036"/>
    <cellStyle name="Total 2 11 6" xfId="21040"/>
    <cellStyle name="Total 2 12" xfId="20835"/>
    <cellStyle name="Total 2 12 2" xfId="20836"/>
    <cellStyle name="Total 2 12 2 2" xfId="21034"/>
    <cellStyle name="Total 2 12 3" xfId="20837"/>
    <cellStyle name="Total 2 12 3 2" xfId="21033"/>
    <cellStyle name="Total 2 12 4" xfId="20838"/>
    <cellStyle name="Total 2 12 4 2" xfId="21032"/>
    <cellStyle name="Total 2 12 5" xfId="20839"/>
    <cellStyle name="Total 2 12 5 2" xfId="21031"/>
    <cellStyle name="Total 2 12 6" xfId="21035"/>
    <cellStyle name="Total 2 13" xfId="20840"/>
    <cellStyle name="Total 2 13 2" xfId="20841"/>
    <cellStyle name="Total 2 13 2 2" xfId="21029"/>
    <cellStyle name="Total 2 13 3" xfId="20842"/>
    <cellStyle name="Total 2 13 3 2" xfId="21028"/>
    <cellStyle name="Total 2 13 4" xfId="20843"/>
    <cellStyle name="Total 2 13 4 2" xfId="21027"/>
    <cellStyle name="Total 2 13 5" xfId="21030"/>
    <cellStyle name="Total 2 14" xfId="20844"/>
    <cellStyle name="Total 2 14 2" xfId="21026"/>
    <cellStyle name="Total 2 15" xfId="20845"/>
    <cellStyle name="Total 2 15 2" xfId="21025"/>
    <cellStyle name="Total 2 16" xfId="20846"/>
    <cellStyle name="Total 2 16 2" xfId="21024"/>
    <cellStyle name="Total 2 17" xfId="21045"/>
    <cellStyle name="Total 2 2" xfId="20847"/>
    <cellStyle name="Total 2 2 10" xfId="21023"/>
    <cellStyle name="Total 2 2 2" xfId="20848"/>
    <cellStyle name="Total 2 2 2 2" xfId="20849"/>
    <cellStyle name="Total 2 2 2 2 2" xfId="21021"/>
    <cellStyle name="Total 2 2 2 3" xfId="20850"/>
    <cellStyle name="Total 2 2 2 3 2" xfId="21020"/>
    <cellStyle name="Total 2 2 2 4" xfId="20851"/>
    <cellStyle name="Total 2 2 2 4 2" xfId="21019"/>
    <cellStyle name="Total 2 2 2 5" xfId="21022"/>
    <cellStyle name="Total 2 2 3" xfId="20852"/>
    <cellStyle name="Total 2 2 3 2" xfId="20853"/>
    <cellStyle name="Total 2 2 3 2 2" xfId="21017"/>
    <cellStyle name="Total 2 2 3 3" xfId="20854"/>
    <cellStyle name="Total 2 2 3 3 2" xfId="21016"/>
    <cellStyle name="Total 2 2 3 4" xfId="20855"/>
    <cellStyle name="Total 2 2 3 4 2" xfId="21015"/>
    <cellStyle name="Total 2 2 3 5" xfId="21018"/>
    <cellStyle name="Total 2 2 4" xfId="20856"/>
    <cellStyle name="Total 2 2 4 2" xfId="20857"/>
    <cellStyle name="Total 2 2 4 2 2" xfId="21013"/>
    <cellStyle name="Total 2 2 4 3" xfId="20858"/>
    <cellStyle name="Total 2 2 4 3 2" xfId="21012"/>
    <cellStyle name="Total 2 2 4 4" xfId="20859"/>
    <cellStyle name="Total 2 2 4 4 2" xfId="21011"/>
    <cellStyle name="Total 2 2 4 5" xfId="21014"/>
    <cellStyle name="Total 2 2 5" xfId="20860"/>
    <cellStyle name="Total 2 2 5 2" xfId="20861"/>
    <cellStyle name="Total 2 2 5 2 2" xfId="21009"/>
    <cellStyle name="Total 2 2 5 3" xfId="20862"/>
    <cellStyle name="Total 2 2 5 3 2" xfId="21008"/>
    <cellStyle name="Total 2 2 5 4" xfId="20863"/>
    <cellStyle name="Total 2 2 5 4 2" xfId="21007"/>
    <cellStyle name="Total 2 2 5 5" xfId="21010"/>
    <cellStyle name="Total 2 2 6" xfId="20864"/>
    <cellStyle name="Total 2 2 6 2" xfId="21006"/>
    <cellStyle name="Total 2 2 7" xfId="20865"/>
    <cellStyle name="Total 2 2 7 2" xfId="21005"/>
    <cellStyle name="Total 2 2 8" xfId="20866"/>
    <cellStyle name="Total 2 2 8 2" xfId="21004"/>
    <cellStyle name="Total 2 2 9" xfId="20867"/>
    <cellStyle name="Total 2 2 9 2" xfId="21003"/>
    <cellStyle name="Total 2 3" xfId="20868"/>
    <cellStyle name="Total 2 3 2" xfId="20869"/>
    <cellStyle name="Total 2 3 2 2" xfId="21002"/>
    <cellStyle name="Total 2 3 3" xfId="20870"/>
    <cellStyle name="Total 2 3 3 2" xfId="21001"/>
    <cellStyle name="Total 2 3 4" xfId="20871"/>
    <cellStyle name="Total 2 3 4 2" xfId="21000"/>
    <cellStyle name="Total 2 3 5" xfId="20872"/>
    <cellStyle name="Total 2 3 5 2" xfId="20999"/>
    <cellStyle name="Total 2 4" xfId="20873"/>
    <cellStyle name="Total 2 4 2" xfId="20874"/>
    <cellStyle name="Total 2 4 2 2" xfId="20998"/>
    <cellStyle name="Total 2 4 3" xfId="20875"/>
    <cellStyle name="Total 2 4 3 2" xfId="20997"/>
    <cellStyle name="Total 2 4 4" xfId="20876"/>
    <cellStyle name="Total 2 4 4 2" xfId="20996"/>
    <cellStyle name="Total 2 4 5" xfId="20877"/>
    <cellStyle name="Total 2 4 5 2" xfId="20995"/>
    <cellStyle name="Total 2 5" xfId="20878"/>
    <cellStyle name="Total 2 5 2" xfId="20879"/>
    <cellStyle name="Total 2 5 2 2" xfId="20994"/>
    <cellStyle name="Total 2 5 3" xfId="20880"/>
    <cellStyle name="Total 2 5 3 2" xfId="20993"/>
    <cellStyle name="Total 2 5 4" xfId="20881"/>
    <cellStyle name="Total 2 5 4 2" xfId="20992"/>
    <cellStyle name="Total 2 5 5" xfId="20882"/>
    <cellStyle name="Total 2 5 5 2" xfId="20991"/>
    <cellStyle name="Total 2 6" xfId="20883"/>
    <cellStyle name="Total 2 6 2" xfId="20884"/>
    <cellStyle name="Total 2 6 2 2" xfId="20990"/>
    <cellStyle name="Total 2 6 3" xfId="20885"/>
    <cellStyle name="Total 2 6 3 2" xfId="20989"/>
    <cellStyle name="Total 2 6 4" xfId="20886"/>
    <cellStyle name="Total 2 6 4 2" xfId="20988"/>
    <cellStyle name="Total 2 6 5" xfId="20887"/>
    <cellStyle name="Total 2 6 5 2" xfId="20987"/>
    <cellStyle name="Total 2 7" xfId="20888"/>
    <cellStyle name="Total 2 7 2" xfId="20889"/>
    <cellStyle name="Total 2 7 2 2" xfId="20986"/>
    <cellStyle name="Total 2 7 3" xfId="20890"/>
    <cellStyle name="Total 2 7 3 2" xfId="20985"/>
    <cellStyle name="Total 2 7 4" xfId="20891"/>
    <cellStyle name="Total 2 7 4 2" xfId="20984"/>
    <cellStyle name="Total 2 7 5" xfId="20892"/>
    <cellStyle name="Total 2 7 5 2" xfId="20983"/>
    <cellStyle name="Total 2 8" xfId="20893"/>
    <cellStyle name="Total 2 8 2" xfId="20894"/>
    <cellStyle name="Total 2 8 2 2" xfId="20982"/>
    <cellStyle name="Total 2 8 3" xfId="20895"/>
    <cellStyle name="Total 2 8 3 2" xfId="20981"/>
    <cellStyle name="Total 2 8 4" xfId="20896"/>
    <cellStyle name="Total 2 8 4 2" xfId="20980"/>
    <cellStyle name="Total 2 8 5" xfId="20897"/>
    <cellStyle name="Total 2 8 5 2" xfId="20979"/>
    <cellStyle name="Total 2 9" xfId="20898"/>
    <cellStyle name="Total 2 9 2" xfId="20899"/>
    <cellStyle name="Total 2 9 2 2" xfId="20978"/>
    <cellStyle name="Total 2 9 3" xfId="20900"/>
    <cellStyle name="Total 2 9 3 2" xfId="20977"/>
    <cellStyle name="Total 2 9 4" xfId="20901"/>
    <cellStyle name="Total 2 9 4 2" xfId="20976"/>
    <cellStyle name="Total 2 9 5" xfId="20902"/>
    <cellStyle name="Total 2 9 5 2" xfId="20975"/>
    <cellStyle name="Total 3" xfId="20903"/>
    <cellStyle name="Total 3 2" xfId="20904"/>
    <cellStyle name="Total 3 2 2" xfId="20973"/>
    <cellStyle name="Total 3 3" xfId="20905"/>
    <cellStyle name="Total 3 3 2" xfId="20972"/>
    <cellStyle name="Total 3 4" xfId="20974"/>
    <cellStyle name="Total 4" xfId="20906"/>
    <cellStyle name="Total 4 2" xfId="20907"/>
    <cellStyle name="Total 4 2 2" xfId="20970"/>
    <cellStyle name="Total 4 3" xfId="20908"/>
    <cellStyle name="Total 4 3 2" xfId="20969"/>
    <cellStyle name="Total 4 4" xfId="20971"/>
    <cellStyle name="Total 5" xfId="20909"/>
    <cellStyle name="Total 5 2" xfId="20910"/>
    <cellStyle name="Total 5 2 2" xfId="20967"/>
    <cellStyle name="Total 5 3" xfId="20911"/>
    <cellStyle name="Total 5 3 2" xfId="20966"/>
    <cellStyle name="Total 5 4" xfId="20968"/>
    <cellStyle name="Total 6" xfId="20912"/>
    <cellStyle name="Total 6 2" xfId="20913"/>
    <cellStyle name="Total 6 2 2" xfId="20964"/>
    <cellStyle name="Total 6 3" xfId="20914"/>
    <cellStyle name="Total 6 3 2" xfId="20963"/>
    <cellStyle name="Total 6 4" xfId="20965"/>
    <cellStyle name="Total 7" xfId="20915"/>
    <cellStyle name="Total 7 2" xfId="20962"/>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80010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53" bestFit="1" customWidth="1"/>
    <col min="3" max="3" width="39.42578125" customWidth="1"/>
    <col min="7" max="7" width="25" customWidth="1"/>
  </cols>
  <sheetData>
    <row r="1" spans="1:3" ht="15.75">
      <c r="A1" s="9"/>
      <c r="B1" s="131" t="s">
        <v>159</v>
      </c>
      <c r="C1" s="54"/>
    </row>
    <row r="2" spans="1:3" s="128" customFormat="1" ht="15.75">
      <c r="A2" s="160">
        <v>1</v>
      </c>
      <c r="B2" s="129" t="s">
        <v>160</v>
      </c>
      <c r="C2" s="126" t="s">
        <v>725</v>
      </c>
    </row>
    <row r="3" spans="1:3" s="128" customFormat="1" ht="15.75">
      <c r="A3" s="160">
        <v>2</v>
      </c>
      <c r="B3" s="130" t="s">
        <v>161</v>
      </c>
      <c r="C3" s="126" t="s">
        <v>701</v>
      </c>
    </row>
    <row r="4" spans="1:3" s="128" customFormat="1" ht="15.75">
      <c r="A4" s="160">
        <v>3</v>
      </c>
      <c r="B4" s="130" t="s">
        <v>162</v>
      </c>
      <c r="C4" s="126" t="s">
        <v>708</v>
      </c>
    </row>
    <row r="5" spans="1:3" s="128" customFormat="1" ht="15.75">
      <c r="A5" s="161">
        <v>4</v>
      </c>
      <c r="B5" s="133" t="s">
        <v>163</v>
      </c>
      <c r="C5" s="126" t="s">
        <v>726</v>
      </c>
    </row>
    <row r="6" spans="1:3" s="132" customFormat="1" ht="65.25" customHeight="1">
      <c r="A6" s="765" t="s">
        <v>223</v>
      </c>
      <c r="B6" s="766"/>
      <c r="C6" s="766"/>
    </row>
    <row r="7" spans="1:3">
      <c r="A7" s="279" t="s">
        <v>188</v>
      </c>
      <c r="B7" s="280" t="s">
        <v>164</v>
      </c>
    </row>
    <row r="8" spans="1:3">
      <c r="A8" s="281">
        <v>1</v>
      </c>
      <c r="B8" s="277" t="s">
        <v>139</v>
      </c>
    </row>
    <row r="9" spans="1:3">
      <c r="A9" s="281">
        <v>2</v>
      </c>
      <c r="B9" s="277" t="s">
        <v>165</v>
      </c>
    </row>
    <row r="10" spans="1:3">
      <c r="A10" s="281">
        <v>3</v>
      </c>
      <c r="B10" s="277" t="s">
        <v>166</v>
      </c>
    </row>
    <row r="11" spans="1:3">
      <c r="A11" s="281">
        <v>4</v>
      </c>
      <c r="B11" s="277" t="s">
        <v>167</v>
      </c>
      <c r="C11" s="127"/>
    </row>
    <row r="12" spans="1:3">
      <c r="A12" s="281">
        <v>5</v>
      </c>
      <c r="B12" s="277" t="s">
        <v>107</v>
      </c>
    </row>
    <row r="13" spans="1:3">
      <c r="A13" s="281">
        <v>6</v>
      </c>
      <c r="B13" s="282" t="s">
        <v>91</v>
      </c>
    </row>
    <row r="14" spans="1:3">
      <c r="A14" s="281">
        <v>7</v>
      </c>
      <c r="B14" s="277" t="s">
        <v>168</v>
      </c>
    </row>
    <row r="15" spans="1:3">
      <c r="A15" s="281">
        <v>8</v>
      </c>
      <c r="B15" s="277" t="s">
        <v>171</v>
      </c>
    </row>
    <row r="16" spans="1:3">
      <c r="A16" s="281">
        <v>9</v>
      </c>
      <c r="B16" s="277" t="s">
        <v>85</v>
      </c>
    </row>
    <row r="17" spans="1:2">
      <c r="A17" s="283" t="s">
        <v>270</v>
      </c>
      <c r="B17" s="277" t="s">
        <v>250</v>
      </c>
    </row>
    <row r="18" spans="1:2">
      <c r="A18" s="281">
        <v>10</v>
      </c>
      <c r="B18" s="277" t="s">
        <v>172</v>
      </c>
    </row>
    <row r="19" spans="1:2">
      <c r="A19" s="281">
        <v>11</v>
      </c>
      <c r="B19" s="282" t="s">
        <v>155</v>
      </c>
    </row>
    <row r="20" spans="1:2">
      <c r="A20" s="281">
        <v>12</v>
      </c>
      <c r="B20" s="282" t="s">
        <v>152</v>
      </c>
    </row>
    <row r="21" spans="1:2">
      <c r="A21" s="281">
        <v>13</v>
      </c>
      <c r="B21" s="284" t="s">
        <v>218</v>
      </c>
    </row>
    <row r="22" spans="1:2">
      <c r="A22" s="281">
        <v>14</v>
      </c>
      <c r="B22" s="277" t="s">
        <v>244</v>
      </c>
    </row>
    <row r="23" spans="1:2">
      <c r="A23" s="285">
        <v>15</v>
      </c>
      <c r="B23" s="277" t="s">
        <v>74</v>
      </c>
    </row>
    <row r="24" spans="1:2">
      <c r="A24" s="285">
        <v>15.1</v>
      </c>
      <c r="B24" s="277" t="s">
        <v>279</v>
      </c>
    </row>
    <row r="25" spans="1:2">
      <c r="A25" s="285">
        <v>16</v>
      </c>
      <c r="B25" s="277" t="s">
        <v>342</v>
      </c>
    </row>
    <row r="26" spans="1:2">
      <c r="A26" s="285">
        <v>17</v>
      </c>
      <c r="B26" s="277" t="s">
        <v>492</v>
      </c>
    </row>
    <row r="27" spans="1:2">
      <c r="A27" s="285">
        <v>18</v>
      </c>
      <c r="B27" s="277" t="s">
        <v>688</v>
      </c>
    </row>
    <row r="28" spans="1:2">
      <c r="A28" s="285">
        <v>19</v>
      </c>
      <c r="B28" s="277" t="s">
        <v>689</v>
      </c>
    </row>
    <row r="29" spans="1:2">
      <c r="A29" s="285">
        <v>20</v>
      </c>
      <c r="B29" s="277" t="s">
        <v>690</v>
      </c>
    </row>
    <row r="30" spans="1:2">
      <c r="A30" s="285">
        <v>21</v>
      </c>
      <c r="B30" s="277" t="s">
        <v>431</v>
      </c>
    </row>
    <row r="31" spans="1:2">
      <c r="A31" s="285">
        <v>22</v>
      </c>
      <c r="B31" s="277" t="s">
        <v>691</v>
      </c>
    </row>
    <row r="32" spans="1:2" ht="25.5">
      <c r="A32" s="285">
        <v>23</v>
      </c>
      <c r="B32" s="585" t="s">
        <v>687</v>
      </c>
    </row>
    <row r="33" spans="1:2">
      <c r="A33" s="285">
        <v>24</v>
      </c>
      <c r="B33" s="277" t="s">
        <v>692</v>
      </c>
    </row>
    <row r="34" spans="1:2">
      <c r="A34" s="285">
        <v>25</v>
      </c>
      <c r="B34" s="277" t="s">
        <v>693</v>
      </c>
    </row>
    <row r="35" spans="1:2">
      <c r="A35" s="281">
        <v>26</v>
      </c>
      <c r="B35" s="277" t="s">
        <v>516</v>
      </c>
    </row>
  </sheetData>
  <mergeCells count="1">
    <mergeCell ref="A6:C6"/>
  </mergeCells>
  <hyperlinks>
    <hyperlink ref="B8" display="ძირითადი მაჩვენებლები"/>
    <hyperlink ref="B9" display="საბალანსო უწყისი"/>
    <hyperlink ref="B10" display="მოგება-ზარალის ანგარიშგება"/>
    <hyperlink ref="B11" display="ბალანსგარეშე ანგარიშების უწყისი "/>
    <hyperlink ref="B12" display="რისკის მიხედვით შეწონილი რისკის პოზიციები"/>
    <hyperlink ref="B14"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display="ინფორმაცია ბანკის სამეთვალყურეო საბჭოს, დირექტორატის და აქციონერთა შესახებ"/>
    <hyperlink ref="B15"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hyperlink ref="B16" display="საზედამხედველო კაპიტალი"/>
    <hyperlink ref="B18" display="საბალანსო უწყისისა და საზედამხედველო კაპიტალის ელემენტებს შორის კავშირები"/>
    <hyperlink ref="B20" display="საკრედიტო რისკის მიტიგაცია"/>
    <hyperlink ref="B19" display="საკრედიტო რისკის მიხედვით შეწონილი რისკის პოზიციები"/>
    <hyperlink ref="B21" display="სტანდარტიზებული მიდგომა - საკრედიტო რისკის მიტიგაციის ეფექტი"/>
    <hyperlink ref="B23" display="კონტრაგენტთან დაკავშირებული საკრედიტო რისკის მიხედვით შეწონილი რისკის პოზიციები"/>
    <hyperlink ref="B22" display="ლიკვიდობის გადაფარვის კოეფიციენტი"/>
    <hyperlink ref="B17" display="კაპიტალის ადეკვატურობის მოთხოვნები"/>
    <hyperlink ref="B24" display="ლევერიჯის კოეფიციენტი"/>
    <hyperlink ref="B25" display="წმინდა სტაბილური დაფინანსების კოეფიციენტი"/>
    <hyperlink ref="B26" display="რისკის პოზიციის ღირებულება ნარჩენი ვადიანობის  და რისკის კლასების მიხედვით"/>
    <hyperlink ref="B27" display="აქტივების, აქტივებზე მოსალოდნელი საკრედიტო ზარალის და ჩამოწერის განაწილება რისკის კლასების მიხედვით"/>
    <hyperlink ref="B28" display="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
    <hyperlink ref="B30" display="უმოქმედო სესხების ცვლილება"/>
    <hyperlink ref="B31" display="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
    <hyperlink ref="B32" display="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
    <hyperlink ref="B33" display="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
    <hyperlink ref="B34"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display="მოსალოდნელი საკრედიტო ზარალის ცვლილება სესხებზე და კორპორატიულ სავალო ფასიან ქაღალდებზე"/>
    <hyperlink ref="B35" display="ზოგადი და ხარისხობრივ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pane xSplit="1" ySplit="5" topLeftCell="B36" activePane="bottomRight" state="frozen"/>
      <selection pane="topRight" activeCell="B1" sqref="B1"/>
      <selection pane="bottomLeft" activeCell="A5" sqref="A5"/>
      <selection pane="bottomRight" activeCell="D33" sqref="D33"/>
    </sheetView>
  </sheetViews>
  <sheetFormatPr defaultRowHeight="15"/>
  <cols>
    <col min="1" max="1" width="9.42578125" style="5" bestFit="1" customWidth="1"/>
    <col min="2" max="2" width="132.42578125" style="2" customWidth="1"/>
    <col min="3" max="3" width="18.42578125" style="2" customWidth="1"/>
    <col min="4" max="4" width="13.85546875" bestFit="1" customWidth="1"/>
  </cols>
  <sheetData>
    <row r="1" spans="1:6" ht="15.75">
      <c r="A1" s="16" t="s">
        <v>108</v>
      </c>
      <c r="B1" s="15" t="str">
        <f>Info!C2</f>
        <v>სს "ბაზისბანკი"</v>
      </c>
      <c r="D1" s="2"/>
      <c r="E1" s="2"/>
      <c r="F1" s="2"/>
    </row>
    <row r="2" spans="1:6" s="20" customFormat="1" ht="15.75" customHeight="1">
      <c r="A2" s="20" t="s">
        <v>109</v>
      </c>
      <c r="B2" s="354">
        <f>'1. key ratios'!B2</f>
        <v>45016</v>
      </c>
    </row>
    <row r="3" spans="1:6" s="20" customFormat="1" ht="15.75" customHeight="1"/>
    <row r="4" spans="1:6" ht="15.75" thickBot="1">
      <c r="A4" s="5" t="s">
        <v>194</v>
      </c>
      <c r="B4" s="29" t="s">
        <v>85</v>
      </c>
    </row>
    <row r="5" spans="1:6">
      <c r="A5" s="87" t="s">
        <v>25</v>
      </c>
      <c r="B5" s="88"/>
      <c r="C5" s="89" t="s">
        <v>26</v>
      </c>
    </row>
    <row r="6" spans="1:6">
      <c r="A6" s="90">
        <v>1</v>
      </c>
      <c r="B6" s="50" t="s">
        <v>27</v>
      </c>
      <c r="C6" s="172">
        <f>SUM(C7:C11)</f>
        <v>457602257.3679567</v>
      </c>
      <c r="D6" s="633"/>
      <c r="E6" s="632"/>
    </row>
    <row r="7" spans="1:6">
      <c r="A7" s="90">
        <v>2</v>
      </c>
      <c r="B7" s="47" t="s">
        <v>28</v>
      </c>
      <c r="C7" s="173">
        <v>17091531</v>
      </c>
      <c r="E7" s="632"/>
    </row>
    <row r="8" spans="1:6">
      <c r="A8" s="90">
        <v>3</v>
      </c>
      <c r="B8" s="41" t="s">
        <v>29</v>
      </c>
      <c r="C8" s="173">
        <v>101066232.035</v>
      </c>
      <c r="E8" s="632"/>
    </row>
    <row r="9" spans="1:6">
      <c r="A9" s="90">
        <v>4</v>
      </c>
      <c r="B9" s="41" t="s">
        <v>30</v>
      </c>
      <c r="C9" s="173">
        <v>15141309.386399999</v>
      </c>
      <c r="E9" s="632"/>
    </row>
    <row r="10" spans="1:6">
      <c r="A10" s="90">
        <v>5</v>
      </c>
      <c r="B10" s="41" t="s">
        <v>31</v>
      </c>
      <c r="C10" s="173">
        <v>247736982.85052881</v>
      </c>
      <c r="E10" s="632"/>
    </row>
    <row r="11" spans="1:6">
      <c r="A11" s="90">
        <v>6</v>
      </c>
      <c r="B11" s="48" t="s">
        <v>32</v>
      </c>
      <c r="C11" s="173">
        <v>76566202.096027926</v>
      </c>
      <c r="E11" s="632"/>
    </row>
    <row r="12" spans="1:6" s="4" customFormat="1">
      <c r="A12" s="90">
        <v>7</v>
      </c>
      <c r="B12" s="50" t="s">
        <v>33</v>
      </c>
      <c r="C12" s="174">
        <f>SUM(C13:C28)</f>
        <v>28329360.386399999</v>
      </c>
      <c r="D12" s="721"/>
      <c r="E12" s="632"/>
    </row>
    <row r="13" spans="1:6" s="4" customFormat="1">
      <c r="A13" s="90">
        <v>8</v>
      </c>
      <c r="B13" s="49" t="s">
        <v>34</v>
      </c>
      <c r="C13" s="175">
        <v>15141309.386399999</v>
      </c>
      <c r="E13" s="632"/>
    </row>
    <row r="14" spans="1:6" s="4" customFormat="1" ht="25.5">
      <c r="A14" s="90">
        <v>9</v>
      </c>
      <c r="B14" s="42" t="s">
        <v>35</v>
      </c>
      <c r="C14" s="175">
        <v>0</v>
      </c>
      <c r="E14" s="632"/>
    </row>
    <row r="15" spans="1:6" s="4" customFormat="1">
      <c r="A15" s="90">
        <v>10</v>
      </c>
      <c r="B15" s="43" t="s">
        <v>36</v>
      </c>
      <c r="C15" s="175">
        <v>9391401</v>
      </c>
      <c r="E15" s="632"/>
    </row>
    <row r="16" spans="1:6" s="4" customFormat="1">
      <c r="A16" s="90">
        <v>11</v>
      </c>
      <c r="B16" s="44" t="s">
        <v>37</v>
      </c>
      <c r="C16" s="175">
        <v>0</v>
      </c>
      <c r="E16" s="632"/>
    </row>
    <row r="17" spans="1:5" s="4" customFormat="1">
      <c r="A17" s="90">
        <v>12</v>
      </c>
      <c r="B17" s="43" t="s">
        <v>38</v>
      </c>
      <c r="C17" s="175">
        <v>0</v>
      </c>
      <c r="E17" s="632"/>
    </row>
    <row r="18" spans="1:5" s="4" customFormat="1">
      <c r="A18" s="90">
        <v>13</v>
      </c>
      <c r="B18" s="43" t="s">
        <v>39</v>
      </c>
      <c r="C18" s="175">
        <v>0</v>
      </c>
      <c r="E18" s="632"/>
    </row>
    <row r="19" spans="1:5" s="4" customFormat="1">
      <c r="A19" s="90">
        <v>14</v>
      </c>
      <c r="B19" s="43" t="s">
        <v>40</v>
      </c>
      <c r="C19" s="175">
        <v>0</v>
      </c>
      <c r="E19" s="632"/>
    </row>
    <row r="20" spans="1:5" s="4" customFormat="1" ht="25.5">
      <c r="A20" s="90">
        <v>15</v>
      </c>
      <c r="B20" s="43" t="s">
        <v>41</v>
      </c>
      <c r="C20" s="175">
        <v>0</v>
      </c>
      <c r="E20" s="632"/>
    </row>
    <row r="21" spans="1:5" s="4" customFormat="1" ht="25.5">
      <c r="A21" s="90">
        <v>16</v>
      </c>
      <c r="B21" s="42" t="s">
        <v>42</v>
      </c>
      <c r="C21" s="175">
        <v>0</v>
      </c>
      <c r="E21" s="632"/>
    </row>
    <row r="22" spans="1:5" s="4" customFormat="1">
      <c r="A22" s="90">
        <v>17</v>
      </c>
      <c r="B22" s="91" t="s">
        <v>43</v>
      </c>
      <c r="C22" s="175">
        <v>3796650</v>
      </c>
      <c r="E22" s="632"/>
    </row>
    <row r="23" spans="1:5" s="4" customFormat="1">
      <c r="A23" s="90">
        <v>18</v>
      </c>
      <c r="B23" s="718" t="s">
        <v>518</v>
      </c>
      <c r="C23" s="409"/>
      <c r="E23" s="632"/>
    </row>
    <row r="24" spans="1:5" s="4" customFormat="1" ht="25.5">
      <c r="A24" s="90">
        <v>19</v>
      </c>
      <c r="B24" s="42" t="s">
        <v>44</v>
      </c>
      <c r="C24" s="175"/>
      <c r="E24" s="632"/>
    </row>
    <row r="25" spans="1:5" s="4" customFormat="1" ht="25.5">
      <c r="A25" s="90">
        <v>20</v>
      </c>
      <c r="B25" s="42" t="s">
        <v>45</v>
      </c>
      <c r="C25" s="175"/>
      <c r="E25" s="632"/>
    </row>
    <row r="26" spans="1:5" s="4" customFormat="1" ht="25.5">
      <c r="A26" s="90">
        <v>21</v>
      </c>
      <c r="B26" s="45" t="s">
        <v>46</v>
      </c>
      <c r="C26" s="175"/>
      <c r="E26" s="632"/>
    </row>
    <row r="27" spans="1:5" s="4" customFormat="1">
      <c r="A27" s="90">
        <v>22</v>
      </c>
      <c r="B27" s="45" t="s">
        <v>47</v>
      </c>
      <c r="C27" s="175"/>
      <c r="E27" s="632"/>
    </row>
    <row r="28" spans="1:5" s="4" customFormat="1" ht="25.5">
      <c r="A28" s="90">
        <v>23</v>
      </c>
      <c r="B28" s="45" t="s">
        <v>48</v>
      </c>
      <c r="C28" s="175"/>
      <c r="E28" s="632"/>
    </row>
    <row r="29" spans="1:5" s="4" customFormat="1">
      <c r="A29" s="90">
        <v>24</v>
      </c>
      <c r="B29" s="51" t="s">
        <v>22</v>
      </c>
      <c r="C29" s="174">
        <f>C6-C12</f>
        <v>429272896.98155671</v>
      </c>
      <c r="E29" s="632"/>
    </row>
    <row r="30" spans="1:5" s="4" customFormat="1">
      <c r="A30" s="92"/>
      <c r="B30" s="46"/>
      <c r="C30" s="175"/>
      <c r="E30" s="632"/>
    </row>
    <row r="31" spans="1:5" s="4" customFormat="1">
      <c r="A31" s="92">
        <v>25</v>
      </c>
      <c r="B31" s="51" t="s">
        <v>49</v>
      </c>
      <c r="C31" s="174">
        <f>C32+C35</f>
        <v>0</v>
      </c>
      <c r="E31" s="632"/>
    </row>
    <row r="32" spans="1:5" s="4" customFormat="1">
      <c r="A32" s="92">
        <v>26</v>
      </c>
      <c r="B32" s="41" t="s">
        <v>50</v>
      </c>
      <c r="C32" s="176">
        <f>C33+C34</f>
        <v>0</v>
      </c>
      <c r="E32" s="632"/>
    </row>
    <row r="33" spans="1:5" s="4" customFormat="1">
      <c r="A33" s="92">
        <v>27</v>
      </c>
      <c r="B33" s="124" t="s">
        <v>51</v>
      </c>
      <c r="C33" s="175"/>
      <c r="E33" s="632"/>
    </row>
    <row r="34" spans="1:5" s="4" customFormat="1">
      <c r="A34" s="92">
        <v>28</v>
      </c>
      <c r="B34" s="124" t="s">
        <v>52</v>
      </c>
      <c r="C34" s="175"/>
      <c r="E34" s="632"/>
    </row>
    <row r="35" spans="1:5" s="4" customFormat="1">
      <c r="A35" s="92">
        <v>29</v>
      </c>
      <c r="B35" s="41" t="s">
        <v>53</v>
      </c>
      <c r="C35" s="175"/>
      <c r="E35" s="632"/>
    </row>
    <row r="36" spans="1:5" s="4" customFormat="1">
      <c r="A36" s="92">
        <v>30</v>
      </c>
      <c r="B36" s="51" t="s">
        <v>54</v>
      </c>
      <c r="C36" s="174">
        <f>SUM(C37:C41)</f>
        <v>0</v>
      </c>
      <c r="E36" s="632"/>
    </row>
    <row r="37" spans="1:5" s="4" customFormat="1">
      <c r="A37" s="92">
        <v>31</v>
      </c>
      <c r="B37" s="42" t="s">
        <v>55</v>
      </c>
      <c r="C37" s="175"/>
      <c r="E37" s="632"/>
    </row>
    <row r="38" spans="1:5" s="4" customFormat="1">
      <c r="A38" s="92">
        <v>32</v>
      </c>
      <c r="B38" s="43" t="s">
        <v>56</v>
      </c>
      <c r="C38" s="175"/>
      <c r="E38" s="632"/>
    </row>
    <row r="39" spans="1:5" s="4" customFormat="1" ht="25.5">
      <c r="A39" s="92">
        <v>33</v>
      </c>
      <c r="B39" s="42" t="s">
        <v>57</v>
      </c>
      <c r="C39" s="175"/>
      <c r="E39" s="632"/>
    </row>
    <row r="40" spans="1:5" s="4" customFormat="1" ht="25.5">
      <c r="A40" s="92">
        <v>34</v>
      </c>
      <c r="B40" s="42" t="s">
        <v>45</v>
      </c>
      <c r="C40" s="175"/>
      <c r="E40" s="632"/>
    </row>
    <row r="41" spans="1:5" s="4" customFormat="1" ht="25.5">
      <c r="A41" s="92">
        <v>35</v>
      </c>
      <c r="B41" s="45" t="s">
        <v>58</v>
      </c>
      <c r="C41" s="175"/>
      <c r="E41" s="632"/>
    </row>
    <row r="42" spans="1:5" s="4" customFormat="1">
      <c r="A42" s="92">
        <v>36</v>
      </c>
      <c r="B42" s="51" t="s">
        <v>23</v>
      </c>
      <c r="C42" s="174">
        <f>C31-C36</f>
        <v>0</v>
      </c>
      <c r="E42" s="632"/>
    </row>
    <row r="43" spans="1:5" s="4" customFormat="1">
      <c r="A43" s="92"/>
      <c r="B43" s="46"/>
      <c r="C43" s="175"/>
      <c r="E43" s="632"/>
    </row>
    <row r="44" spans="1:5" s="4" customFormat="1">
      <c r="A44" s="92">
        <v>37</v>
      </c>
      <c r="B44" s="52" t="s">
        <v>59</v>
      </c>
      <c r="C44" s="174">
        <f>SUM(C45:C47)</f>
        <v>74924576</v>
      </c>
      <c r="E44" s="632"/>
    </row>
    <row r="45" spans="1:5" s="4" customFormat="1">
      <c r="A45" s="92">
        <v>38</v>
      </c>
      <c r="B45" s="41" t="s">
        <v>60</v>
      </c>
      <c r="C45" s="4">
        <v>74924576</v>
      </c>
      <c r="E45" s="632"/>
    </row>
    <row r="46" spans="1:5" s="4" customFormat="1">
      <c r="A46" s="92">
        <v>39</v>
      </c>
      <c r="B46" s="41" t="s">
        <v>61</v>
      </c>
      <c r="C46" s="175"/>
      <c r="E46" s="632"/>
    </row>
    <row r="47" spans="1:5" s="4" customFormat="1">
      <c r="A47" s="92">
        <v>40</v>
      </c>
      <c r="B47" s="719" t="s">
        <v>517</v>
      </c>
      <c r="C47" s="175"/>
      <c r="E47" s="632"/>
    </row>
    <row r="48" spans="1:5" s="4" customFormat="1">
      <c r="A48" s="92">
        <v>41</v>
      </c>
      <c r="B48" s="52" t="s">
        <v>62</v>
      </c>
      <c r="C48" s="174">
        <f>SUM(C49:C52)</f>
        <v>0</v>
      </c>
      <c r="E48" s="632"/>
    </row>
    <row r="49" spans="1:5" s="4" customFormat="1">
      <c r="A49" s="92">
        <v>42</v>
      </c>
      <c r="B49" s="42" t="s">
        <v>63</v>
      </c>
      <c r="C49" s="175"/>
      <c r="E49" s="632"/>
    </row>
    <row r="50" spans="1:5" s="4" customFormat="1">
      <c r="A50" s="92">
        <v>43</v>
      </c>
      <c r="B50" s="43" t="s">
        <v>64</v>
      </c>
      <c r="C50" s="175"/>
      <c r="E50" s="632"/>
    </row>
    <row r="51" spans="1:5" s="4" customFormat="1" ht="25.5">
      <c r="A51" s="92">
        <v>44</v>
      </c>
      <c r="B51" s="42" t="s">
        <v>65</v>
      </c>
      <c r="C51" s="175"/>
      <c r="E51" s="632"/>
    </row>
    <row r="52" spans="1:5" s="4" customFormat="1" ht="25.5">
      <c r="A52" s="92">
        <v>45</v>
      </c>
      <c r="B52" s="42" t="s">
        <v>45</v>
      </c>
      <c r="C52" s="175"/>
      <c r="E52" s="632"/>
    </row>
    <row r="53" spans="1:5" s="4" customFormat="1" ht="15.75" thickBot="1">
      <c r="A53" s="92">
        <v>46</v>
      </c>
      <c r="B53" s="93" t="s">
        <v>24</v>
      </c>
      <c r="C53" s="177">
        <f>C44-C48</f>
        <v>74924576</v>
      </c>
      <c r="E53" s="632"/>
    </row>
    <row r="56" spans="1:5">
      <c r="B56" s="2" t="s">
        <v>141</v>
      </c>
    </row>
  </sheetData>
  <dataValidations count="1">
    <dataValidation operator="lessThanOrEqual" allowBlank="1" showInputMessage="1" showErrorMessage="1" errorTitle="Should be negative number" error="Should be whole negative number or 0" sqref="C13:C44 C46:C53"/>
  </dataValidations>
  <pageMargins left="0.7" right="0.7" top="0.75" bottom="0.75" header="0.3" footer="0.3"/>
  <pageSetup orientation="portrait"/>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J25" sqref="J25"/>
    </sheetView>
  </sheetViews>
  <sheetFormatPr defaultColWidth="9.140625" defaultRowHeight="12.75"/>
  <cols>
    <col min="1" max="1" width="10.85546875" style="234" bestFit="1" customWidth="1"/>
    <col min="2" max="2" width="59" style="234" customWidth="1"/>
    <col min="3" max="3" width="16.7109375" style="234" bestFit="1" customWidth="1"/>
    <col min="4" max="4" width="22.140625" style="234" customWidth="1"/>
    <col min="5" max="5" width="9.140625" style="234"/>
    <col min="6" max="6" width="12" style="234" bestFit="1" customWidth="1"/>
    <col min="7" max="16384" width="9.140625" style="234"/>
  </cols>
  <sheetData>
    <row r="1" spans="1:4" ht="15">
      <c r="A1" s="16" t="s">
        <v>108</v>
      </c>
      <c r="B1" s="15" t="str">
        <f>Info!C2</f>
        <v>სს "ბაზისბანკი"</v>
      </c>
    </row>
    <row r="2" spans="1:4" s="20" customFormat="1" ht="15.75" customHeight="1">
      <c r="A2" s="20" t="s">
        <v>109</v>
      </c>
      <c r="B2" s="354">
        <f>'1. key ratios'!B2</f>
        <v>45016</v>
      </c>
    </row>
    <row r="3" spans="1:4" s="20" customFormat="1" ht="15.75" customHeight="1"/>
    <row r="4" spans="1:4" ht="13.5" thickBot="1">
      <c r="A4" s="235" t="s">
        <v>249</v>
      </c>
      <c r="B4" s="264" t="s">
        <v>250</v>
      </c>
    </row>
    <row r="5" spans="1:4" s="265" customFormat="1">
      <c r="A5" s="795" t="s">
        <v>251</v>
      </c>
      <c r="B5" s="796"/>
      <c r="C5" s="254" t="s">
        <v>252</v>
      </c>
      <c r="D5" s="255" t="s">
        <v>253</v>
      </c>
    </row>
    <row r="6" spans="1:4" s="266" customFormat="1">
      <c r="A6" s="256">
        <v>1</v>
      </c>
      <c r="B6" s="257" t="s">
        <v>254</v>
      </c>
      <c r="C6" s="257"/>
      <c r="D6" s="258"/>
    </row>
    <row r="7" spans="1:4" s="266" customFormat="1">
      <c r="A7" s="259" t="s">
        <v>255</v>
      </c>
      <c r="B7" s="260" t="s">
        <v>256</v>
      </c>
      <c r="C7" s="312">
        <v>4.4999999999999998E-2</v>
      </c>
      <c r="D7" s="636">
        <f>C7*'5. RWA'!$C$13</f>
        <v>119379272.86346084</v>
      </c>
    </row>
    <row r="8" spans="1:4" s="266" customFormat="1">
      <c r="A8" s="259" t="s">
        <v>257</v>
      </c>
      <c r="B8" s="260" t="s">
        <v>258</v>
      </c>
      <c r="C8" s="313">
        <v>0.06</v>
      </c>
      <c r="D8" s="636">
        <f>C8*'5. RWA'!$C$13</f>
        <v>159172363.8179478</v>
      </c>
    </row>
    <row r="9" spans="1:4" s="266" customFormat="1">
      <c r="A9" s="259" t="s">
        <v>259</v>
      </c>
      <c r="B9" s="260" t="s">
        <v>260</v>
      </c>
      <c r="C9" s="313">
        <v>0.08</v>
      </c>
      <c r="D9" s="636">
        <f>C9*'5. RWA'!$C$13</f>
        <v>212229818.42393041</v>
      </c>
    </row>
    <row r="10" spans="1:4" s="266" customFormat="1">
      <c r="A10" s="256" t="s">
        <v>261</v>
      </c>
      <c r="B10" s="257" t="s">
        <v>262</v>
      </c>
      <c r="C10" s="314"/>
      <c r="D10" s="637"/>
    </row>
    <row r="11" spans="1:4" s="267" customFormat="1">
      <c r="A11" s="261" t="s">
        <v>263</v>
      </c>
      <c r="B11" s="262" t="s">
        <v>325</v>
      </c>
      <c r="C11" s="315">
        <v>2.5000000000000001E-2</v>
      </c>
      <c r="D11" s="636">
        <f>C11*'5. RWA'!$C$13</f>
        <v>66321818.257478252</v>
      </c>
    </row>
    <row r="12" spans="1:4" s="267" customFormat="1">
      <c r="A12" s="261" t="s">
        <v>264</v>
      </c>
      <c r="B12" s="262" t="s">
        <v>265</v>
      </c>
      <c r="C12" s="315">
        <v>0</v>
      </c>
      <c r="D12" s="636">
        <f>C12*'5. RWA'!$C$13</f>
        <v>0</v>
      </c>
    </row>
    <row r="13" spans="1:4" s="267" customFormat="1">
      <c r="A13" s="261" t="s">
        <v>266</v>
      </c>
      <c r="B13" s="262" t="s">
        <v>267</v>
      </c>
      <c r="C13" s="315"/>
      <c r="D13" s="636">
        <f>C13*'5. RWA'!$C$13</f>
        <v>0</v>
      </c>
    </row>
    <row r="14" spans="1:4" s="266" customFormat="1">
      <c r="A14" s="256" t="s">
        <v>268</v>
      </c>
      <c r="B14" s="257" t="s">
        <v>323</v>
      </c>
      <c r="C14" s="316"/>
      <c r="D14" s="637"/>
    </row>
    <row r="15" spans="1:4" s="266" customFormat="1">
      <c r="A15" s="278" t="s">
        <v>271</v>
      </c>
      <c r="B15" s="262" t="s">
        <v>324</v>
      </c>
      <c r="C15" s="315">
        <v>4.5687111433438996E-2</v>
      </c>
      <c r="D15" s="636">
        <f>C15*'5. RWA'!$C$13</f>
        <v>121202092.0479079</v>
      </c>
    </row>
    <row r="16" spans="1:4" s="266" customFormat="1">
      <c r="A16" s="278" t="s">
        <v>272</v>
      </c>
      <c r="B16" s="262" t="s">
        <v>274</v>
      </c>
      <c r="C16" s="315">
        <v>5.3701334008168636E-2</v>
      </c>
      <c r="D16" s="636">
        <f>C16*'5. RWA'!$C$13</f>
        <v>142462804.57095584</v>
      </c>
    </row>
    <row r="17" spans="1:6" s="266" customFormat="1">
      <c r="A17" s="278" t="s">
        <v>273</v>
      </c>
      <c r="B17" s="262" t="s">
        <v>321</v>
      </c>
      <c r="C17" s="315">
        <v>6.4246363711760263E-2</v>
      </c>
      <c r="D17" s="636">
        <f>C17*'5. RWA'!$C$13</f>
        <v>170437426.31180841</v>
      </c>
    </row>
    <row r="18" spans="1:6" s="265" customFormat="1">
      <c r="A18" s="797" t="s">
        <v>322</v>
      </c>
      <c r="B18" s="798"/>
      <c r="C18" s="317" t="s">
        <v>252</v>
      </c>
      <c r="D18" s="638" t="s">
        <v>253</v>
      </c>
    </row>
    <row r="19" spans="1:6" s="266" customFormat="1">
      <c r="A19" s="263">
        <v>4</v>
      </c>
      <c r="B19" s="262" t="s">
        <v>22</v>
      </c>
      <c r="C19" s="315">
        <f>C7+C11+C12+C13+C15</f>
        <v>0.115687111433439</v>
      </c>
      <c r="D19" s="636">
        <f>C19*'5. RWA'!$C$13</f>
        <v>306903183.16884702</v>
      </c>
      <c r="F19" s="722"/>
    </row>
    <row r="20" spans="1:6" s="266" customFormat="1">
      <c r="A20" s="263">
        <v>5</v>
      </c>
      <c r="B20" s="262" t="s">
        <v>86</v>
      </c>
      <c r="C20" s="315">
        <f>C8+C11+C12+C13+C16</f>
        <v>0.13870133400816864</v>
      </c>
      <c r="D20" s="636">
        <f>C20*'5. RWA'!$C$13</f>
        <v>367956986.64638191</v>
      </c>
      <c r="F20" s="722"/>
    </row>
    <row r="21" spans="1:6" s="266" customFormat="1" ht="13.5" thickBot="1">
      <c r="A21" s="268" t="s">
        <v>269</v>
      </c>
      <c r="B21" s="269" t="s">
        <v>85</v>
      </c>
      <c r="C21" s="318">
        <f>C9+C11+C12+C13+C17</f>
        <v>0.16924636371176027</v>
      </c>
      <c r="D21" s="639">
        <f>C21*'5. RWA'!$C$13</f>
        <v>448989062.99321705</v>
      </c>
      <c r="F21" s="722"/>
    </row>
    <row r="22" spans="1:6">
      <c r="F22" s="235"/>
    </row>
    <row r="23" spans="1:6" ht="63.75">
      <c r="B23" s="22" t="s">
        <v>326</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90" zoomScaleNormal="90" workbookViewId="0">
      <pane xSplit="1" ySplit="5" topLeftCell="B58" activePane="bottomRight" state="frozen"/>
      <selection pane="topRight" activeCell="B1" sqref="B1"/>
      <selection pane="bottomLeft" activeCell="A5" sqref="A5"/>
      <selection pane="bottomRight" activeCell="F58" sqref="F58"/>
    </sheetView>
  </sheetViews>
  <sheetFormatPr defaultRowHeight="15.75"/>
  <cols>
    <col min="1" max="1" width="10.7109375" style="38" customWidth="1"/>
    <col min="2" max="2" width="91.85546875" style="38" customWidth="1"/>
    <col min="3" max="3" width="33.28515625" style="657" customWidth="1"/>
    <col min="4" max="4" width="32.28515625" style="38" customWidth="1"/>
    <col min="5" max="5" width="9.42578125" customWidth="1"/>
  </cols>
  <sheetData>
    <row r="1" spans="1:8">
      <c r="A1" s="16" t="s">
        <v>108</v>
      </c>
      <c r="B1" s="18" t="str">
        <f>Info!C2</f>
        <v>სს "ბაზისბანკი"</v>
      </c>
      <c r="E1" s="2"/>
      <c r="F1" s="2"/>
    </row>
    <row r="2" spans="1:8" s="20" customFormat="1" ht="15.75" customHeight="1">
      <c r="A2" s="20" t="s">
        <v>109</v>
      </c>
      <c r="B2" s="354">
        <f>'1. key ratios'!B2</f>
        <v>45016</v>
      </c>
      <c r="C2" s="658"/>
    </row>
    <row r="3" spans="1:8" s="20" customFormat="1" ht="15.75" customHeight="1">
      <c r="A3" s="25"/>
      <c r="C3" s="658"/>
    </row>
    <row r="4" spans="1:8" s="20" customFormat="1" ht="15.75" customHeight="1" thickBot="1">
      <c r="A4" s="20" t="s">
        <v>195</v>
      </c>
      <c r="B4" s="148" t="s">
        <v>172</v>
      </c>
      <c r="C4" s="658"/>
      <c r="D4" s="150" t="s">
        <v>87</v>
      </c>
    </row>
    <row r="5" spans="1:8" ht="59.25" customHeight="1">
      <c r="A5" s="99" t="s">
        <v>25</v>
      </c>
      <c r="B5" s="100" t="s">
        <v>144</v>
      </c>
      <c r="C5" s="659" t="s">
        <v>635</v>
      </c>
      <c r="D5" s="149" t="s">
        <v>173</v>
      </c>
    </row>
    <row r="6" spans="1:8">
      <c r="A6" s="455">
        <v>1</v>
      </c>
      <c r="B6" s="412" t="s">
        <v>633</v>
      </c>
      <c r="C6" s="660">
        <f>SUM(C7:C9)</f>
        <v>464486877.10869801</v>
      </c>
      <c r="D6" s="94"/>
      <c r="E6" s="7"/>
      <c r="H6" s="594"/>
    </row>
    <row r="7" spans="1:8">
      <c r="A7" s="455">
        <v>1.1000000000000001</v>
      </c>
      <c r="B7" s="413" t="s">
        <v>96</v>
      </c>
      <c r="C7" s="661">
        <v>71199500</v>
      </c>
      <c r="D7" s="95"/>
      <c r="E7" s="7"/>
      <c r="H7" s="594"/>
    </row>
    <row r="8" spans="1:8">
      <c r="A8" s="455">
        <v>1.2</v>
      </c>
      <c r="B8" s="413" t="s">
        <v>97</v>
      </c>
      <c r="C8" s="661">
        <v>256929317.18609801</v>
      </c>
      <c r="D8" s="95"/>
      <c r="E8" s="7"/>
      <c r="H8" s="594"/>
    </row>
    <row r="9" spans="1:8">
      <c r="A9" s="455">
        <v>1.3</v>
      </c>
      <c r="B9" s="413" t="s">
        <v>98</v>
      </c>
      <c r="C9" s="661">
        <v>136358059.9226</v>
      </c>
      <c r="D9" s="95"/>
      <c r="E9" s="7"/>
      <c r="H9" s="594"/>
    </row>
    <row r="10" spans="1:8">
      <c r="A10" s="455">
        <v>2</v>
      </c>
      <c r="B10" s="414" t="s">
        <v>522</v>
      </c>
      <c r="C10" s="662">
        <v>0</v>
      </c>
      <c r="D10" s="95"/>
      <c r="E10" s="7"/>
      <c r="H10" s="594"/>
    </row>
    <row r="11" spans="1:8">
      <c r="A11" s="455">
        <v>2.1</v>
      </c>
      <c r="B11" s="415" t="s">
        <v>523</v>
      </c>
      <c r="C11" s="663">
        <v>0</v>
      </c>
      <c r="D11" s="96"/>
      <c r="E11" s="8"/>
      <c r="H11" s="594"/>
    </row>
    <row r="12" spans="1:8" ht="23.45" customHeight="1">
      <c r="A12" s="455">
        <v>3</v>
      </c>
      <c r="B12" s="416" t="s">
        <v>524</v>
      </c>
      <c r="C12" s="664">
        <v>0</v>
      </c>
      <c r="D12" s="96"/>
      <c r="E12" s="8"/>
      <c r="H12" s="594"/>
    </row>
    <row r="13" spans="1:8" ht="23.1" customHeight="1">
      <c r="A13" s="455">
        <v>4</v>
      </c>
      <c r="B13" s="417" t="s">
        <v>525</v>
      </c>
      <c r="C13" s="664">
        <v>0</v>
      </c>
      <c r="D13" s="96"/>
      <c r="E13" s="8"/>
      <c r="H13" s="594"/>
    </row>
    <row r="14" spans="1:8">
      <c r="A14" s="455">
        <v>5</v>
      </c>
      <c r="B14" s="417" t="s">
        <v>526</v>
      </c>
      <c r="C14" s="664">
        <f>SUM(C15:C17)</f>
        <v>221030052</v>
      </c>
      <c r="D14" s="96"/>
      <c r="E14" s="8"/>
      <c r="H14" s="594"/>
    </row>
    <row r="15" spans="1:8">
      <c r="A15" s="455">
        <v>5.0999999999999996</v>
      </c>
      <c r="B15" s="418" t="s">
        <v>527</v>
      </c>
      <c r="C15" s="665">
        <v>0</v>
      </c>
      <c r="D15" s="96"/>
      <c r="E15" s="7"/>
      <c r="H15" s="594"/>
    </row>
    <row r="16" spans="1:8">
      <c r="A16" s="455">
        <v>5.2</v>
      </c>
      <c r="B16" s="418" t="s">
        <v>454</v>
      </c>
      <c r="C16" s="661">
        <v>221030052</v>
      </c>
      <c r="D16" s="95"/>
      <c r="E16" s="7"/>
      <c r="H16" s="594"/>
    </row>
    <row r="17" spans="1:8">
      <c r="A17" s="455">
        <v>5.3</v>
      </c>
      <c r="B17" s="418" t="s">
        <v>528</v>
      </c>
      <c r="C17" s="661">
        <v>0</v>
      </c>
      <c r="D17" s="95"/>
      <c r="E17" s="7"/>
      <c r="H17" s="594"/>
    </row>
    <row r="18" spans="1:8">
      <c r="A18" s="455">
        <v>6</v>
      </c>
      <c r="B18" s="416" t="s">
        <v>529</v>
      </c>
      <c r="C18" s="662">
        <f>SUM(C19:C20)</f>
        <v>2247771083.8632622</v>
      </c>
      <c r="D18" s="95"/>
      <c r="E18" s="7"/>
      <c r="H18" s="594"/>
    </row>
    <row r="19" spans="1:8">
      <c r="A19" s="455">
        <v>6.1</v>
      </c>
      <c r="B19" s="418" t="s">
        <v>454</v>
      </c>
      <c r="C19" s="663">
        <v>205031670</v>
      </c>
      <c r="D19" s="95"/>
      <c r="E19" s="7"/>
      <c r="H19" s="594"/>
    </row>
    <row r="20" spans="1:8">
      <c r="A20" s="455">
        <v>6.2</v>
      </c>
      <c r="B20" s="418" t="s">
        <v>528</v>
      </c>
      <c r="C20" s="663">
        <v>2042739413.8632622</v>
      </c>
      <c r="D20" s="95"/>
      <c r="E20" s="7"/>
      <c r="H20" s="594"/>
    </row>
    <row r="21" spans="1:8">
      <c r="A21" s="455">
        <v>7</v>
      </c>
      <c r="B21" s="419" t="s">
        <v>530</v>
      </c>
      <c r="C21" s="664">
        <v>20796650</v>
      </c>
      <c r="D21" s="571" t="s">
        <v>727</v>
      </c>
      <c r="E21" s="7"/>
      <c r="H21" s="594"/>
    </row>
    <row r="22" spans="1:8">
      <c r="A22" s="455">
        <v>8</v>
      </c>
      <c r="B22" s="420" t="s">
        <v>531</v>
      </c>
      <c r="C22" s="662">
        <v>490281.31999999989</v>
      </c>
      <c r="D22" s="95"/>
      <c r="E22" s="7"/>
      <c r="H22" s="594"/>
    </row>
    <row r="23" spans="1:8">
      <c r="A23" s="455">
        <v>9</v>
      </c>
      <c r="B23" s="417" t="s">
        <v>532</v>
      </c>
      <c r="C23" s="662">
        <f>SUM(C24:C25)</f>
        <v>116500084.80298384</v>
      </c>
      <c r="D23" s="483"/>
      <c r="E23" s="7"/>
      <c r="H23" s="594"/>
    </row>
    <row r="24" spans="1:8">
      <c r="A24" s="455">
        <v>9.1</v>
      </c>
      <c r="B24" s="421" t="s">
        <v>533</v>
      </c>
      <c r="C24" s="666">
        <v>116500084.80298384</v>
      </c>
      <c r="D24" s="97"/>
      <c r="E24" s="7"/>
      <c r="H24" s="594"/>
    </row>
    <row r="25" spans="1:8">
      <c r="A25" s="455">
        <v>9.1999999999999993</v>
      </c>
      <c r="B25" s="421" t="s">
        <v>534</v>
      </c>
      <c r="C25" s="667">
        <v>0</v>
      </c>
      <c r="D25" s="482"/>
      <c r="E25" s="6"/>
      <c r="H25" s="594"/>
    </row>
    <row r="26" spans="1:8">
      <c r="A26" s="455">
        <v>10</v>
      </c>
      <c r="B26" s="417" t="s">
        <v>36</v>
      </c>
      <c r="C26" s="668">
        <f>SUM(C27:C28)</f>
        <v>9391401</v>
      </c>
      <c r="D26" s="571" t="s">
        <v>684</v>
      </c>
      <c r="E26" s="7"/>
      <c r="H26" s="594"/>
    </row>
    <row r="27" spans="1:8">
      <c r="A27" s="455">
        <v>10.1</v>
      </c>
      <c r="B27" s="421" t="s">
        <v>535</v>
      </c>
      <c r="C27" s="661">
        <v>0</v>
      </c>
      <c r="D27" s="95"/>
      <c r="E27" s="7"/>
      <c r="H27" s="594"/>
    </row>
    <row r="28" spans="1:8">
      <c r="A28" s="455">
        <v>10.199999999999999</v>
      </c>
      <c r="B28" s="421" t="s">
        <v>536</v>
      </c>
      <c r="C28" s="661">
        <v>9391401</v>
      </c>
      <c r="D28" s="95"/>
      <c r="E28" s="7"/>
      <c r="H28" s="594"/>
    </row>
    <row r="29" spans="1:8">
      <c r="A29" s="455">
        <v>11</v>
      </c>
      <c r="B29" s="417" t="s">
        <v>537</v>
      </c>
      <c r="C29" s="662">
        <f>SUM(C30:C31)</f>
        <v>49336</v>
      </c>
      <c r="D29" s="95"/>
      <c r="E29" s="7"/>
      <c r="H29" s="594"/>
    </row>
    <row r="30" spans="1:8">
      <c r="A30" s="455">
        <v>11.1</v>
      </c>
      <c r="B30" s="421" t="s">
        <v>538</v>
      </c>
      <c r="C30" s="661">
        <v>49336</v>
      </c>
      <c r="D30" s="95"/>
      <c r="E30" s="7"/>
      <c r="H30" s="594"/>
    </row>
    <row r="31" spans="1:8">
      <c r="A31" s="455">
        <v>11.2</v>
      </c>
      <c r="B31" s="421" t="s">
        <v>539</v>
      </c>
      <c r="C31" s="661">
        <v>0</v>
      </c>
      <c r="D31" s="95"/>
      <c r="E31" s="7"/>
      <c r="H31" s="594"/>
    </row>
    <row r="32" spans="1:8">
      <c r="A32" s="455">
        <v>13</v>
      </c>
      <c r="B32" s="417" t="s">
        <v>99</v>
      </c>
      <c r="C32" s="662">
        <v>28741517.398382999</v>
      </c>
      <c r="D32" s="95"/>
      <c r="E32" s="7"/>
      <c r="H32" s="594"/>
    </row>
    <row r="33" spans="1:8">
      <c r="A33" s="455">
        <v>13.1</v>
      </c>
      <c r="B33" s="422" t="s">
        <v>540</v>
      </c>
      <c r="C33" s="661">
        <v>23492653.640000001</v>
      </c>
      <c r="D33" s="95"/>
      <c r="E33" s="7"/>
      <c r="H33" s="594"/>
    </row>
    <row r="34" spans="1:8">
      <c r="A34" s="455">
        <v>13.2</v>
      </c>
      <c r="B34" s="422" t="s">
        <v>541</v>
      </c>
      <c r="C34" s="666">
        <v>0</v>
      </c>
      <c r="D34" s="97"/>
      <c r="E34" s="7"/>
      <c r="H34" s="594"/>
    </row>
    <row r="35" spans="1:8">
      <c r="A35" s="455">
        <v>14</v>
      </c>
      <c r="B35" s="423" t="s">
        <v>542</v>
      </c>
      <c r="C35" s="669">
        <f>SUM(C6,C10,C12,C13,C14,C18,C21,C22,C23,C26,C29,C32)</f>
        <v>3109257283.4933271</v>
      </c>
      <c r="D35" s="97"/>
      <c r="E35" s="7"/>
      <c r="F35" s="647"/>
      <c r="H35" s="594"/>
    </row>
    <row r="36" spans="1:8">
      <c r="A36" s="455"/>
      <c r="B36" s="424" t="s">
        <v>104</v>
      </c>
      <c r="C36" s="670"/>
      <c r="D36" s="98"/>
      <c r="E36" s="7"/>
      <c r="H36" s="594"/>
    </row>
    <row r="37" spans="1:8">
      <c r="A37" s="455">
        <v>15</v>
      </c>
      <c r="B37" s="425" t="s">
        <v>543</v>
      </c>
      <c r="C37" s="667">
        <v>0</v>
      </c>
      <c r="D37" s="651"/>
      <c r="E37" s="6"/>
      <c r="H37" s="594"/>
    </row>
    <row r="38" spans="1:8">
      <c r="A38" s="455">
        <v>15.1</v>
      </c>
      <c r="B38" s="426" t="s">
        <v>523</v>
      </c>
      <c r="C38" s="661">
        <v>0</v>
      </c>
      <c r="D38" s="652"/>
      <c r="E38" s="7"/>
      <c r="H38" s="594"/>
    </row>
    <row r="39" spans="1:8" ht="21">
      <c r="A39" s="455">
        <v>16</v>
      </c>
      <c r="B39" s="419" t="s">
        <v>544</v>
      </c>
      <c r="C39" s="662">
        <v>0</v>
      </c>
      <c r="D39" s="652"/>
      <c r="E39" s="7"/>
      <c r="H39" s="594"/>
    </row>
    <row r="40" spans="1:8">
      <c r="A40" s="455">
        <v>17</v>
      </c>
      <c r="B40" s="419" t="s">
        <v>545</v>
      </c>
      <c r="C40" s="662">
        <v>2567700385.9944715</v>
      </c>
      <c r="D40" s="652"/>
      <c r="E40" s="7"/>
      <c r="H40" s="594"/>
    </row>
    <row r="41" spans="1:8">
      <c r="A41" s="455">
        <v>17.100000000000001</v>
      </c>
      <c r="B41" s="427" t="s">
        <v>546</v>
      </c>
      <c r="C41" s="661">
        <v>2179852428</v>
      </c>
      <c r="D41" s="652"/>
      <c r="E41" s="7"/>
      <c r="H41" s="594"/>
    </row>
    <row r="42" spans="1:8">
      <c r="A42" s="473">
        <v>17.2</v>
      </c>
      <c r="B42" s="474" t="s">
        <v>100</v>
      </c>
      <c r="C42" s="666">
        <v>336194286.03999996</v>
      </c>
      <c r="D42" s="653"/>
      <c r="E42" s="7"/>
      <c r="H42" s="594"/>
    </row>
    <row r="43" spans="1:8">
      <c r="A43" s="455">
        <v>17.3</v>
      </c>
      <c r="B43" s="475" t="s">
        <v>547</v>
      </c>
      <c r="C43" s="671">
        <v>25902713</v>
      </c>
      <c r="D43" s="571" t="s">
        <v>728</v>
      </c>
      <c r="E43" s="7"/>
      <c r="H43" s="594"/>
    </row>
    <row r="44" spans="1:8">
      <c r="A44" s="455">
        <v>17.399999999999999</v>
      </c>
      <c r="B44" s="475" t="s">
        <v>548</v>
      </c>
      <c r="C44" s="671">
        <v>25750958.954471469</v>
      </c>
      <c r="D44" s="654"/>
      <c r="E44" s="7"/>
      <c r="H44" s="594"/>
    </row>
    <row r="45" spans="1:8">
      <c r="A45" s="455">
        <v>18</v>
      </c>
      <c r="B45" s="476" t="s">
        <v>549</v>
      </c>
      <c r="C45" s="672">
        <v>1626200.22</v>
      </c>
      <c r="D45" s="655"/>
      <c r="E45" s="6"/>
      <c r="H45" s="594"/>
    </row>
    <row r="46" spans="1:8">
      <c r="A46" s="455">
        <v>19</v>
      </c>
      <c r="B46" s="476" t="s">
        <v>550</v>
      </c>
      <c r="C46" s="673">
        <v>13305546.144164845</v>
      </c>
      <c r="D46" s="656"/>
      <c r="H46" s="594"/>
    </row>
    <row r="47" spans="1:8">
      <c r="A47" s="455">
        <v>19.100000000000001</v>
      </c>
      <c r="B47" s="478" t="s">
        <v>551</v>
      </c>
      <c r="C47" s="671">
        <v>10209701.983920956</v>
      </c>
      <c r="D47" s="656"/>
      <c r="H47" s="594"/>
    </row>
    <row r="48" spans="1:8">
      <c r="A48" s="455">
        <v>19.2</v>
      </c>
      <c r="B48" s="478" t="s">
        <v>552</v>
      </c>
      <c r="C48" s="671">
        <v>3095844.1602438893</v>
      </c>
      <c r="D48" s="656"/>
      <c r="H48" s="594"/>
    </row>
    <row r="49" spans="1:8">
      <c r="A49" s="455">
        <v>20</v>
      </c>
      <c r="B49" s="432" t="s">
        <v>101</v>
      </c>
      <c r="C49" s="673">
        <v>55897836.859999999</v>
      </c>
      <c r="D49" s="571" t="s">
        <v>728</v>
      </c>
      <c r="H49" s="594"/>
    </row>
    <row r="50" spans="1:8">
      <c r="A50" s="455">
        <v>21</v>
      </c>
      <c r="B50" s="433" t="s">
        <v>89</v>
      </c>
      <c r="C50" s="673">
        <v>13125056.907018399</v>
      </c>
      <c r="D50" s="656"/>
      <c r="H50" s="594"/>
    </row>
    <row r="51" spans="1:8">
      <c r="A51" s="455">
        <v>21.1</v>
      </c>
      <c r="B51" s="428" t="s">
        <v>553</v>
      </c>
      <c r="C51" s="671">
        <v>0</v>
      </c>
      <c r="D51" s="656"/>
      <c r="H51" s="594"/>
    </row>
    <row r="52" spans="1:8">
      <c r="A52" s="455">
        <v>22</v>
      </c>
      <c r="B52" s="432" t="s">
        <v>554</v>
      </c>
      <c r="C52" s="673">
        <v>2651655026.1256547</v>
      </c>
      <c r="D52" s="477"/>
      <c r="E52" s="594"/>
      <c r="F52" s="647"/>
      <c r="H52" s="594"/>
    </row>
    <row r="53" spans="1:8">
      <c r="A53" s="455"/>
      <c r="B53" s="434" t="s">
        <v>555</v>
      </c>
      <c r="C53" s="671"/>
      <c r="D53" s="477"/>
      <c r="H53" s="594"/>
    </row>
    <row r="54" spans="1:8">
      <c r="A54" s="455">
        <v>23</v>
      </c>
      <c r="B54" s="432" t="s">
        <v>105</v>
      </c>
      <c r="C54" s="673">
        <v>17091531</v>
      </c>
      <c r="D54" s="571" t="s">
        <v>729</v>
      </c>
      <c r="H54" s="594"/>
    </row>
    <row r="55" spans="1:8">
      <c r="A55" s="455">
        <v>24</v>
      </c>
      <c r="B55" s="432" t="s">
        <v>556</v>
      </c>
      <c r="C55" s="673">
        <v>0</v>
      </c>
      <c r="D55" s="477"/>
      <c r="H55" s="594"/>
    </row>
    <row r="56" spans="1:8">
      <c r="A56" s="455">
        <v>25</v>
      </c>
      <c r="B56" s="435" t="s">
        <v>102</v>
      </c>
      <c r="C56" s="673">
        <v>101066232.035</v>
      </c>
      <c r="D56" s="571" t="s">
        <v>730</v>
      </c>
      <c r="H56" s="594"/>
    </row>
    <row r="57" spans="1:8">
      <c r="A57" s="455">
        <v>26</v>
      </c>
      <c r="B57" s="476" t="s">
        <v>557</v>
      </c>
      <c r="C57" s="673">
        <v>0</v>
      </c>
      <c r="D57" s="477"/>
      <c r="H57" s="594"/>
    </row>
    <row r="58" spans="1:8">
      <c r="A58" s="455">
        <v>27</v>
      </c>
      <c r="B58" s="476" t="s">
        <v>558</v>
      </c>
      <c r="C58" s="673">
        <v>0</v>
      </c>
      <c r="D58" s="477"/>
      <c r="H58" s="594"/>
    </row>
    <row r="59" spans="1:8">
      <c r="A59" s="455">
        <v>27.1</v>
      </c>
      <c r="B59" s="479" t="s">
        <v>559</v>
      </c>
      <c r="C59" s="671">
        <v>0</v>
      </c>
      <c r="D59" s="477"/>
      <c r="H59" s="594"/>
    </row>
    <row r="60" spans="1:8">
      <c r="A60" s="455">
        <v>27.2</v>
      </c>
      <c r="B60" s="475" t="s">
        <v>560</v>
      </c>
      <c r="C60" s="671">
        <v>0</v>
      </c>
      <c r="D60" s="477"/>
      <c r="H60" s="594"/>
    </row>
    <row r="61" spans="1:8">
      <c r="A61" s="455">
        <v>28</v>
      </c>
      <c r="B61" s="433" t="s">
        <v>561</v>
      </c>
      <c r="C61" s="673">
        <v>2606149.3548835898</v>
      </c>
      <c r="D61" s="571" t="s">
        <v>731</v>
      </c>
      <c r="H61" s="594"/>
    </row>
    <row r="62" spans="1:8">
      <c r="A62" s="455">
        <v>29</v>
      </c>
      <c r="B62" s="476" t="s">
        <v>562</v>
      </c>
      <c r="C62" s="673">
        <v>15141309.386399999</v>
      </c>
      <c r="D62" s="571" t="s">
        <v>732</v>
      </c>
      <c r="H62" s="594"/>
    </row>
    <row r="63" spans="1:8">
      <c r="A63" s="455">
        <v>29.1</v>
      </c>
      <c r="B63" s="480" t="s">
        <v>563</v>
      </c>
      <c r="C63" s="671">
        <v>10870260.656400001</v>
      </c>
      <c r="D63" s="477"/>
      <c r="H63" s="594"/>
    </row>
    <row r="64" spans="1:8" ht="24" customHeight="1">
      <c r="A64" s="455">
        <v>29.2</v>
      </c>
      <c r="B64" s="479" t="s">
        <v>564</v>
      </c>
      <c r="C64" s="671">
        <v>0</v>
      </c>
      <c r="D64" s="477"/>
      <c r="H64" s="594"/>
    </row>
    <row r="65" spans="1:8" ht="21.95" customHeight="1">
      <c r="A65" s="455">
        <v>29.3</v>
      </c>
      <c r="B65" s="481" t="s">
        <v>565</v>
      </c>
      <c r="C65" s="671">
        <v>4271048.7299999995</v>
      </c>
      <c r="D65" s="477"/>
      <c r="H65" s="594"/>
    </row>
    <row r="66" spans="1:8">
      <c r="A66" s="455">
        <v>30</v>
      </c>
      <c r="B66" s="438" t="s">
        <v>103</v>
      </c>
      <c r="C66" s="673">
        <v>321697035.59167314</v>
      </c>
      <c r="D66" s="571" t="s">
        <v>733</v>
      </c>
      <c r="H66" s="594"/>
    </row>
    <row r="67" spans="1:8">
      <c r="A67" s="455">
        <v>31</v>
      </c>
      <c r="B67" s="437" t="s">
        <v>566</v>
      </c>
      <c r="C67" s="673">
        <f>SUM(C54,C55,C56,C57,C58,C61,C62,C66)</f>
        <v>457602257.36795676</v>
      </c>
      <c r="D67" s="477"/>
      <c r="E67" s="594"/>
      <c r="F67" s="594"/>
      <c r="H67" s="594"/>
    </row>
    <row r="68" spans="1:8">
      <c r="A68" s="455">
        <v>32</v>
      </c>
      <c r="B68" s="438" t="s">
        <v>567</v>
      </c>
      <c r="C68" s="673">
        <f>SUM(C52,C67)</f>
        <v>3109257283.4936113</v>
      </c>
      <c r="D68" s="477"/>
      <c r="H68" s="59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pane xSplit="2" ySplit="7" topLeftCell="J8" activePane="bottomRight" state="frozen"/>
      <selection pane="topRight" activeCell="C1" sqref="C1"/>
      <selection pane="bottomLeft" activeCell="A8" sqref="A8"/>
      <selection pane="bottomRight" activeCell="N19" sqref="N19"/>
    </sheetView>
  </sheetViews>
  <sheetFormatPr defaultColWidth="9.140625" defaultRowHeight="12.75"/>
  <cols>
    <col min="1" max="1" width="10.42578125" style="2" bestFit="1" customWidth="1"/>
    <col min="2" max="2" width="97" style="2" bestFit="1" customWidth="1"/>
    <col min="3" max="3" width="11.28515625" style="2" bestFit="1" customWidth="1"/>
    <col min="4" max="4" width="13.140625" style="2" bestFit="1" customWidth="1"/>
    <col min="5" max="5" width="11.28515625" style="2" bestFit="1" customWidth="1"/>
    <col min="6" max="6" width="13.140625" style="2" bestFit="1" customWidth="1"/>
    <col min="7" max="7" width="11.28515625" style="2" bestFit="1" customWidth="1"/>
    <col min="8" max="8" width="13.140625" style="2" bestFit="1" customWidth="1"/>
    <col min="9" max="9" width="10.28515625" style="2" bestFit="1" customWidth="1"/>
    <col min="10" max="10" width="13.140625" style="2" bestFit="1" customWidth="1"/>
    <col min="11" max="11" width="11.28515625" style="2" bestFit="1" customWidth="1"/>
    <col min="12" max="12" width="13.140625" style="2" bestFit="1" customWidth="1"/>
    <col min="13" max="13" width="12.7109375" style="2" bestFit="1" customWidth="1"/>
    <col min="14" max="14" width="13.140625" style="2" bestFit="1" customWidth="1"/>
    <col min="15" max="15" width="9.42578125" style="2" bestFit="1" customWidth="1"/>
    <col min="16" max="16" width="13.140625" style="2" bestFit="1" customWidth="1"/>
    <col min="17" max="17" width="10.28515625" style="2" bestFit="1" customWidth="1"/>
    <col min="18" max="18" width="13.140625" style="2" bestFit="1" customWidth="1"/>
    <col min="19" max="19" width="33" style="2" bestFit="1" customWidth="1"/>
    <col min="20" max="16384" width="9.140625" style="12"/>
  </cols>
  <sheetData>
    <row r="1" spans="1:21">
      <c r="A1" s="2" t="s">
        <v>108</v>
      </c>
      <c r="B1" s="234" t="str">
        <f>Info!C2</f>
        <v>სს "ბაზისბანკი"</v>
      </c>
    </row>
    <row r="2" spans="1:21">
      <c r="A2" s="2" t="s">
        <v>109</v>
      </c>
      <c r="B2" s="354">
        <f>'1. key ratios'!B2</f>
        <v>45016</v>
      </c>
    </row>
    <row r="4" spans="1:21" ht="26.25" thickBot="1">
      <c r="A4" s="37" t="s">
        <v>196</v>
      </c>
      <c r="B4" s="205" t="s">
        <v>215</v>
      </c>
    </row>
    <row r="5" spans="1:21">
      <c r="A5" s="84"/>
      <c r="B5" s="86"/>
      <c r="C5" s="78" t="s">
        <v>0</v>
      </c>
      <c r="D5" s="78" t="s">
        <v>1</v>
      </c>
      <c r="E5" s="78" t="s">
        <v>2</v>
      </c>
      <c r="F5" s="78" t="s">
        <v>3</v>
      </c>
      <c r="G5" s="78" t="s">
        <v>4</v>
      </c>
      <c r="H5" s="78" t="s">
        <v>5</v>
      </c>
      <c r="I5" s="78" t="s">
        <v>145</v>
      </c>
      <c r="J5" s="78" t="s">
        <v>146</v>
      </c>
      <c r="K5" s="78" t="s">
        <v>147</v>
      </c>
      <c r="L5" s="78" t="s">
        <v>148</v>
      </c>
      <c r="M5" s="78" t="s">
        <v>149</v>
      </c>
      <c r="N5" s="78" t="s">
        <v>150</v>
      </c>
      <c r="O5" s="78" t="s">
        <v>202</v>
      </c>
      <c r="P5" s="78" t="s">
        <v>203</v>
      </c>
      <c r="Q5" s="78" t="s">
        <v>204</v>
      </c>
      <c r="R5" s="196" t="s">
        <v>205</v>
      </c>
      <c r="S5" s="79" t="s">
        <v>206</v>
      </c>
    </row>
    <row r="6" spans="1:21" ht="46.5" customHeight="1">
      <c r="A6" s="102"/>
      <c r="B6" s="803" t="s">
        <v>207</v>
      </c>
      <c r="C6" s="801">
        <v>0</v>
      </c>
      <c r="D6" s="802"/>
      <c r="E6" s="801">
        <v>0.2</v>
      </c>
      <c r="F6" s="802"/>
      <c r="G6" s="801">
        <v>0.35</v>
      </c>
      <c r="H6" s="802"/>
      <c r="I6" s="801">
        <v>0.5</v>
      </c>
      <c r="J6" s="802"/>
      <c r="K6" s="801">
        <v>0.75</v>
      </c>
      <c r="L6" s="802"/>
      <c r="M6" s="801">
        <v>1</v>
      </c>
      <c r="N6" s="802"/>
      <c r="O6" s="801">
        <v>1.5</v>
      </c>
      <c r="P6" s="802"/>
      <c r="Q6" s="801">
        <v>2.5</v>
      </c>
      <c r="R6" s="802"/>
      <c r="S6" s="799" t="s">
        <v>156</v>
      </c>
    </row>
    <row r="7" spans="1:21">
      <c r="A7" s="102"/>
      <c r="B7" s="804"/>
      <c r="C7" s="204" t="s">
        <v>200</v>
      </c>
      <c r="D7" s="204" t="s">
        <v>201</v>
      </c>
      <c r="E7" s="204" t="s">
        <v>200</v>
      </c>
      <c r="F7" s="204" t="s">
        <v>201</v>
      </c>
      <c r="G7" s="204" t="s">
        <v>200</v>
      </c>
      <c r="H7" s="204" t="s">
        <v>201</v>
      </c>
      <c r="I7" s="204" t="s">
        <v>200</v>
      </c>
      <c r="J7" s="204" t="s">
        <v>201</v>
      </c>
      <c r="K7" s="204" t="s">
        <v>200</v>
      </c>
      <c r="L7" s="204" t="s">
        <v>201</v>
      </c>
      <c r="M7" s="204" t="s">
        <v>200</v>
      </c>
      <c r="N7" s="204" t="s">
        <v>201</v>
      </c>
      <c r="O7" s="204" t="s">
        <v>200</v>
      </c>
      <c r="P7" s="204" t="s">
        <v>201</v>
      </c>
      <c r="Q7" s="204" t="s">
        <v>200</v>
      </c>
      <c r="R7" s="204" t="s">
        <v>201</v>
      </c>
      <c r="S7" s="800"/>
    </row>
    <row r="8" spans="1:21" s="105" customFormat="1">
      <c r="A8" s="82">
        <v>1</v>
      </c>
      <c r="B8" s="123" t="s">
        <v>134</v>
      </c>
      <c r="C8" s="178">
        <v>414512179.13449997</v>
      </c>
      <c r="D8" s="178">
        <v>0</v>
      </c>
      <c r="E8" s="178">
        <v>0</v>
      </c>
      <c r="F8" s="197">
        <v>0</v>
      </c>
      <c r="G8" s="178">
        <v>0</v>
      </c>
      <c r="H8" s="178">
        <v>0</v>
      </c>
      <c r="I8" s="178">
        <v>0</v>
      </c>
      <c r="J8" s="178">
        <v>0</v>
      </c>
      <c r="K8" s="178">
        <v>0</v>
      </c>
      <c r="L8" s="178">
        <v>0</v>
      </c>
      <c r="M8" s="178">
        <v>211462598.84020001</v>
      </c>
      <c r="N8" s="178">
        <v>0</v>
      </c>
      <c r="O8" s="178">
        <v>0</v>
      </c>
      <c r="P8" s="178">
        <v>0</v>
      </c>
      <c r="Q8" s="178">
        <v>0</v>
      </c>
      <c r="R8" s="197">
        <v>0</v>
      </c>
      <c r="S8" s="723">
        <f>$C$6*SUM(C8:D8)+$E$6*SUM(E8:F8)+$G$6*SUM(G8:H8)+$I$6*SUM(I8:J8)+$K$6*SUM(K8:L8)+$M$6*SUM(M8:N8)+$O$6*SUM(O8:P8)+$Q$6*SUM(Q8:R8)</f>
        <v>211462598.84020001</v>
      </c>
      <c r="U8" s="641"/>
    </row>
    <row r="9" spans="1:21" s="105" customFormat="1">
      <c r="A9" s="82">
        <v>2</v>
      </c>
      <c r="B9" s="123" t="s">
        <v>135</v>
      </c>
      <c r="C9" s="178">
        <v>0</v>
      </c>
      <c r="D9" s="178">
        <v>0</v>
      </c>
      <c r="E9" s="178">
        <v>0</v>
      </c>
      <c r="F9" s="178">
        <v>0</v>
      </c>
      <c r="G9" s="178">
        <v>0</v>
      </c>
      <c r="H9" s="178">
        <v>0</v>
      </c>
      <c r="I9" s="178">
        <v>0</v>
      </c>
      <c r="J9" s="178">
        <v>0</v>
      </c>
      <c r="K9" s="178">
        <v>0</v>
      </c>
      <c r="L9" s="178">
        <v>0</v>
      </c>
      <c r="M9" s="178">
        <v>0</v>
      </c>
      <c r="N9" s="178">
        <v>0</v>
      </c>
      <c r="O9" s="178">
        <v>0</v>
      </c>
      <c r="P9" s="178">
        <v>0</v>
      </c>
      <c r="Q9" s="178">
        <v>0</v>
      </c>
      <c r="R9" s="197">
        <v>0</v>
      </c>
      <c r="S9" s="723">
        <f t="shared" ref="S9:S21" si="0">$C$6*SUM(C9:D9)+$E$6*SUM(E9:F9)+$G$6*SUM(G9:H9)+$I$6*SUM(I9:J9)+$K$6*SUM(K9:L9)+$M$6*SUM(M9:N9)+$O$6*SUM(O9:P9)+$Q$6*SUM(Q9:R9)</f>
        <v>0</v>
      </c>
      <c r="U9" s="641"/>
    </row>
    <row r="10" spans="1:21" s="105" customFormat="1">
      <c r="A10" s="82">
        <v>3</v>
      </c>
      <c r="B10" s="123" t="s">
        <v>136</v>
      </c>
      <c r="C10" s="178">
        <v>0</v>
      </c>
      <c r="D10" s="178">
        <v>0</v>
      </c>
      <c r="E10" s="178">
        <v>0</v>
      </c>
      <c r="F10" s="178">
        <v>0</v>
      </c>
      <c r="G10" s="178">
        <v>0</v>
      </c>
      <c r="H10" s="178">
        <v>0</v>
      </c>
      <c r="I10" s="178">
        <v>0</v>
      </c>
      <c r="J10" s="178">
        <v>0</v>
      </c>
      <c r="K10" s="178">
        <v>0</v>
      </c>
      <c r="L10" s="178">
        <v>0</v>
      </c>
      <c r="M10" s="178">
        <v>30301701.9212</v>
      </c>
      <c r="N10" s="178">
        <v>0</v>
      </c>
      <c r="O10" s="178">
        <v>0</v>
      </c>
      <c r="P10" s="178">
        <v>0</v>
      </c>
      <c r="Q10" s="178">
        <v>0</v>
      </c>
      <c r="R10" s="197">
        <v>0</v>
      </c>
      <c r="S10" s="723">
        <f t="shared" si="0"/>
        <v>30301701.9212</v>
      </c>
      <c r="U10" s="641"/>
    </row>
    <row r="11" spans="1:21" s="105" customFormat="1">
      <c r="A11" s="82">
        <v>4</v>
      </c>
      <c r="B11" s="123" t="s">
        <v>137</v>
      </c>
      <c r="C11" s="178">
        <v>918241.37199999997</v>
      </c>
      <c r="D11" s="178">
        <v>0</v>
      </c>
      <c r="E11" s="178">
        <v>0</v>
      </c>
      <c r="F11" s="178">
        <v>0</v>
      </c>
      <c r="G11" s="178">
        <v>0</v>
      </c>
      <c r="H11" s="178">
        <v>0</v>
      </c>
      <c r="I11" s="178">
        <v>0</v>
      </c>
      <c r="J11" s="178">
        <v>0</v>
      </c>
      <c r="K11" s="178">
        <v>0</v>
      </c>
      <c r="L11" s="178">
        <v>0</v>
      </c>
      <c r="M11" s="178">
        <v>0</v>
      </c>
      <c r="N11" s="178">
        <v>0</v>
      </c>
      <c r="O11" s="178">
        <v>0</v>
      </c>
      <c r="P11" s="178">
        <v>0</v>
      </c>
      <c r="Q11" s="178">
        <v>0</v>
      </c>
      <c r="R11" s="197">
        <v>0</v>
      </c>
      <c r="S11" s="723">
        <f t="shared" si="0"/>
        <v>0</v>
      </c>
      <c r="U11" s="641"/>
    </row>
    <row r="12" spans="1:21" s="105" customFormat="1">
      <c r="A12" s="82">
        <v>5</v>
      </c>
      <c r="B12" s="123" t="s">
        <v>694</v>
      </c>
      <c r="C12" s="178">
        <v>0</v>
      </c>
      <c r="D12" s="178">
        <v>0</v>
      </c>
      <c r="E12" s="178">
        <v>0</v>
      </c>
      <c r="F12" s="178">
        <v>0</v>
      </c>
      <c r="G12" s="178">
        <v>0</v>
      </c>
      <c r="H12" s="178">
        <v>0</v>
      </c>
      <c r="I12" s="178">
        <v>0</v>
      </c>
      <c r="J12" s="178">
        <v>0</v>
      </c>
      <c r="K12" s="178">
        <v>0</v>
      </c>
      <c r="L12" s="178">
        <v>0</v>
      </c>
      <c r="M12" s="178">
        <v>0</v>
      </c>
      <c r="N12" s="178">
        <v>0</v>
      </c>
      <c r="O12" s="178">
        <v>0</v>
      </c>
      <c r="P12" s="178">
        <v>0</v>
      </c>
      <c r="Q12" s="178">
        <v>0</v>
      </c>
      <c r="R12" s="197">
        <v>0</v>
      </c>
      <c r="S12" s="723">
        <f t="shared" si="0"/>
        <v>0</v>
      </c>
      <c r="U12" s="641"/>
    </row>
    <row r="13" spans="1:21" s="105" customFormat="1">
      <c r="A13" s="82">
        <v>6</v>
      </c>
      <c r="B13" s="123" t="s">
        <v>138</v>
      </c>
      <c r="C13" s="178">
        <v>0</v>
      </c>
      <c r="D13" s="178">
        <v>0</v>
      </c>
      <c r="E13" s="178">
        <v>97446162.11602959</v>
      </c>
      <c r="F13" s="178">
        <v>0</v>
      </c>
      <c r="G13" s="178">
        <v>0</v>
      </c>
      <c r="H13" s="178">
        <v>0</v>
      </c>
      <c r="I13" s="178">
        <v>34841917.1941</v>
      </c>
      <c r="J13" s="178">
        <v>0</v>
      </c>
      <c r="K13" s="178">
        <v>0</v>
      </c>
      <c r="L13" s="178">
        <v>0</v>
      </c>
      <c r="M13" s="178">
        <v>4201503.2385703996</v>
      </c>
      <c r="N13" s="178">
        <v>0</v>
      </c>
      <c r="O13" s="178">
        <v>0</v>
      </c>
      <c r="P13" s="178">
        <v>0</v>
      </c>
      <c r="Q13" s="178">
        <v>0</v>
      </c>
      <c r="R13" s="197">
        <v>0</v>
      </c>
      <c r="S13" s="723">
        <f t="shared" si="0"/>
        <v>41111694.258826323</v>
      </c>
      <c r="U13" s="641"/>
    </row>
    <row r="14" spans="1:21" s="105" customFormat="1">
      <c r="A14" s="82">
        <v>7</v>
      </c>
      <c r="B14" s="123" t="s">
        <v>71</v>
      </c>
      <c r="C14" s="178">
        <v>0</v>
      </c>
      <c r="D14" s="178">
        <v>0</v>
      </c>
      <c r="E14" s="178">
        <v>0</v>
      </c>
      <c r="F14" s="178">
        <v>0</v>
      </c>
      <c r="G14" s="178">
        <v>0</v>
      </c>
      <c r="H14" s="178">
        <v>0</v>
      </c>
      <c r="I14" s="178">
        <v>0</v>
      </c>
      <c r="J14" s="178">
        <v>0</v>
      </c>
      <c r="K14" s="178">
        <v>0</v>
      </c>
      <c r="L14" s="178">
        <v>0</v>
      </c>
      <c r="M14" s="178">
        <v>1055900102.130857</v>
      </c>
      <c r="N14" s="178">
        <v>234737762.65443993</v>
      </c>
      <c r="O14" s="178">
        <v>0</v>
      </c>
      <c r="P14" s="178">
        <v>0</v>
      </c>
      <c r="Q14" s="178">
        <v>0</v>
      </c>
      <c r="R14" s="197">
        <v>0</v>
      </c>
      <c r="S14" s="723">
        <f t="shared" si="0"/>
        <v>1290637864.7852969</v>
      </c>
      <c r="U14" s="641"/>
    </row>
    <row r="15" spans="1:21" s="105" customFormat="1">
      <c r="A15" s="82">
        <v>8</v>
      </c>
      <c r="B15" s="123" t="s">
        <v>72</v>
      </c>
      <c r="C15" s="178">
        <v>0</v>
      </c>
      <c r="D15" s="178">
        <v>0</v>
      </c>
      <c r="E15" s="178">
        <v>0</v>
      </c>
      <c r="F15" s="178">
        <v>0</v>
      </c>
      <c r="G15" s="178">
        <v>0</v>
      </c>
      <c r="H15" s="178">
        <v>0</v>
      </c>
      <c r="I15" s="178">
        <v>0</v>
      </c>
      <c r="J15" s="178">
        <v>0</v>
      </c>
      <c r="K15" s="178">
        <v>396197387.91399306</v>
      </c>
      <c r="L15" s="178">
        <v>11393015.503307488</v>
      </c>
      <c r="M15" s="178">
        <v>0</v>
      </c>
      <c r="N15" s="178">
        <v>0</v>
      </c>
      <c r="O15" s="178">
        <v>0</v>
      </c>
      <c r="P15" s="178">
        <v>0</v>
      </c>
      <c r="Q15" s="178">
        <v>0</v>
      </c>
      <c r="R15" s="197">
        <v>0</v>
      </c>
      <c r="S15" s="723">
        <f t="shared" si="0"/>
        <v>305692802.56297541</v>
      </c>
      <c r="U15" s="641"/>
    </row>
    <row r="16" spans="1:21" s="105" customFormat="1">
      <c r="A16" s="82">
        <v>9</v>
      </c>
      <c r="B16" s="123" t="s">
        <v>695</v>
      </c>
      <c r="C16" s="178">
        <v>0</v>
      </c>
      <c r="D16" s="178">
        <v>0</v>
      </c>
      <c r="E16" s="178">
        <v>0</v>
      </c>
      <c r="F16" s="178">
        <v>0</v>
      </c>
      <c r="G16" s="178">
        <v>307763653.4894278</v>
      </c>
      <c r="H16" s="178">
        <v>256475.64668999997</v>
      </c>
      <c r="I16" s="178">
        <v>0</v>
      </c>
      <c r="J16" s="178">
        <v>0</v>
      </c>
      <c r="K16" s="178">
        <v>0</v>
      </c>
      <c r="L16" s="178">
        <v>0</v>
      </c>
      <c r="M16" s="178">
        <v>0</v>
      </c>
      <c r="N16" s="178">
        <v>0</v>
      </c>
      <c r="O16" s="178">
        <v>0</v>
      </c>
      <c r="P16" s="178">
        <v>0</v>
      </c>
      <c r="Q16" s="178">
        <v>0</v>
      </c>
      <c r="R16" s="197">
        <v>0</v>
      </c>
      <c r="S16" s="723">
        <f t="shared" si="0"/>
        <v>107807045.19764122</v>
      </c>
      <c r="U16" s="641"/>
    </row>
    <row r="17" spans="1:21" s="105" customFormat="1">
      <c r="A17" s="82">
        <v>10</v>
      </c>
      <c r="B17" s="123" t="s">
        <v>67</v>
      </c>
      <c r="C17" s="178">
        <v>0</v>
      </c>
      <c r="D17" s="178">
        <v>0</v>
      </c>
      <c r="E17" s="178">
        <v>0</v>
      </c>
      <c r="F17" s="178">
        <v>0</v>
      </c>
      <c r="G17" s="178">
        <v>0</v>
      </c>
      <c r="H17" s="178">
        <v>0</v>
      </c>
      <c r="I17" s="178">
        <v>6054748.2424826641</v>
      </c>
      <c r="J17" s="178">
        <v>0</v>
      </c>
      <c r="K17" s="178">
        <v>0</v>
      </c>
      <c r="L17" s="178">
        <v>0</v>
      </c>
      <c r="M17" s="178">
        <v>15091736.65095105</v>
      </c>
      <c r="N17" s="178">
        <v>0</v>
      </c>
      <c r="O17" s="178">
        <v>6457306.9285677504</v>
      </c>
      <c r="P17" s="178">
        <v>21134.202739999997</v>
      </c>
      <c r="Q17" s="178">
        <v>0</v>
      </c>
      <c r="R17" s="197">
        <v>0</v>
      </c>
      <c r="S17" s="723">
        <f t="shared" si="0"/>
        <v>27836772.469154008</v>
      </c>
      <c r="U17" s="641"/>
    </row>
    <row r="18" spans="1:21" s="105" customFormat="1">
      <c r="A18" s="82">
        <v>11</v>
      </c>
      <c r="B18" s="123" t="s">
        <v>68</v>
      </c>
      <c r="C18" s="178">
        <v>0</v>
      </c>
      <c r="D18" s="178">
        <v>0</v>
      </c>
      <c r="E18" s="178">
        <v>0</v>
      </c>
      <c r="F18" s="178">
        <v>0</v>
      </c>
      <c r="G18" s="178">
        <v>0</v>
      </c>
      <c r="H18" s="178">
        <v>0</v>
      </c>
      <c r="I18" s="178">
        <v>0</v>
      </c>
      <c r="J18" s="178">
        <v>0</v>
      </c>
      <c r="K18" s="178">
        <v>0</v>
      </c>
      <c r="L18" s="178">
        <v>0</v>
      </c>
      <c r="M18" s="178">
        <v>0</v>
      </c>
      <c r="N18" s="178">
        <v>0</v>
      </c>
      <c r="O18" s="178">
        <v>0</v>
      </c>
      <c r="P18" s="178">
        <v>0</v>
      </c>
      <c r="Q18" s="178">
        <v>3304915.54</v>
      </c>
      <c r="R18" s="197">
        <v>0</v>
      </c>
      <c r="S18" s="723">
        <f t="shared" si="0"/>
        <v>8262288.8499999996</v>
      </c>
      <c r="U18" s="641"/>
    </row>
    <row r="19" spans="1:21" s="105" customFormat="1">
      <c r="A19" s="82">
        <v>12</v>
      </c>
      <c r="B19" s="123" t="s">
        <v>69</v>
      </c>
      <c r="C19" s="178">
        <v>0</v>
      </c>
      <c r="D19" s="178">
        <v>0</v>
      </c>
      <c r="E19" s="178">
        <v>0</v>
      </c>
      <c r="F19" s="178">
        <v>0</v>
      </c>
      <c r="G19" s="178">
        <v>0</v>
      </c>
      <c r="H19" s="178">
        <v>0</v>
      </c>
      <c r="I19" s="178">
        <v>0</v>
      </c>
      <c r="J19" s="178">
        <v>0</v>
      </c>
      <c r="K19" s="178">
        <v>0</v>
      </c>
      <c r="L19" s="178">
        <v>0</v>
      </c>
      <c r="M19" s="178">
        <v>11072728.7381</v>
      </c>
      <c r="N19" s="178">
        <v>40082520.133299939</v>
      </c>
      <c r="O19" s="178">
        <v>0</v>
      </c>
      <c r="P19" s="178">
        <v>0</v>
      </c>
      <c r="Q19" s="178">
        <v>0</v>
      </c>
      <c r="R19" s="197">
        <v>0</v>
      </c>
      <c r="S19" s="723">
        <f t="shared" si="0"/>
        <v>51155248.871399939</v>
      </c>
      <c r="U19" s="641"/>
    </row>
    <row r="20" spans="1:21" s="105" customFormat="1">
      <c r="A20" s="82">
        <v>13</v>
      </c>
      <c r="B20" s="123" t="s">
        <v>70</v>
      </c>
      <c r="C20" s="178">
        <v>0</v>
      </c>
      <c r="D20" s="178">
        <v>0</v>
      </c>
      <c r="E20" s="178">
        <v>0</v>
      </c>
      <c r="F20" s="178">
        <v>0</v>
      </c>
      <c r="G20" s="178">
        <v>0</v>
      </c>
      <c r="H20" s="178">
        <v>0</v>
      </c>
      <c r="I20" s="178">
        <v>0</v>
      </c>
      <c r="J20" s="178">
        <v>0</v>
      </c>
      <c r="K20" s="178">
        <v>0</v>
      </c>
      <c r="L20" s="178">
        <v>0</v>
      </c>
      <c r="M20" s="178">
        <v>0</v>
      </c>
      <c r="N20" s="178">
        <v>0</v>
      </c>
      <c r="O20" s="178">
        <v>0</v>
      </c>
      <c r="P20" s="178">
        <v>0</v>
      </c>
      <c r="Q20" s="178">
        <v>0</v>
      </c>
      <c r="R20" s="197">
        <v>0</v>
      </c>
      <c r="S20" s="723">
        <f t="shared" si="0"/>
        <v>0</v>
      </c>
      <c r="U20" s="641"/>
    </row>
    <row r="21" spans="1:21" s="105" customFormat="1">
      <c r="A21" s="82">
        <v>14</v>
      </c>
      <c r="B21" s="123" t="s">
        <v>154</v>
      </c>
      <c r="C21" s="178">
        <v>68093030.084399998</v>
      </c>
      <c r="D21" s="178">
        <v>0</v>
      </c>
      <c r="E21" s="178">
        <v>3112969.8114</v>
      </c>
      <c r="F21" s="178">
        <v>0</v>
      </c>
      <c r="G21" s="178">
        <v>0</v>
      </c>
      <c r="H21" s="178">
        <v>0</v>
      </c>
      <c r="I21" s="178">
        <v>0</v>
      </c>
      <c r="J21" s="178">
        <v>0</v>
      </c>
      <c r="K21" s="178">
        <v>0</v>
      </c>
      <c r="L21" s="178">
        <v>0</v>
      </c>
      <c r="M21" s="178">
        <v>397195171.67918491</v>
      </c>
      <c r="N21" s="178">
        <v>16612074.791509949</v>
      </c>
      <c r="O21" s="178">
        <v>0</v>
      </c>
      <c r="P21" s="178">
        <v>0</v>
      </c>
      <c r="Q21" s="178">
        <v>17000000</v>
      </c>
      <c r="R21" s="197">
        <v>0</v>
      </c>
      <c r="S21" s="723">
        <f t="shared" si="0"/>
        <v>456929840.43297482</v>
      </c>
      <c r="U21" s="641"/>
    </row>
    <row r="22" spans="1:21" ht="13.5" thickBot="1">
      <c r="A22" s="64"/>
      <c r="B22" s="107" t="s">
        <v>66</v>
      </c>
      <c r="C22" s="179">
        <f>SUM(C8:C21)</f>
        <v>483523450.59089994</v>
      </c>
      <c r="D22" s="179">
        <f t="shared" ref="D22:S22" si="1">SUM(D8:D21)</f>
        <v>0</v>
      </c>
      <c r="E22" s="179">
        <f t="shared" si="1"/>
        <v>100559131.92742959</v>
      </c>
      <c r="F22" s="179">
        <f t="shared" si="1"/>
        <v>0</v>
      </c>
      <c r="G22" s="179">
        <f t="shared" si="1"/>
        <v>307763653.4894278</v>
      </c>
      <c r="H22" s="179">
        <f t="shared" si="1"/>
        <v>256475.64668999997</v>
      </c>
      <c r="I22" s="179">
        <f t="shared" si="1"/>
        <v>40896665.436582662</v>
      </c>
      <c r="J22" s="179">
        <f t="shared" si="1"/>
        <v>0</v>
      </c>
      <c r="K22" s="179">
        <f t="shared" si="1"/>
        <v>396197387.91399306</v>
      </c>
      <c r="L22" s="179">
        <f t="shared" si="1"/>
        <v>11393015.503307488</v>
      </c>
      <c r="M22" s="179">
        <f t="shared" si="1"/>
        <v>1725225543.1990635</v>
      </c>
      <c r="N22" s="179">
        <f t="shared" si="1"/>
        <v>291432357.5792498</v>
      </c>
      <c r="O22" s="179">
        <f t="shared" si="1"/>
        <v>6457306.9285677504</v>
      </c>
      <c r="P22" s="179">
        <f t="shared" si="1"/>
        <v>21134.202739999997</v>
      </c>
      <c r="Q22" s="179">
        <f t="shared" si="1"/>
        <v>20304915.539999999</v>
      </c>
      <c r="R22" s="179">
        <f t="shared" si="1"/>
        <v>0</v>
      </c>
      <c r="S22" s="724">
        <f t="shared" si="1"/>
        <v>2531197858.1896687</v>
      </c>
      <c r="U22" s="641"/>
    </row>
    <row r="24" spans="1:21">
      <c r="C24" s="640"/>
      <c r="D24" s="640"/>
      <c r="E24" s="640"/>
      <c r="F24" s="640"/>
      <c r="G24" s="640"/>
      <c r="H24" s="640"/>
      <c r="I24" s="640"/>
      <c r="J24" s="640"/>
      <c r="K24" s="640"/>
      <c r="L24" s="640"/>
      <c r="M24" s="640"/>
      <c r="N24" s="640"/>
      <c r="O24" s="640"/>
      <c r="P24" s="640"/>
      <c r="Q24" s="640"/>
      <c r="R24" s="640"/>
      <c r="S24" s="640"/>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pane xSplit="2" ySplit="6" topLeftCell="C7" activePane="bottomRight" state="frozen"/>
      <selection pane="topRight" activeCell="C1" sqref="C1"/>
      <selection pane="bottomLeft" activeCell="A6" sqref="A6"/>
      <selection pane="bottomRight" activeCell="X21" sqref="X21"/>
    </sheetView>
  </sheetViews>
  <sheetFormatPr defaultColWidth="9.140625" defaultRowHeight="12.75"/>
  <cols>
    <col min="1" max="1" width="10.42578125" style="2" bestFit="1" customWidth="1"/>
    <col min="2" max="2" width="97" style="2" bestFit="1" customWidth="1"/>
    <col min="3" max="3" width="19" style="2" customWidth="1"/>
    <col min="4" max="4" width="19.42578125" style="2" customWidth="1"/>
    <col min="5" max="5" width="31.140625" style="2" hidden="1" customWidth="1"/>
    <col min="6" max="6" width="29.140625" style="2" hidden="1" customWidth="1"/>
    <col min="7" max="7" width="28.42578125" style="2" hidden="1" customWidth="1"/>
    <col min="8" max="8" width="26.42578125" style="2" hidden="1" customWidth="1"/>
    <col min="9" max="9" width="23.7109375" style="2" hidden="1" customWidth="1"/>
    <col min="10" max="10" width="21.42578125" style="2" hidden="1" customWidth="1"/>
    <col min="11" max="11" width="15.7109375" style="2" hidden="1" customWidth="1"/>
    <col min="12" max="12" width="13.28515625" style="2" hidden="1" customWidth="1"/>
    <col min="13" max="13" width="20.85546875" style="2" hidden="1" customWidth="1"/>
    <col min="14" max="14" width="19.28515625" style="2" hidden="1" customWidth="1"/>
    <col min="15" max="15" width="18.42578125" style="2" hidden="1" customWidth="1"/>
    <col min="16" max="16" width="19" style="2" hidden="1" customWidth="1"/>
    <col min="17" max="17" width="20.28515625" style="2" hidden="1" customWidth="1"/>
    <col min="18" max="18" width="18" style="2" hidden="1" customWidth="1"/>
    <col min="19" max="19" width="36" style="2" hidden="1" customWidth="1"/>
    <col min="20" max="20" width="19.42578125" style="2" customWidth="1"/>
    <col min="21" max="21" width="19.140625" style="2" customWidth="1"/>
    <col min="22" max="22" width="20" style="2" customWidth="1"/>
    <col min="23" max="16384" width="9.140625" style="12"/>
  </cols>
  <sheetData>
    <row r="1" spans="1:24">
      <c r="A1" s="2" t="s">
        <v>108</v>
      </c>
      <c r="B1" s="234" t="str">
        <f>Info!C2</f>
        <v>სს "ბაზისბანკი"</v>
      </c>
    </row>
    <row r="2" spans="1:24">
      <c r="A2" s="2" t="s">
        <v>109</v>
      </c>
      <c r="B2" s="354">
        <f>'1. key ratios'!B2</f>
        <v>45016</v>
      </c>
    </row>
    <row r="4" spans="1:24" ht="27.75" thickBot="1">
      <c r="A4" s="2" t="s">
        <v>197</v>
      </c>
      <c r="B4" s="206" t="s">
        <v>216</v>
      </c>
      <c r="V4" s="150" t="s">
        <v>87</v>
      </c>
    </row>
    <row r="5" spans="1:24">
      <c r="A5" s="62"/>
      <c r="B5" s="63"/>
      <c r="C5" s="805" t="s">
        <v>116</v>
      </c>
      <c r="D5" s="806"/>
      <c r="E5" s="806"/>
      <c r="F5" s="806"/>
      <c r="G5" s="806"/>
      <c r="H5" s="806"/>
      <c r="I5" s="806"/>
      <c r="J5" s="806"/>
      <c r="K5" s="806"/>
      <c r="L5" s="807"/>
      <c r="M5" s="805" t="s">
        <v>117</v>
      </c>
      <c r="N5" s="806"/>
      <c r="O5" s="806"/>
      <c r="P5" s="806"/>
      <c r="Q5" s="806"/>
      <c r="R5" s="806"/>
      <c r="S5" s="807"/>
      <c r="T5" s="810" t="s">
        <v>214</v>
      </c>
      <c r="U5" s="810" t="s">
        <v>213</v>
      </c>
      <c r="V5" s="808" t="s">
        <v>118</v>
      </c>
    </row>
    <row r="6" spans="1:24" s="37" customFormat="1" ht="127.5">
      <c r="A6" s="80"/>
      <c r="B6" s="125"/>
      <c r="C6" s="60" t="s">
        <v>119</v>
      </c>
      <c r="D6" s="59" t="s">
        <v>120</v>
      </c>
      <c r="E6" s="56" t="s">
        <v>121</v>
      </c>
      <c r="F6" s="207" t="s">
        <v>208</v>
      </c>
      <c r="G6" s="59" t="s">
        <v>122</v>
      </c>
      <c r="H6" s="59" t="s">
        <v>123</v>
      </c>
      <c r="I6" s="59" t="s">
        <v>124</v>
      </c>
      <c r="J6" s="59" t="s">
        <v>153</v>
      </c>
      <c r="K6" s="59" t="s">
        <v>125</v>
      </c>
      <c r="L6" s="61" t="s">
        <v>126</v>
      </c>
      <c r="M6" s="60" t="s">
        <v>127</v>
      </c>
      <c r="N6" s="59" t="s">
        <v>128</v>
      </c>
      <c r="O6" s="59" t="s">
        <v>129</v>
      </c>
      <c r="P6" s="59" t="s">
        <v>130</v>
      </c>
      <c r="Q6" s="59" t="s">
        <v>131</v>
      </c>
      <c r="R6" s="59" t="s">
        <v>132</v>
      </c>
      <c r="S6" s="61" t="s">
        <v>133</v>
      </c>
      <c r="T6" s="811"/>
      <c r="U6" s="811"/>
      <c r="V6" s="809"/>
    </row>
    <row r="7" spans="1:24" s="105" customFormat="1">
      <c r="A7" s="106">
        <v>1</v>
      </c>
      <c r="B7" s="123" t="s">
        <v>134</v>
      </c>
      <c r="C7" s="180"/>
      <c r="D7" s="178">
        <v>0</v>
      </c>
      <c r="E7" s="178"/>
      <c r="F7" s="178"/>
      <c r="G7" s="178"/>
      <c r="H7" s="178"/>
      <c r="I7" s="178"/>
      <c r="J7" s="178"/>
      <c r="K7" s="178"/>
      <c r="L7" s="181"/>
      <c r="M7" s="180"/>
      <c r="N7" s="178"/>
      <c r="O7" s="178"/>
      <c r="P7" s="178"/>
      <c r="Q7" s="178"/>
      <c r="R7" s="178"/>
      <c r="S7" s="181"/>
      <c r="T7" s="201">
        <v>0</v>
      </c>
      <c r="U7" s="200"/>
      <c r="V7" s="182">
        <f>SUM(C7:S7)</f>
        <v>0</v>
      </c>
      <c r="X7" s="642"/>
    </row>
    <row r="8" spans="1:24" s="105" customFormat="1">
      <c r="A8" s="106">
        <v>2</v>
      </c>
      <c r="B8" s="123" t="s">
        <v>135</v>
      </c>
      <c r="C8" s="180"/>
      <c r="D8" s="178">
        <v>0</v>
      </c>
      <c r="E8" s="178"/>
      <c r="F8" s="178"/>
      <c r="G8" s="178"/>
      <c r="H8" s="178"/>
      <c r="I8" s="178"/>
      <c r="J8" s="178"/>
      <c r="K8" s="178"/>
      <c r="L8" s="181"/>
      <c r="M8" s="180"/>
      <c r="N8" s="178"/>
      <c r="O8" s="178"/>
      <c r="P8" s="178"/>
      <c r="Q8" s="178"/>
      <c r="R8" s="178"/>
      <c r="S8" s="181"/>
      <c r="T8" s="200">
        <v>0</v>
      </c>
      <c r="U8" s="200"/>
      <c r="V8" s="182">
        <f t="shared" ref="V8:V20" si="0">SUM(C8:S8)</f>
        <v>0</v>
      </c>
      <c r="X8" s="642"/>
    </row>
    <row r="9" spans="1:24" s="105" customFormat="1">
      <c r="A9" s="106">
        <v>3</v>
      </c>
      <c r="B9" s="123" t="s">
        <v>136</v>
      </c>
      <c r="C9" s="180"/>
      <c r="D9" s="178">
        <v>20.02</v>
      </c>
      <c r="E9" s="178"/>
      <c r="F9" s="178"/>
      <c r="G9" s="178"/>
      <c r="H9" s="178"/>
      <c r="I9" s="178"/>
      <c r="J9" s="178"/>
      <c r="K9" s="178"/>
      <c r="L9" s="181"/>
      <c r="M9" s="180"/>
      <c r="N9" s="178"/>
      <c r="O9" s="178"/>
      <c r="P9" s="178"/>
      <c r="Q9" s="178"/>
      <c r="R9" s="178"/>
      <c r="S9" s="181"/>
      <c r="T9" s="200">
        <v>20.02</v>
      </c>
      <c r="U9" s="200"/>
      <c r="V9" s="182">
        <f>SUM(C9:S9)</f>
        <v>20.02</v>
      </c>
      <c r="X9" s="642"/>
    </row>
    <row r="10" spans="1:24" s="105" customFormat="1">
      <c r="A10" s="106">
        <v>4</v>
      </c>
      <c r="B10" s="123" t="s">
        <v>137</v>
      </c>
      <c r="C10" s="180"/>
      <c r="D10" s="178">
        <v>0</v>
      </c>
      <c r="E10" s="178"/>
      <c r="F10" s="178"/>
      <c r="G10" s="178"/>
      <c r="H10" s="178"/>
      <c r="I10" s="178"/>
      <c r="J10" s="178"/>
      <c r="K10" s="178"/>
      <c r="L10" s="181"/>
      <c r="M10" s="180"/>
      <c r="N10" s="178"/>
      <c r="O10" s="178"/>
      <c r="P10" s="178"/>
      <c r="Q10" s="178"/>
      <c r="R10" s="178"/>
      <c r="S10" s="181"/>
      <c r="T10" s="200">
        <v>0</v>
      </c>
      <c r="U10" s="200"/>
      <c r="V10" s="182">
        <f t="shared" si="0"/>
        <v>0</v>
      </c>
      <c r="X10" s="642"/>
    </row>
    <row r="11" spans="1:24" s="105" customFormat="1">
      <c r="A11" s="106">
        <v>5</v>
      </c>
      <c r="B11" s="123" t="s">
        <v>694</v>
      </c>
      <c r="C11" s="180"/>
      <c r="D11" s="178">
        <v>0</v>
      </c>
      <c r="E11" s="178"/>
      <c r="F11" s="178"/>
      <c r="G11" s="178"/>
      <c r="H11" s="178"/>
      <c r="I11" s="178"/>
      <c r="J11" s="178"/>
      <c r="K11" s="178"/>
      <c r="L11" s="181"/>
      <c r="M11" s="180"/>
      <c r="N11" s="178"/>
      <c r="O11" s="178"/>
      <c r="P11" s="178"/>
      <c r="Q11" s="178"/>
      <c r="R11" s="178"/>
      <c r="S11" s="181"/>
      <c r="T11" s="200">
        <v>0</v>
      </c>
      <c r="U11" s="200"/>
      <c r="V11" s="182">
        <f t="shared" si="0"/>
        <v>0</v>
      </c>
      <c r="X11" s="642"/>
    </row>
    <row r="12" spans="1:24" s="105" customFormat="1">
      <c r="A12" s="106">
        <v>6</v>
      </c>
      <c r="B12" s="123" t="s">
        <v>138</v>
      </c>
      <c r="C12" s="180"/>
      <c r="D12" s="178">
        <v>0</v>
      </c>
      <c r="E12" s="178"/>
      <c r="F12" s="178"/>
      <c r="G12" s="178"/>
      <c r="H12" s="178"/>
      <c r="I12" s="178"/>
      <c r="J12" s="178"/>
      <c r="K12" s="178"/>
      <c r="L12" s="181"/>
      <c r="M12" s="180"/>
      <c r="N12" s="178"/>
      <c r="O12" s="178"/>
      <c r="P12" s="178"/>
      <c r="Q12" s="178"/>
      <c r="R12" s="178"/>
      <c r="S12" s="181"/>
      <c r="T12" s="200">
        <v>0</v>
      </c>
      <c r="U12" s="200"/>
      <c r="V12" s="182">
        <f t="shared" si="0"/>
        <v>0</v>
      </c>
      <c r="X12" s="642"/>
    </row>
    <row r="13" spans="1:24" s="105" customFormat="1">
      <c r="A13" s="106">
        <v>7</v>
      </c>
      <c r="B13" s="123" t="s">
        <v>71</v>
      </c>
      <c r="C13" s="180"/>
      <c r="D13" s="178">
        <v>38178523.737791464</v>
      </c>
      <c r="E13" s="178"/>
      <c r="F13" s="178"/>
      <c r="G13" s="178"/>
      <c r="H13" s="178"/>
      <c r="I13" s="178"/>
      <c r="J13" s="178"/>
      <c r="K13" s="178"/>
      <c r="L13" s="181"/>
      <c r="M13" s="180"/>
      <c r="N13" s="178"/>
      <c r="O13" s="178"/>
      <c r="P13" s="178"/>
      <c r="Q13" s="178"/>
      <c r="R13" s="178"/>
      <c r="S13" s="181"/>
      <c r="T13" s="200">
        <v>28666739.393707965</v>
      </c>
      <c r="U13" s="200">
        <v>9511784.344083501</v>
      </c>
      <c r="V13" s="182">
        <f t="shared" si="0"/>
        <v>38178523.737791464</v>
      </c>
      <c r="X13" s="642"/>
    </row>
    <row r="14" spans="1:24" s="105" customFormat="1">
      <c r="A14" s="106">
        <v>8</v>
      </c>
      <c r="B14" s="123" t="s">
        <v>72</v>
      </c>
      <c r="C14" s="180"/>
      <c r="D14" s="178">
        <v>4878459.0575405164</v>
      </c>
      <c r="E14" s="178"/>
      <c r="F14" s="178"/>
      <c r="G14" s="178"/>
      <c r="H14" s="178"/>
      <c r="I14" s="178"/>
      <c r="J14" s="178"/>
      <c r="K14" s="178"/>
      <c r="L14" s="181"/>
      <c r="M14" s="180"/>
      <c r="N14" s="178"/>
      <c r="O14" s="178"/>
      <c r="P14" s="178"/>
      <c r="Q14" s="178"/>
      <c r="R14" s="178"/>
      <c r="S14" s="181"/>
      <c r="T14" s="200">
        <v>4249251.310953116</v>
      </c>
      <c r="U14" s="200">
        <v>629207.74658739998</v>
      </c>
      <c r="V14" s="182">
        <f t="shared" si="0"/>
        <v>4878459.0575405164</v>
      </c>
      <c r="X14" s="642"/>
    </row>
    <row r="15" spans="1:24" s="105" customFormat="1">
      <c r="A15" s="106">
        <v>9</v>
      </c>
      <c r="B15" s="123" t="s">
        <v>695</v>
      </c>
      <c r="C15" s="180"/>
      <c r="D15" s="178">
        <v>0</v>
      </c>
      <c r="E15" s="178"/>
      <c r="F15" s="178"/>
      <c r="G15" s="178"/>
      <c r="H15" s="178"/>
      <c r="I15" s="178"/>
      <c r="J15" s="178"/>
      <c r="K15" s="178"/>
      <c r="L15" s="181"/>
      <c r="M15" s="180"/>
      <c r="N15" s="178"/>
      <c r="O15" s="178"/>
      <c r="P15" s="178"/>
      <c r="Q15" s="178"/>
      <c r="R15" s="178"/>
      <c r="S15" s="181"/>
      <c r="T15" s="200">
        <v>0</v>
      </c>
      <c r="U15" s="200">
        <v>0</v>
      </c>
      <c r="V15" s="182">
        <f t="shared" si="0"/>
        <v>0</v>
      </c>
      <c r="X15" s="642"/>
    </row>
    <row r="16" spans="1:24" s="105" customFormat="1">
      <c r="A16" s="106">
        <v>10</v>
      </c>
      <c r="B16" s="123" t="s">
        <v>67</v>
      </c>
      <c r="C16" s="180"/>
      <c r="D16" s="178">
        <v>634453.73206299997</v>
      </c>
      <c r="E16" s="178"/>
      <c r="F16" s="178"/>
      <c r="G16" s="178"/>
      <c r="H16" s="178"/>
      <c r="I16" s="178"/>
      <c r="J16" s="178"/>
      <c r="K16" s="178"/>
      <c r="L16" s="181"/>
      <c r="M16" s="180"/>
      <c r="N16" s="178"/>
      <c r="O16" s="178"/>
      <c r="P16" s="178"/>
      <c r="Q16" s="178"/>
      <c r="R16" s="178"/>
      <c r="S16" s="181"/>
      <c r="T16" s="200">
        <v>634453.73206299997</v>
      </c>
      <c r="U16" s="200">
        <v>0</v>
      </c>
      <c r="V16" s="182">
        <f t="shared" si="0"/>
        <v>634453.73206299997</v>
      </c>
      <c r="X16" s="642"/>
    </row>
    <row r="17" spans="1:24" s="105" customFormat="1">
      <c r="A17" s="106">
        <v>11</v>
      </c>
      <c r="B17" s="123" t="s">
        <v>68</v>
      </c>
      <c r="C17" s="180"/>
      <c r="D17" s="178">
        <v>0</v>
      </c>
      <c r="E17" s="178"/>
      <c r="F17" s="178"/>
      <c r="G17" s="178"/>
      <c r="H17" s="178"/>
      <c r="I17" s="178"/>
      <c r="J17" s="178"/>
      <c r="K17" s="178"/>
      <c r="L17" s="181"/>
      <c r="M17" s="180"/>
      <c r="N17" s="178"/>
      <c r="O17" s="178"/>
      <c r="P17" s="178"/>
      <c r="Q17" s="178"/>
      <c r="R17" s="178"/>
      <c r="S17" s="181"/>
      <c r="T17" s="200">
        <v>0</v>
      </c>
      <c r="U17" s="200">
        <v>0</v>
      </c>
      <c r="V17" s="182">
        <f t="shared" si="0"/>
        <v>0</v>
      </c>
      <c r="X17" s="642"/>
    </row>
    <row r="18" spans="1:24" s="105" customFormat="1">
      <c r="A18" s="106">
        <v>12</v>
      </c>
      <c r="B18" s="123" t="s">
        <v>69</v>
      </c>
      <c r="C18" s="180"/>
      <c r="D18" s="178">
        <v>2145173.3365167994</v>
      </c>
      <c r="E18" s="178"/>
      <c r="F18" s="178"/>
      <c r="G18" s="178"/>
      <c r="H18" s="178"/>
      <c r="I18" s="178"/>
      <c r="J18" s="178"/>
      <c r="K18" s="178"/>
      <c r="L18" s="181"/>
      <c r="M18" s="180"/>
      <c r="N18" s="178"/>
      <c r="O18" s="178"/>
      <c r="P18" s="178"/>
      <c r="Q18" s="178"/>
      <c r="R18" s="178"/>
      <c r="S18" s="181"/>
      <c r="T18" s="200">
        <v>0</v>
      </c>
      <c r="U18" s="200">
        <v>2145173.3365167994</v>
      </c>
      <c r="V18" s="182">
        <f t="shared" si="0"/>
        <v>2145173.3365167994</v>
      </c>
      <c r="X18" s="642"/>
    </row>
    <row r="19" spans="1:24" s="105" customFormat="1">
      <c r="A19" s="106">
        <v>13</v>
      </c>
      <c r="B19" s="123" t="s">
        <v>70</v>
      </c>
      <c r="C19" s="180"/>
      <c r="D19" s="178">
        <v>0</v>
      </c>
      <c r="E19" s="178"/>
      <c r="F19" s="178"/>
      <c r="G19" s="178"/>
      <c r="H19" s="178"/>
      <c r="I19" s="178"/>
      <c r="J19" s="178"/>
      <c r="K19" s="178"/>
      <c r="L19" s="181"/>
      <c r="M19" s="180"/>
      <c r="N19" s="178"/>
      <c r="O19" s="178"/>
      <c r="P19" s="178"/>
      <c r="Q19" s="178"/>
      <c r="R19" s="178"/>
      <c r="S19" s="181"/>
      <c r="T19" s="200">
        <v>0</v>
      </c>
      <c r="U19" s="200">
        <v>0</v>
      </c>
      <c r="V19" s="182">
        <f t="shared" si="0"/>
        <v>0</v>
      </c>
      <c r="X19" s="642"/>
    </row>
    <row r="20" spans="1:24" s="105" customFormat="1">
      <c r="A20" s="106">
        <v>14</v>
      </c>
      <c r="B20" s="123" t="s">
        <v>154</v>
      </c>
      <c r="C20" s="180"/>
      <c r="D20" s="178">
        <v>9935801.7424309999</v>
      </c>
      <c r="E20" s="178"/>
      <c r="F20" s="178"/>
      <c r="G20" s="178"/>
      <c r="H20" s="178"/>
      <c r="I20" s="178"/>
      <c r="J20" s="178"/>
      <c r="K20" s="178"/>
      <c r="L20" s="181"/>
      <c r="M20" s="180"/>
      <c r="N20" s="178"/>
      <c r="O20" s="178"/>
      <c r="P20" s="178"/>
      <c r="Q20" s="178"/>
      <c r="R20" s="178"/>
      <c r="S20" s="181"/>
      <c r="T20" s="200">
        <v>9457561.5424310006</v>
      </c>
      <c r="U20" s="200">
        <v>478240.2</v>
      </c>
      <c r="V20" s="182">
        <f t="shared" si="0"/>
        <v>9935801.7424309999</v>
      </c>
      <c r="X20" s="642"/>
    </row>
    <row r="21" spans="1:24" ht="13.5" thickBot="1">
      <c r="A21" s="64"/>
      <c r="B21" s="65" t="s">
        <v>66</v>
      </c>
      <c r="C21" s="183">
        <f>SUM(C7:C20)</f>
        <v>0</v>
      </c>
      <c r="D21" s="179">
        <f t="shared" ref="D21:V21" si="1">SUM(D7:D20)</f>
        <v>55772431.626342781</v>
      </c>
      <c r="E21" s="179">
        <f t="shared" si="1"/>
        <v>0</v>
      </c>
      <c r="F21" s="179">
        <f t="shared" si="1"/>
        <v>0</v>
      </c>
      <c r="G21" s="179">
        <f t="shared" si="1"/>
        <v>0</v>
      </c>
      <c r="H21" s="179">
        <f t="shared" si="1"/>
        <v>0</v>
      </c>
      <c r="I21" s="179">
        <f t="shared" si="1"/>
        <v>0</v>
      </c>
      <c r="J21" s="179">
        <f t="shared" si="1"/>
        <v>0</v>
      </c>
      <c r="K21" s="179">
        <f t="shared" si="1"/>
        <v>0</v>
      </c>
      <c r="L21" s="184">
        <f t="shared" si="1"/>
        <v>0</v>
      </c>
      <c r="M21" s="183">
        <f t="shared" si="1"/>
        <v>0</v>
      </c>
      <c r="N21" s="179">
        <f t="shared" si="1"/>
        <v>0</v>
      </c>
      <c r="O21" s="179">
        <f t="shared" si="1"/>
        <v>0</v>
      </c>
      <c r="P21" s="179">
        <f t="shared" si="1"/>
        <v>0</v>
      </c>
      <c r="Q21" s="179">
        <f t="shared" si="1"/>
        <v>0</v>
      </c>
      <c r="R21" s="179">
        <f t="shared" si="1"/>
        <v>0</v>
      </c>
      <c r="S21" s="184">
        <f t="shared" si="1"/>
        <v>0</v>
      </c>
      <c r="T21" s="184">
        <f>SUM(T7:T20)</f>
        <v>43008025.999155082</v>
      </c>
      <c r="U21" s="184">
        <f t="shared" si="1"/>
        <v>12764405.627187699</v>
      </c>
      <c r="V21" s="185">
        <f t="shared" si="1"/>
        <v>55772431.626342781</v>
      </c>
      <c r="X21" s="642"/>
    </row>
    <row r="23" spans="1:24">
      <c r="T23" s="640"/>
      <c r="U23" s="640"/>
      <c r="V23" s="640"/>
    </row>
    <row r="24" spans="1:24">
      <c r="A24" s="17"/>
      <c r="B24" s="17"/>
      <c r="C24" s="40"/>
      <c r="D24" s="40"/>
      <c r="E24" s="40"/>
    </row>
    <row r="25" spans="1:24">
      <c r="A25" s="57"/>
      <c r="B25" s="57"/>
      <c r="C25" s="17"/>
      <c r="D25" s="40"/>
      <c r="E25" s="40"/>
    </row>
    <row r="26" spans="1:24">
      <c r="A26" s="57"/>
      <c r="B26" s="58"/>
      <c r="C26" s="17"/>
      <c r="D26" s="40"/>
      <c r="E26" s="40"/>
    </row>
    <row r="27" spans="1:24">
      <c r="A27" s="57"/>
      <c r="B27" s="57"/>
      <c r="C27" s="17"/>
      <c r="D27" s="40"/>
      <c r="E27" s="40"/>
    </row>
    <row r="28" spans="1:24">
      <c r="A28" s="57"/>
      <c r="B28" s="58"/>
      <c r="C28" s="17"/>
      <c r="D28" s="40"/>
      <c r="E28" s="4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pane xSplit="1" ySplit="7" topLeftCell="B8" activePane="bottomRight" state="frozen"/>
      <selection activeCell="L18" sqref="L18"/>
      <selection pane="topRight" activeCell="L18" sqref="L18"/>
      <selection pane="bottomLeft" activeCell="L18" sqref="L18"/>
      <selection pane="bottomRight" activeCell="F31" sqref="F31"/>
    </sheetView>
  </sheetViews>
  <sheetFormatPr defaultColWidth="9.140625" defaultRowHeight="12.75"/>
  <cols>
    <col min="1" max="1" width="10.42578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2"/>
  </cols>
  <sheetData>
    <row r="1" spans="1:10">
      <c r="A1" s="2" t="s">
        <v>108</v>
      </c>
      <c r="B1" s="234" t="str">
        <f>Info!C2</f>
        <v>სს "ბაზისბანკი"</v>
      </c>
    </row>
    <row r="2" spans="1:10">
      <c r="A2" s="2" t="s">
        <v>109</v>
      </c>
      <c r="B2" s="354">
        <f>'1. key ratios'!B2</f>
        <v>45016</v>
      </c>
    </row>
    <row r="4" spans="1:10" ht="13.5" thickBot="1">
      <c r="A4" s="2" t="s">
        <v>198</v>
      </c>
      <c r="B4" s="203" t="s">
        <v>217</v>
      </c>
    </row>
    <row r="5" spans="1:10">
      <c r="A5" s="62"/>
      <c r="B5" s="103"/>
      <c r="C5" s="108" t="s">
        <v>0</v>
      </c>
      <c r="D5" s="108" t="s">
        <v>1</v>
      </c>
      <c r="E5" s="108" t="s">
        <v>2</v>
      </c>
      <c r="F5" s="108" t="s">
        <v>3</v>
      </c>
      <c r="G5" s="198" t="s">
        <v>4</v>
      </c>
      <c r="H5" s="109" t="s">
        <v>5</v>
      </c>
      <c r="I5" s="23"/>
    </row>
    <row r="6" spans="1:10" ht="15" customHeight="1">
      <c r="A6" s="102"/>
      <c r="B6" s="21"/>
      <c r="C6" s="812" t="s">
        <v>209</v>
      </c>
      <c r="D6" s="816" t="s">
        <v>219</v>
      </c>
      <c r="E6" s="817"/>
      <c r="F6" s="812" t="s">
        <v>220</v>
      </c>
      <c r="G6" s="812" t="s">
        <v>221</v>
      </c>
      <c r="H6" s="814" t="s">
        <v>211</v>
      </c>
      <c r="I6" s="23"/>
    </row>
    <row r="7" spans="1:10" ht="63.75">
      <c r="A7" s="102"/>
      <c r="B7" s="21"/>
      <c r="C7" s="813"/>
      <c r="D7" s="202" t="s">
        <v>212</v>
      </c>
      <c r="E7" s="202" t="s">
        <v>210</v>
      </c>
      <c r="F7" s="813"/>
      <c r="G7" s="813"/>
      <c r="H7" s="815"/>
      <c r="I7" s="23"/>
    </row>
    <row r="8" spans="1:10">
      <c r="A8" s="53">
        <v>1</v>
      </c>
      <c r="B8" s="123" t="s">
        <v>134</v>
      </c>
      <c r="C8" s="186">
        <v>625974777.97469997</v>
      </c>
      <c r="D8" s="187"/>
      <c r="E8" s="186"/>
      <c r="F8" s="186">
        <v>211462598.84020001</v>
      </c>
      <c r="G8" s="199">
        <v>211462598.84020001</v>
      </c>
      <c r="H8" s="208">
        <f>G8/(C8+E8)</f>
        <v>0.33781328941778338</v>
      </c>
      <c r="J8" s="643"/>
    </row>
    <row r="9" spans="1:10" ht="15" customHeight="1">
      <c r="A9" s="53">
        <v>2</v>
      </c>
      <c r="B9" s="123" t="s">
        <v>135</v>
      </c>
      <c r="C9" s="186">
        <v>0</v>
      </c>
      <c r="D9" s="187"/>
      <c r="E9" s="186"/>
      <c r="F9" s="186">
        <v>0</v>
      </c>
      <c r="G9" s="199">
        <v>0</v>
      </c>
      <c r="H9" s="208"/>
      <c r="J9" s="643"/>
    </row>
    <row r="10" spans="1:10">
      <c r="A10" s="53">
        <v>3</v>
      </c>
      <c r="B10" s="123" t="s">
        <v>136</v>
      </c>
      <c r="C10" s="186">
        <v>30301701.9212</v>
      </c>
      <c r="D10" s="187"/>
      <c r="E10" s="186"/>
      <c r="F10" s="186">
        <v>30301701.9212</v>
      </c>
      <c r="G10" s="199">
        <v>30301681.9012</v>
      </c>
      <c r="H10" s="208">
        <f t="shared" ref="H10:H21" si="0">G10/(C10+E10)</f>
        <v>0.99999933931103768</v>
      </c>
      <c r="J10" s="643"/>
    </row>
    <row r="11" spans="1:10">
      <c r="A11" s="53">
        <v>4</v>
      </c>
      <c r="B11" s="123" t="s">
        <v>137</v>
      </c>
      <c r="C11" s="186">
        <v>918241.37199999997</v>
      </c>
      <c r="D11" s="187"/>
      <c r="E11" s="186"/>
      <c r="F11" s="186">
        <v>0</v>
      </c>
      <c r="G11" s="199">
        <v>0</v>
      </c>
      <c r="H11" s="208">
        <f t="shared" si="0"/>
        <v>0</v>
      </c>
      <c r="J11" s="643"/>
    </row>
    <row r="12" spans="1:10">
      <c r="A12" s="53">
        <v>5</v>
      </c>
      <c r="B12" s="123" t="s">
        <v>694</v>
      </c>
      <c r="C12" s="186">
        <v>0</v>
      </c>
      <c r="D12" s="187"/>
      <c r="E12" s="186"/>
      <c r="F12" s="186">
        <v>0</v>
      </c>
      <c r="G12" s="199">
        <v>0</v>
      </c>
      <c r="H12" s="208"/>
      <c r="J12" s="643"/>
    </row>
    <row r="13" spans="1:10">
      <c r="A13" s="53">
        <v>6</v>
      </c>
      <c r="B13" s="123" t="s">
        <v>138</v>
      </c>
      <c r="C13" s="186">
        <v>136489582.54869998</v>
      </c>
      <c r="D13" s="187"/>
      <c r="E13" s="186"/>
      <c r="F13" s="186">
        <v>41111694.258826323</v>
      </c>
      <c r="G13" s="199">
        <v>41111694.258826323</v>
      </c>
      <c r="H13" s="208">
        <f t="shared" si="0"/>
        <v>0.3012075609811285</v>
      </c>
      <c r="J13" s="643"/>
    </row>
    <row r="14" spans="1:10">
      <c r="A14" s="53">
        <v>7</v>
      </c>
      <c r="B14" s="123" t="s">
        <v>71</v>
      </c>
      <c r="C14" s="186">
        <v>1055900102.130857</v>
      </c>
      <c r="D14" s="187">
        <v>386576697.53289998</v>
      </c>
      <c r="E14" s="186">
        <v>234302018.65443999</v>
      </c>
      <c r="F14" s="187">
        <v>1290202120.7852969</v>
      </c>
      <c r="G14" s="245">
        <v>1252023597.0475054</v>
      </c>
      <c r="H14" s="208">
        <f>G14/(C14+E14)</f>
        <v>0.97040888158317884</v>
      </c>
      <c r="J14" s="643"/>
    </row>
    <row r="15" spans="1:10">
      <c r="A15" s="53">
        <v>8</v>
      </c>
      <c r="B15" s="123" t="s">
        <v>72</v>
      </c>
      <c r="C15" s="186">
        <v>396197387.91399306</v>
      </c>
      <c r="D15" s="187">
        <v>25201000.706299935</v>
      </c>
      <c r="E15" s="186">
        <v>11828758.545579966</v>
      </c>
      <c r="F15" s="187">
        <v>306128545.97997224</v>
      </c>
      <c r="G15" s="245">
        <v>301250087.6690191</v>
      </c>
      <c r="H15" s="208">
        <f t="shared" si="0"/>
        <v>0.73831074376716876</v>
      </c>
      <c r="J15" s="643"/>
    </row>
    <row r="16" spans="1:10">
      <c r="A16" s="53">
        <v>9</v>
      </c>
      <c r="B16" s="123" t="s">
        <v>695</v>
      </c>
      <c r="C16" s="186">
        <v>307763653.4894278</v>
      </c>
      <c r="D16" s="187">
        <v>514029.15879999998</v>
      </c>
      <c r="E16" s="186">
        <v>256476.13339999999</v>
      </c>
      <c r="F16" s="187">
        <v>107807045.36798972</v>
      </c>
      <c r="G16" s="245">
        <v>107807045.36798972</v>
      </c>
      <c r="H16" s="208">
        <f t="shared" si="0"/>
        <v>0.34999999999999992</v>
      </c>
      <c r="J16" s="643"/>
    </row>
    <row r="17" spans="1:10">
      <c r="A17" s="53">
        <v>10</v>
      </c>
      <c r="B17" s="123" t="s">
        <v>67</v>
      </c>
      <c r="C17" s="186">
        <v>27603791.822001465</v>
      </c>
      <c r="D17" s="187">
        <v>90225.085799999986</v>
      </c>
      <c r="E17" s="186">
        <v>21134.135160000005</v>
      </c>
      <c r="F17" s="187">
        <v>27836772.367784005</v>
      </c>
      <c r="G17" s="245">
        <v>27202318.635721005</v>
      </c>
      <c r="H17" s="208">
        <f t="shared" si="0"/>
        <v>0.98470195641082248</v>
      </c>
      <c r="J17" s="643"/>
    </row>
    <row r="18" spans="1:10">
      <c r="A18" s="53">
        <v>11</v>
      </c>
      <c r="B18" s="123" t="s">
        <v>68</v>
      </c>
      <c r="C18" s="186">
        <v>3304915.54</v>
      </c>
      <c r="D18" s="187">
        <v>0</v>
      </c>
      <c r="E18" s="186">
        <v>0</v>
      </c>
      <c r="F18" s="187">
        <v>8262288.8499999996</v>
      </c>
      <c r="G18" s="245">
        <v>8262288.8499999996</v>
      </c>
      <c r="H18" s="208">
        <f t="shared" si="0"/>
        <v>2.5</v>
      </c>
      <c r="J18" s="643"/>
    </row>
    <row r="19" spans="1:10">
      <c r="A19" s="53">
        <v>12</v>
      </c>
      <c r="B19" s="123" t="s">
        <v>69</v>
      </c>
      <c r="C19" s="186">
        <v>11072728.7381</v>
      </c>
      <c r="D19" s="187">
        <v>61217617.552800015</v>
      </c>
      <c r="E19" s="186">
        <v>40082520.133300006</v>
      </c>
      <c r="F19" s="187">
        <v>51155248.871400006</v>
      </c>
      <c r="G19" s="245">
        <v>49010075.534883209</v>
      </c>
      <c r="H19" s="208">
        <f t="shared" si="0"/>
        <v>0.95806543055025339</v>
      </c>
      <c r="J19" s="643"/>
    </row>
    <row r="20" spans="1:10">
      <c r="A20" s="53">
        <v>13</v>
      </c>
      <c r="B20" s="123" t="s">
        <v>70</v>
      </c>
      <c r="C20" s="186">
        <v>0</v>
      </c>
      <c r="D20" s="187">
        <v>0</v>
      </c>
      <c r="E20" s="186">
        <v>0</v>
      </c>
      <c r="F20" s="187">
        <v>0</v>
      </c>
      <c r="G20" s="245">
        <v>0</v>
      </c>
      <c r="H20" s="208"/>
      <c r="J20" s="643"/>
    </row>
    <row r="21" spans="1:10">
      <c r="A21" s="53">
        <v>14</v>
      </c>
      <c r="B21" s="123" t="s">
        <v>154</v>
      </c>
      <c r="C21" s="186">
        <v>485401171.57498491</v>
      </c>
      <c r="D21" s="187">
        <v>22813684.699199993</v>
      </c>
      <c r="E21" s="186">
        <v>16612074.791509949</v>
      </c>
      <c r="F21" s="187">
        <v>456929840.43297487</v>
      </c>
      <c r="G21" s="245">
        <v>446994038.69054389</v>
      </c>
      <c r="H21" s="208">
        <f t="shared" si="0"/>
        <v>0.89040287666874796</v>
      </c>
      <c r="J21" s="643"/>
    </row>
    <row r="22" spans="1:10" ht="13.5" thickBot="1">
      <c r="A22" s="104"/>
      <c r="B22" s="110" t="s">
        <v>66</v>
      </c>
      <c r="C22" s="179">
        <f>SUM(C8:C21)</f>
        <v>3080928055.0259643</v>
      </c>
      <c r="D22" s="179">
        <f>SUM(D8:D21)</f>
        <v>496413254.73579991</v>
      </c>
      <c r="E22" s="179">
        <f>SUM(E8:E21)</f>
        <v>303102982.39338988</v>
      </c>
      <c r="F22" s="179">
        <f>SUM(F8:F21)</f>
        <v>2531197857.6756444</v>
      </c>
      <c r="G22" s="179">
        <f>SUM(G8:G21)</f>
        <v>2475425426.7958884</v>
      </c>
      <c r="H22" s="209">
        <f>G22/(C22+E22)</f>
        <v>0.7315019866613387</v>
      </c>
      <c r="J22" s="643"/>
    </row>
    <row r="24" spans="1:10">
      <c r="C24" s="640"/>
      <c r="D24" s="640"/>
      <c r="E24" s="640"/>
      <c r="F24" s="640"/>
      <c r="G24" s="640"/>
      <c r="H24" s="640"/>
    </row>
    <row r="25" spans="1:10">
      <c r="G25" s="640"/>
    </row>
    <row r="28" spans="1:10" ht="10.5" customHeight="1"/>
  </sheetData>
  <mergeCells count="5">
    <mergeCell ref="C6:C7"/>
    <mergeCell ref="F6:F7"/>
    <mergeCell ref="G6:G7"/>
    <mergeCell ref="H6:H7"/>
    <mergeCell ref="D6:E6"/>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H24" sqref="H24"/>
    </sheetView>
  </sheetViews>
  <sheetFormatPr defaultColWidth="9.140625" defaultRowHeight="12.75"/>
  <cols>
    <col min="1" max="1" width="10.42578125" style="234" bestFit="1" customWidth="1"/>
    <col min="2" max="2" width="104.140625" style="234" customWidth="1"/>
    <col min="3" max="3" width="14.28515625" style="234" customWidth="1"/>
    <col min="4" max="5" width="13.28515625" style="234" customWidth="1"/>
    <col min="6" max="11" width="12.7109375" style="234" customWidth="1"/>
    <col min="12" max="16384" width="9.140625" style="234"/>
  </cols>
  <sheetData>
    <row r="1" spans="1:11">
      <c r="A1" s="234" t="s">
        <v>108</v>
      </c>
      <c r="B1" s="234" t="str">
        <f>Info!C2</f>
        <v>სს "ბაზისბანკი"</v>
      </c>
    </row>
    <row r="2" spans="1:11">
      <c r="A2" s="234" t="s">
        <v>109</v>
      </c>
      <c r="B2" s="354">
        <f>'1. key ratios'!B2</f>
        <v>45016</v>
      </c>
      <c r="C2" s="235"/>
      <c r="D2" s="235"/>
    </row>
    <row r="3" spans="1:11">
      <c r="B3" s="235"/>
      <c r="C3" s="235"/>
      <c r="D3" s="235"/>
    </row>
    <row r="4" spans="1:11" ht="13.5" thickBot="1">
      <c r="A4" s="234" t="s">
        <v>245</v>
      </c>
      <c r="B4" s="203" t="s">
        <v>244</v>
      </c>
      <c r="C4" s="235"/>
      <c r="D4" s="235"/>
    </row>
    <row r="5" spans="1:11" ht="30" customHeight="1">
      <c r="A5" s="821"/>
      <c r="B5" s="822"/>
      <c r="C5" s="819" t="s">
        <v>276</v>
      </c>
      <c r="D5" s="819"/>
      <c r="E5" s="819"/>
      <c r="F5" s="819" t="s">
        <v>277</v>
      </c>
      <c r="G5" s="819"/>
      <c r="H5" s="819"/>
      <c r="I5" s="819" t="s">
        <v>278</v>
      </c>
      <c r="J5" s="819"/>
      <c r="K5" s="820"/>
    </row>
    <row r="6" spans="1:11">
      <c r="A6" s="232"/>
      <c r="B6" s="233"/>
      <c r="C6" s="236" t="s">
        <v>26</v>
      </c>
      <c r="D6" s="236" t="s">
        <v>90</v>
      </c>
      <c r="E6" s="236" t="s">
        <v>66</v>
      </c>
      <c r="F6" s="236" t="s">
        <v>26</v>
      </c>
      <c r="G6" s="236" t="s">
        <v>90</v>
      </c>
      <c r="H6" s="236" t="s">
        <v>66</v>
      </c>
      <c r="I6" s="236" t="s">
        <v>26</v>
      </c>
      <c r="J6" s="236" t="s">
        <v>90</v>
      </c>
      <c r="K6" s="237" t="s">
        <v>66</v>
      </c>
    </row>
    <row r="7" spans="1:11">
      <c r="A7" s="238" t="s">
        <v>224</v>
      </c>
      <c r="B7" s="231"/>
      <c r="C7" s="231"/>
      <c r="D7" s="231"/>
      <c r="E7" s="231"/>
      <c r="F7" s="231"/>
      <c r="G7" s="231"/>
      <c r="H7" s="231"/>
      <c r="I7" s="231"/>
      <c r="J7" s="231"/>
      <c r="K7" s="239"/>
    </row>
    <row r="8" spans="1:11">
      <c r="A8" s="230">
        <v>1</v>
      </c>
      <c r="B8" s="215" t="s">
        <v>224</v>
      </c>
      <c r="C8" s="599"/>
      <c r="D8" s="599"/>
      <c r="E8" s="599"/>
      <c r="F8" s="600">
        <v>321412994.95855099</v>
      </c>
      <c r="G8" s="600">
        <v>409243895.69036639</v>
      </c>
      <c r="H8" s="600">
        <v>730656890.64891779</v>
      </c>
      <c r="I8" s="600">
        <v>316817430.63626242</v>
      </c>
      <c r="J8" s="600">
        <v>256059092.05604339</v>
      </c>
      <c r="K8" s="601">
        <v>572876522.6923058</v>
      </c>
    </row>
    <row r="9" spans="1:11">
      <c r="A9" s="238" t="s">
        <v>225</v>
      </c>
      <c r="B9" s="231"/>
      <c r="C9" s="602"/>
      <c r="D9" s="602"/>
      <c r="E9" s="602"/>
      <c r="F9" s="602"/>
      <c r="G9" s="602"/>
      <c r="H9" s="602"/>
      <c r="I9" s="602"/>
      <c r="J9" s="602"/>
      <c r="K9" s="603"/>
    </row>
    <row r="10" spans="1:11">
      <c r="A10" s="240">
        <v>2</v>
      </c>
      <c r="B10" s="216" t="s">
        <v>226</v>
      </c>
      <c r="C10" s="381">
        <v>245490195.1252667</v>
      </c>
      <c r="D10" s="604">
        <v>638410050.67308724</v>
      </c>
      <c r="E10" s="604">
        <v>883900245.79835391</v>
      </c>
      <c r="F10" s="604">
        <v>27224062.644587781</v>
      </c>
      <c r="G10" s="604">
        <v>106476355.42673381</v>
      </c>
      <c r="H10" s="604">
        <v>133700418.07132159</v>
      </c>
      <c r="I10" s="604">
        <v>4607630.347803331</v>
      </c>
      <c r="J10" s="604">
        <v>16791711.884865489</v>
      </c>
      <c r="K10" s="605">
        <v>21399342.232668821</v>
      </c>
    </row>
    <row r="11" spans="1:11">
      <c r="A11" s="240">
        <v>3</v>
      </c>
      <c r="B11" s="216" t="s">
        <v>227</v>
      </c>
      <c r="C11" s="381">
        <v>683375098.33615565</v>
      </c>
      <c r="D11" s="604">
        <v>748684513.13153839</v>
      </c>
      <c r="E11" s="604">
        <v>1432059611.467694</v>
      </c>
      <c r="F11" s="604">
        <v>218564544.4240579</v>
      </c>
      <c r="G11" s="604">
        <v>149341206.3337388</v>
      </c>
      <c r="H11" s="604">
        <v>367905750.7577967</v>
      </c>
      <c r="I11" s="604">
        <v>166386386.48532331</v>
      </c>
      <c r="J11" s="604">
        <v>114880357.87954789</v>
      </c>
      <c r="K11" s="605">
        <v>281266744.3648712</v>
      </c>
    </row>
    <row r="12" spans="1:11">
      <c r="A12" s="240">
        <v>4</v>
      </c>
      <c r="B12" s="216" t="s">
        <v>228</v>
      </c>
      <c r="C12" s="381">
        <v>224904444.44444439</v>
      </c>
      <c r="D12" s="604">
        <v>0</v>
      </c>
      <c r="E12" s="604">
        <v>224904444.44444439</v>
      </c>
      <c r="F12" s="604"/>
      <c r="G12" s="604"/>
      <c r="H12" s="604">
        <v>0</v>
      </c>
      <c r="I12" s="604"/>
      <c r="J12" s="604"/>
      <c r="K12" s="605">
        <v>0</v>
      </c>
    </row>
    <row r="13" spans="1:11">
      <c r="A13" s="240">
        <v>5</v>
      </c>
      <c r="B13" s="216" t="s">
        <v>229</v>
      </c>
      <c r="C13" s="381">
        <v>247090161.04399711</v>
      </c>
      <c r="D13" s="604">
        <v>171930604.89317471</v>
      </c>
      <c r="E13" s="604">
        <v>419020765.93717182</v>
      </c>
      <c r="F13" s="604">
        <v>53685306.345591366</v>
      </c>
      <c r="G13" s="604">
        <v>37458135.504817232</v>
      </c>
      <c r="H13" s="604">
        <v>91143441.850408599</v>
      </c>
      <c r="I13" s="604">
        <v>20410203.129249848</v>
      </c>
      <c r="J13" s="604">
        <v>14567090.47294425</v>
      </c>
      <c r="K13" s="605">
        <v>34977293.602194101</v>
      </c>
    </row>
    <row r="14" spans="1:11">
      <c r="A14" s="240">
        <v>6</v>
      </c>
      <c r="B14" s="216" t="s">
        <v>243</v>
      </c>
      <c r="C14" s="381"/>
      <c r="D14" s="604"/>
      <c r="E14" s="604">
        <v>0</v>
      </c>
      <c r="F14" s="604"/>
      <c r="G14" s="604"/>
      <c r="H14" s="604">
        <v>0</v>
      </c>
      <c r="I14" s="604"/>
      <c r="J14" s="604"/>
      <c r="K14" s="605">
        <v>0</v>
      </c>
    </row>
    <row r="15" spans="1:11">
      <c r="A15" s="240">
        <v>7</v>
      </c>
      <c r="B15" s="216" t="s">
        <v>230</v>
      </c>
      <c r="C15" s="381">
        <v>16304003.70831256</v>
      </c>
      <c r="D15" s="604">
        <v>13420272.87312359</v>
      </c>
      <c r="E15" s="604">
        <v>29724276.58143615</v>
      </c>
      <c r="F15" s="604">
        <v>5115716.0854017828</v>
      </c>
      <c r="G15" s="604">
        <v>3722621.8373265932</v>
      </c>
      <c r="H15" s="604">
        <v>8838337.9227283765</v>
      </c>
      <c r="I15" s="604">
        <v>5115716.0854017828</v>
      </c>
      <c r="J15" s="604">
        <v>3722621.8373265932</v>
      </c>
      <c r="K15" s="605">
        <v>8838337.9227283765</v>
      </c>
    </row>
    <row r="16" spans="1:11">
      <c r="A16" s="240">
        <v>8</v>
      </c>
      <c r="B16" s="217" t="s">
        <v>231</v>
      </c>
      <c r="C16" s="381">
        <v>1417163902.6581762</v>
      </c>
      <c r="D16" s="604">
        <v>1572445441.5709238</v>
      </c>
      <c r="E16" s="604">
        <v>2989609344.2291002</v>
      </c>
      <c r="F16" s="604">
        <v>304589629.4996388</v>
      </c>
      <c r="G16" s="604">
        <v>296998319.10261643</v>
      </c>
      <c r="H16" s="604">
        <v>601587948.60225534</v>
      </c>
      <c r="I16" s="604">
        <v>196519936.04777825</v>
      </c>
      <c r="J16" s="604">
        <v>149961782.07468423</v>
      </c>
      <c r="K16" s="605">
        <v>346481718.12246245</v>
      </c>
    </row>
    <row r="17" spans="1:11">
      <c r="A17" s="238" t="s">
        <v>232</v>
      </c>
      <c r="B17" s="231"/>
      <c r="C17" s="602"/>
      <c r="D17" s="602"/>
      <c r="E17" s="602"/>
      <c r="F17" s="602"/>
      <c r="G17" s="602"/>
      <c r="H17" s="602"/>
      <c r="I17" s="602"/>
      <c r="J17" s="602"/>
      <c r="K17" s="603"/>
    </row>
    <row r="18" spans="1:11">
      <c r="A18" s="240">
        <v>9</v>
      </c>
      <c r="B18" s="216" t="s">
        <v>233</v>
      </c>
      <c r="C18" s="381">
        <v>6933260.0021074582</v>
      </c>
      <c r="D18" s="604">
        <v>0</v>
      </c>
      <c r="E18" s="604">
        <v>6933260.0021074582</v>
      </c>
      <c r="F18" s="604">
        <v>0</v>
      </c>
      <c r="G18" s="604">
        <v>0</v>
      </c>
      <c r="H18" s="604">
        <v>0</v>
      </c>
      <c r="I18" s="604">
        <v>0</v>
      </c>
      <c r="J18" s="604">
        <v>0</v>
      </c>
      <c r="K18" s="605">
        <v>0</v>
      </c>
    </row>
    <row r="19" spans="1:11">
      <c r="A19" s="240">
        <v>10</v>
      </c>
      <c r="B19" s="216" t="s">
        <v>234</v>
      </c>
      <c r="C19" s="381">
        <v>1103229948.415736</v>
      </c>
      <c r="D19" s="604">
        <v>1109499309.198411</v>
      </c>
      <c r="E19" s="604">
        <v>2212729257.6141472</v>
      </c>
      <c r="F19" s="604">
        <v>24297577.60630396</v>
      </c>
      <c r="G19" s="604">
        <v>11246538.499167429</v>
      </c>
      <c r="H19" s="604">
        <v>35544116.105471388</v>
      </c>
      <c r="I19" s="604">
        <v>28891497.565784439</v>
      </c>
      <c r="J19" s="604">
        <v>166634500.78785521</v>
      </c>
      <c r="K19" s="605">
        <v>195525998.35363966</v>
      </c>
    </row>
    <row r="20" spans="1:11">
      <c r="A20" s="240">
        <v>11</v>
      </c>
      <c r="B20" s="216" t="s">
        <v>235</v>
      </c>
      <c r="C20" s="381">
        <v>37301245.562924497</v>
      </c>
      <c r="D20" s="604">
        <v>585216.17484922521</v>
      </c>
      <c r="E20" s="604">
        <v>37886461.737773724</v>
      </c>
      <c r="F20" s="604">
        <v>1031568.614349331</v>
      </c>
      <c r="G20" s="604">
        <v>0</v>
      </c>
      <c r="H20" s="604">
        <v>1031568.614349331</v>
      </c>
      <c r="I20" s="604">
        <v>1031568.614349331</v>
      </c>
      <c r="J20" s="604">
        <v>0</v>
      </c>
      <c r="K20" s="605">
        <v>1031568.614349331</v>
      </c>
    </row>
    <row r="21" spans="1:11" ht="13.5" thickBot="1">
      <c r="A21" s="156">
        <v>12</v>
      </c>
      <c r="B21" s="241" t="s">
        <v>236</v>
      </c>
      <c r="C21" s="606">
        <v>1147464453.9807677</v>
      </c>
      <c r="D21" s="607">
        <v>1110084525.3732603</v>
      </c>
      <c r="E21" s="606">
        <v>2257548979.3540287</v>
      </c>
      <c r="F21" s="607">
        <v>25329146.220653292</v>
      </c>
      <c r="G21" s="607">
        <v>11246538.499167429</v>
      </c>
      <c r="H21" s="607">
        <v>36575684.719820715</v>
      </c>
      <c r="I21" s="607">
        <v>29923066.180133771</v>
      </c>
      <c r="J21" s="607">
        <v>166634500.78785521</v>
      </c>
      <c r="K21" s="608">
        <v>196557566.967989</v>
      </c>
    </row>
    <row r="22" spans="1:11" ht="38.25" customHeight="1" thickBot="1">
      <c r="A22" s="228"/>
      <c r="B22" s="229"/>
      <c r="C22" s="229"/>
      <c r="D22" s="229"/>
      <c r="E22" s="229"/>
      <c r="F22" s="818" t="s">
        <v>237</v>
      </c>
      <c r="G22" s="819"/>
      <c r="H22" s="819"/>
      <c r="I22" s="818" t="s">
        <v>238</v>
      </c>
      <c r="J22" s="819"/>
      <c r="K22" s="820"/>
    </row>
    <row r="23" spans="1:11">
      <c r="A23" s="221">
        <v>13</v>
      </c>
      <c r="B23" s="218" t="s">
        <v>224</v>
      </c>
      <c r="C23" s="227"/>
      <c r="D23" s="227"/>
      <c r="E23" s="227"/>
      <c r="F23" s="609">
        <v>321412994.95855099</v>
      </c>
      <c r="G23" s="609">
        <v>409243895.69036639</v>
      </c>
      <c r="H23" s="609">
        <v>730656890.64891779</v>
      </c>
      <c r="I23" s="609">
        <v>316817430.63626242</v>
      </c>
      <c r="J23" s="609">
        <v>256059092.05604339</v>
      </c>
      <c r="K23" s="610">
        <v>572876522.6923058</v>
      </c>
    </row>
    <row r="24" spans="1:11" ht="13.5" thickBot="1">
      <c r="A24" s="222">
        <v>14</v>
      </c>
      <c r="B24" s="219" t="s">
        <v>239</v>
      </c>
      <c r="C24" s="242"/>
      <c r="D24" s="225"/>
      <c r="E24" s="226"/>
      <c r="F24" s="611">
        <v>279260483.27898562</v>
      </c>
      <c r="G24" s="611">
        <v>285751780.60344899</v>
      </c>
      <c r="H24" s="611">
        <v>565012263.88243473</v>
      </c>
      <c r="I24" s="611">
        <v>166596869.8676444</v>
      </c>
      <c r="J24" s="611">
        <v>38609204.734764129</v>
      </c>
      <c r="K24" s="612">
        <v>149924151.15447339</v>
      </c>
    </row>
    <row r="25" spans="1:11" ht="13.5" thickBot="1">
      <c r="A25" s="223">
        <v>15</v>
      </c>
      <c r="B25" s="220" t="s">
        <v>240</v>
      </c>
      <c r="C25" s="224"/>
      <c r="D25" s="224"/>
      <c r="E25" s="224"/>
      <c r="F25" s="613">
        <v>1.1525341399257261</v>
      </c>
      <c r="G25" s="613">
        <v>1.4349282285511871</v>
      </c>
      <c r="H25" s="613">
        <v>1.2952764870190561</v>
      </c>
      <c r="I25" s="613">
        <v>1.922349835974922</v>
      </c>
      <c r="J25" s="613">
        <v>6.7242292685980374</v>
      </c>
      <c r="K25" s="614">
        <v>3.957556486129687</v>
      </c>
    </row>
    <row r="28" spans="1:11" ht="38.25">
      <c r="B28" s="22" t="s">
        <v>275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I8" sqref="I8"/>
    </sheetView>
  </sheetViews>
  <sheetFormatPr defaultColWidth="9.140625" defaultRowHeight="15"/>
  <cols>
    <col min="1" max="1" width="10.42578125" style="38" bestFit="1" customWidth="1"/>
    <col min="2" max="2" width="95" style="38" customWidth="1"/>
    <col min="3" max="3" width="12.42578125" style="38" bestFit="1" customWidth="1"/>
    <col min="4" max="4" width="10" style="38" bestFit="1" customWidth="1"/>
    <col min="5" max="5" width="18.28515625" style="38" bestFit="1" customWidth="1"/>
    <col min="6" max="13" width="10.7109375" style="38" customWidth="1"/>
    <col min="14" max="14" width="31" style="38" bestFit="1" customWidth="1"/>
    <col min="15" max="16384" width="9.140625" style="12"/>
  </cols>
  <sheetData>
    <row r="1" spans="1:14">
      <c r="A1" s="5" t="s">
        <v>108</v>
      </c>
      <c r="B1" s="38" t="str">
        <f>Info!C2</f>
        <v>სს "ბაზისბანკი"</v>
      </c>
    </row>
    <row r="2" spans="1:14" ht="14.25" customHeight="1">
      <c r="A2" s="38" t="s">
        <v>109</v>
      </c>
      <c r="B2" s="354">
        <f>'1. key ratios'!B2</f>
        <v>45016</v>
      </c>
    </row>
    <row r="3" spans="1:14" ht="14.25" customHeight="1"/>
    <row r="4" spans="1:14" ht="15.75" thickBot="1">
      <c r="A4" s="2" t="s">
        <v>199</v>
      </c>
      <c r="B4" s="55" t="s">
        <v>74</v>
      </c>
    </row>
    <row r="5" spans="1:14" s="24" customFormat="1" ht="12.75">
      <c r="A5" s="119"/>
      <c r="B5" s="120"/>
      <c r="C5" s="121" t="s">
        <v>0</v>
      </c>
      <c r="D5" s="121" t="s">
        <v>1</v>
      </c>
      <c r="E5" s="121" t="s">
        <v>2</v>
      </c>
      <c r="F5" s="121" t="s">
        <v>3</v>
      </c>
      <c r="G5" s="121" t="s">
        <v>4</v>
      </c>
      <c r="H5" s="121" t="s">
        <v>5</v>
      </c>
      <c r="I5" s="121" t="s">
        <v>145</v>
      </c>
      <c r="J5" s="121" t="s">
        <v>146</v>
      </c>
      <c r="K5" s="121" t="s">
        <v>147</v>
      </c>
      <c r="L5" s="121" t="s">
        <v>148</v>
      </c>
      <c r="M5" s="121" t="s">
        <v>149</v>
      </c>
      <c r="N5" s="122" t="s">
        <v>150</v>
      </c>
    </row>
    <row r="6" spans="1:14" ht="60">
      <c r="A6" s="111"/>
      <c r="B6" s="67"/>
      <c r="C6" s="68" t="s">
        <v>84</v>
      </c>
      <c r="D6" s="69" t="s">
        <v>73</v>
      </c>
      <c r="E6" s="70" t="s">
        <v>83</v>
      </c>
      <c r="F6" s="71">
        <v>0</v>
      </c>
      <c r="G6" s="71">
        <v>0.2</v>
      </c>
      <c r="H6" s="71">
        <v>0.35</v>
      </c>
      <c r="I6" s="71">
        <v>0.5</v>
      </c>
      <c r="J6" s="71">
        <v>0.75</v>
      </c>
      <c r="K6" s="71">
        <v>1</v>
      </c>
      <c r="L6" s="71">
        <v>1.5</v>
      </c>
      <c r="M6" s="71">
        <v>2.5</v>
      </c>
      <c r="N6" s="112" t="s">
        <v>74</v>
      </c>
    </row>
    <row r="7" spans="1:14">
      <c r="A7" s="113">
        <v>1</v>
      </c>
      <c r="B7" s="72" t="s">
        <v>75</v>
      </c>
      <c r="C7" s="188">
        <f>SUM(C8:C13)</f>
        <v>67397000</v>
      </c>
      <c r="D7" s="67"/>
      <c r="E7" s="191">
        <f t="shared" ref="E7:M7" si="0">SUM(E8:E13)</f>
        <v>1347940</v>
      </c>
      <c r="F7" s="188">
        <f>SUM(F8:F13)</f>
        <v>1347940</v>
      </c>
      <c r="G7" s="188">
        <f t="shared" si="0"/>
        <v>0</v>
      </c>
      <c r="H7" s="188">
        <f t="shared" si="0"/>
        <v>0</v>
      </c>
      <c r="I7" s="188">
        <f t="shared" si="0"/>
        <v>0</v>
      </c>
      <c r="J7" s="188">
        <f t="shared" si="0"/>
        <v>0</v>
      </c>
      <c r="K7" s="188">
        <f t="shared" si="0"/>
        <v>0</v>
      </c>
      <c r="L7" s="188">
        <f t="shared" si="0"/>
        <v>0</v>
      </c>
      <c r="M7" s="188">
        <f t="shared" si="0"/>
        <v>0</v>
      </c>
      <c r="N7" s="114">
        <f>SUM(N8:N13)</f>
        <v>0</v>
      </c>
    </row>
    <row r="8" spans="1:14">
      <c r="A8" s="113">
        <v>1.1000000000000001</v>
      </c>
      <c r="B8" s="73" t="s">
        <v>76</v>
      </c>
      <c r="C8" s="189">
        <v>67397000</v>
      </c>
      <c r="D8" s="74">
        <v>0.02</v>
      </c>
      <c r="E8" s="191">
        <f>C8*D8</f>
        <v>1347940</v>
      </c>
      <c r="F8" s="189">
        <v>1347940</v>
      </c>
      <c r="G8" s="189"/>
      <c r="H8" s="189"/>
      <c r="I8" s="189"/>
      <c r="J8" s="189"/>
      <c r="K8" s="189"/>
      <c r="L8" s="189"/>
      <c r="M8" s="189"/>
      <c r="N8" s="114">
        <f>SUMPRODUCT($F$6:$M$6,F8:M8)</f>
        <v>0</v>
      </c>
    </row>
    <row r="9" spans="1:14">
      <c r="A9" s="113">
        <v>1.2</v>
      </c>
      <c r="B9" s="73" t="s">
        <v>77</v>
      </c>
      <c r="C9" s="189">
        <v>0</v>
      </c>
      <c r="D9" s="74">
        <v>0.05</v>
      </c>
      <c r="E9" s="191">
        <f>C9*D9</f>
        <v>0</v>
      </c>
      <c r="F9" s="189"/>
      <c r="G9" s="189"/>
      <c r="H9" s="189"/>
      <c r="I9" s="189"/>
      <c r="J9" s="189"/>
      <c r="K9" s="189"/>
      <c r="L9" s="189"/>
      <c r="M9" s="189"/>
      <c r="N9" s="114">
        <f t="shared" ref="N9:N12" si="1">SUMPRODUCT($F$6:$M$6,F9:M9)</f>
        <v>0</v>
      </c>
    </row>
    <row r="10" spans="1:14">
      <c r="A10" s="113">
        <v>1.3</v>
      </c>
      <c r="B10" s="73" t="s">
        <v>78</v>
      </c>
      <c r="C10" s="189">
        <v>0</v>
      </c>
      <c r="D10" s="74">
        <v>0.08</v>
      </c>
      <c r="E10" s="191">
        <f>C10*D10</f>
        <v>0</v>
      </c>
      <c r="F10" s="189"/>
      <c r="G10" s="189"/>
      <c r="H10" s="189"/>
      <c r="I10" s="189"/>
      <c r="J10" s="189"/>
      <c r="K10" s="189"/>
      <c r="L10" s="189"/>
      <c r="M10" s="189"/>
      <c r="N10" s="114">
        <f>SUMPRODUCT($F$6:$M$6,F10:M10)</f>
        <v>0</v>
      </c>
    </row>
    <row r="11" spans="1:14">
      <c r="A11" s="113">
        <v>1.4</v>
      </c>
      <c r="B11" s="73" t="s">
        <v>79</v>
      </c>
      <c r="C11" s="189">
        <v>0</v>
      </c>
      <c r="D11" s="74">
        <v>0.11</v>
      </c>
      <c r="E11" s="191">
        <f>C11*D11</f>
        <v>0</v>
      </c>
      <c r="F11" s="189"/>
      <c r="G11" s="189"/>
      <c r="H11" s="189"/>
      <c r="I11" s="189"/>
      <c r="J11" s="189"/>
      <c r="K11" s="189"/>
      <c r="L11" s="189"/>
      <c r="M11" s="189"/>
      <c r="N11" s="114">
        <f t="shared" si="1"/>
        <v>0</v>
      </c>
    </row>
    <row r="12" spans="1:14">
      <c r="A12" s="113">
        <v>1.5</v>
      </c>
      <c r="B12" s="73" t="s">
        <v>80</v>
      </c>
      <c r="C12" s="189">
        <v>0</v>
      </c>
      <c r="D12" s="74">
        <v>0.14000000000000001</v>
      </c>
      <c r="E12" s="191">
        <f>C12*D12</f>
        <v>0</v>
      </c>
      <c r="F12" s="189"/>
      <c r="G12" s="189"/>
      <c r="H12" s="189"/>
      <c r="I12" s="189"/>
      <c r="J12" s="189"/>
      <c r="K12" s="189"/>
      <c r="L12" s="189"/>
      <c r="M12" s="189"/>
      <c r="N12" s="114">
        <f t="shared" si="1"/>
        <v>0</v>
      </c>
    </row>
    <row r="13" spans="1:14">
      <c r="A13" s="113">
        <v>1.6</v>
      </c>
      <c r="B13" s="75" t="s">
        <v>81</v>
      </c>
      <c r="C13" s="189">
        <v>0</v>
      </c>
      <c r="D13" s="76"/>
      <c r="E13" s="189"/>
      <c r="F13" s="189"/>
      <c r="G13" s="189"/>
      <c r="H13" s="189"/>
      <c r="I13" s="189"/>
      <c r="J13" s="189"/>
      <c r="K13" s="189"/>
      <c r="L13" s="189"/>
      <c r="M13" s="189"/>
      <c r="N13" s="114">
        <f>SUMPRODUCT($F$6:$M$6,F13:M13)</f>
        <v>0</v>
      </c>
    </row>
    <row r="14" spans="1:14">
      <c r="A14" s="113">
        <v>2</v>
      </c>
      <c r="B14" s="77" t="s">
        <v>82</v>
      </c>
      <c r="C14" s="188">
        <f>SUM(C15:C20)</f>
        <v>0</v>
      </c>
      <c r="D14" s="67"/>
      <c r="E14" s="191">
        <f t="shared" ref="E14:M14" si="2">SUM(E15:E20)</f>
        <v>0</v>
      </c>
      <c r="F14" s="189">
        <f t="shared" si="2"/>
        <v>0</v>
      </c>
      <c r="G14" s="189">
        <f t="shared" si="2"/>
        <v>0</v>
      </c>
      <c r="H14" s="189">
        <f t="shared" si="2"/>
        <v>0</v>
      </c>
      <c r="I14" s="189">
        <f t="shared" si="2"/>
        <v>0</v>
      </c>
      <c r="J14" s="189">
        <f t="shared" si="2"/>
        <v>0</v>
      </c>
      <c r="K14" s="189">
        <f t="shared" si="2"/>
        <v>0</v>
      </c>
      <c r="L14" s="189">
        <f t="shared" si="2"/>
        <v>0</v>
      </c>
      <c r="M14" s="189">
        <f t="shared" si="2"/>
        <v>0</v>
      </c>
      <c r="N14" s="114">
        <f>SUM(N15:N20)</f>
        <v>0</v>
      </c>
    </row>
    <row r="15" spans="1:14">
      <c r="A15" s="113">
        <v>2.1</v>
      </c>
      <c r="B15" s="75" t="s">
        <v>76</v>
      </c>
      <c r="C15" s="189"/>
      <c r="D15" s="74">
        <v>5.0000000000000001E-3</v>
      </c>
      <c r="E15" s="191">
        <f>C15*D15</f>
        <v>0</v>
      </c>
      <c r="F15" s="189"/>
      <c r="G15" s="189"/>
      <c r="H15" s="189"/>
      <c r="I15" s="189"/>
      <c r="J15" s="189"/>
      <c r="K15" s="189"/>
      <c r="L15" s="189"/>
      <c r="M15" s="189"/>
      <c r="N15" s="114">
        <f>SUMPRODUCT($F$6:$M$6,F15:M15)</f>
        <v>0</v>
      </c>
    </row>
    <row r="16" spans="1:14">
      <c r="A16" s="113">
        <v>2.2000000000000002</v>
      </c>
      <c r="B16" s="75" t="s">
        <v>77</v>
      </c>
      <c r="C16" s="189"/>
      <c r="D16" s="74">
        <v>0.01</v>
      </c>
      <c r="E16" s="191">
        <f>C16*D16</f>
        <v>0</v>
      </c>
      <c r="F16" s="189"/>
      <c r="G16" s="189"/>
      <c r="H16" s="189"/>
      <c r="I16" s="189"/>
      <c r="J16" s="189"/>
      <c r="K16" s="189"/>
      <c r="L16" s="189"/>
      <c r="M16" s="189"/>
      <c r="N16" s="114">
        <f t="shared" ref="N16:N20" si="3">SUMPRODUCT($F$6:$M$6,F16:M16)</f>
        <v>0</v>
      </c>
    </row>
    <row r="17" spans="1:14">
      <c r="A17" s="113">
        <v>2.2999999999999998</v>
      </c>
      <c r="B17" s="75" t="s">
        <v>78</v>
      </c>
      <c r="C17" s="189"/>
      <c r="D17" s="74">
        <v>0.02</v>
      </c>
      <c r="E17" s="191">
        <f>C17*D17</f>
        <v>0</v>
      </c>
      <c r="F17" s="189"/>
      <c r="G17" s="189"/>
      <c r="H17" s="189"/>
      <c r="I17" s="189"/>
      <c r="J17" s="189"/>
      <c r="K17" s="189"/>
      <c r="L17" s="189"/>
      <c r="M17" s="189"/>
      <c r="N17" s="114">
        <f t="shared" si="3"/>
        <v>0</v>
      </c>
    </row>
    <row r="18" spans="1:14">
      <c r="A18" s="113">
        <v>2.4</v>
      </c>
      <c r="B18" s="75" t="s">
        <v>79</v>
      </c>
      <c r="C18" s="189"/>
      <c r="D18" s="74">
        <v>0.03</v>
      </c>
      <c r="E18" s="191">
        <f>C18*D18</f>
        <v>0</v>
      </c>
      <c r="F18" s="189"/>
      <c r="G18" s="189"/>
      <c r="H18" s="189"/>
      <c r="I18" s="189"/>
      <c r="J18" s="189"/>
      <c r="K18" s="189"/>
      <c r="L18" s="189"/>
      <c r="M18" s="189"/>
      <c r="N18" s="114">
        <f t="shared" si="3"/>
        <v>0</v>
      </c>
    </row>
    <row r="19" spans="1:14">
      <c r="A19" s="113">
        <v>2.5</v>
      </c>
      <c r="B19" s="75" t="s">
        <v>80</v>
      </c>
      <c r="C19" s="189"/>
      <c r="D19" s="74">
        <v>0.04</v>
      </c>
      <c r="E19" s="191">
        <f>C19*D19</f>
        <v>0</v>
      </c>
      <c r="F19" s="189"/>
      <c r="G19" s="189"/>
      <c r="H19" s="189"/>
      <c r="I19" s="189"/>
      <c r="J19" s="189"/>
      <c r="K19" s="189"/>
      <c r="L19" s="189"/>
      <c r="M19" s="189"/>
      <c r="N19" s="114">
        <f t="shared" si="3"/>
        <v>0</v>
      </c>
    </row>
    <row r="20" spans="1:14">
      <c r="A20" s="113">
        <v>2.6</v>
      </c>
      <c r="B20" s="75" t="s">
        <v>81</v>
      </c>
      <c r="C20" s="189"/>
      <c r="D20" s="76"/>
      <c r="E20" s="192"/>
      <c r="F20" s="189"/>
      <c r="G20" s="189"/>
      <c r="H20" s="189"/>
      <c r="I20" s="189"/>
      <c r="J20" s="189"/>
      <c r="K20" s="189"/>
      <c r="L20" s="189"/>
      <c r="M20" s="189"/>
      <c r="N20" s="114">
        <f t="shared" si="3"/>
        <v>0</v>
      </c>
    </row>
    <row r="21" spans="1:14" ht="15.75" thickBot="1">
      <c r="A21" s="115">
        <v>3</v>
      </c>
      <c r="B21" s="116" t="s">
        <v>66</v>
      </c>
      <c r="C21" s="190">
        <f>C14+C7</f>
        <v>67397000</v>
      </c>
      <c r="D21" s="117"/>
      <c r="E21" s="193">
        <f>E14+E7</f>
        <v>1347940</v>
      </c>
      <c r="F21" s="194">
        <f>F7+F14</f>
        <v>1347940</v>
      </c>
      <c r="G21" s="194">
        <f t="shared" ref="G21:L21" si="4">G7+G14</f>
        <v>0</v>
      </c>
      <c r="H21" s="194">
        <f t="shared" si="4"/>
        <v>0</v>
      </c>
      <c r="I21" s="194">
        <f t="shared" si="4"/>
        <v>0</v>
      </c>
      <c r="J21" s="194">
        <f t="shared" si="4"/>
        <v>0</v>
      </c>
      <c r="K21" s="194">
        <f t="shared" si="4"/>
        <v>0</v>
      </c>
      <c r="L21" s="194">
        <f t="shared" si="4"/>
        <v>0</v>
      </c>
      <c r="M21" s="194">
        <f>M7+M14</f>
        <v>0</v>
      </c>
      <c r="N21" s="118">
        <f>N14+N7</f>
        <v>0</v>
      </c>
    </row>
    <row r="22" spans="1:14">
      <c r="E22" s="195"/>
      <c r="F22" s="195"/>
      <c r="G22" s="195"/>
      <c r="H22" s="195"/>
      <c r="I22" s="195"/>
      <c r="J22" s="195"/>
      <c r="K22" s="195"/>
      <c r="L22" s="195"/>
      <c r="M22" s="19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E38" sqref="E38"/>
    </sheetView>
  </sheetViews>
  <sheetFormatPr defaultRowHeight="15"/>
  <cols>
    <col min="1" max="1" width="11.42578125" customWidth="1"/>
    <col min="2" max="2" width="76.85546875" style="4" customWidth="1"/>
    <col min="3" max="3" width="22.85546875" customWidth="1"/>
    <col min="5" max="5" width="16" bestFit="1" customWidth="1"/>
    <col min="6" max="6" width="15.28515625" bestFit="1" customWidth="1"/>
  </cols>
  <sheetData>
    <row r="1" spans="1:3">
      <c r="A1" s="234" t="s">
        <v>108</v>
      </c>
      <c r="B1" t="str">
        <f>Info!C2</f>
        <v>სს "ბაზისბანკი"</v>
      </c>
    </row>
    <row r="2" spans="1:3">
      <c r="A2" s="234" t="s">
        <v>109</v>
      </c>
      <c r="B2" s="354">
        <f>'1. key ratios'!B2</f>
        <v>45016</v>
      </c>
    </row>
    <row r="3" spans="1:3">
      <c r="A3" s="234"/>
      <c r="B3"/>
    </row>
    <row r="4" spans="1:3">
      <c r="A4" s="234" t="s">
        <v>320</v>
      </c>
      <c r="B4" t="s">
        <v>279</v>
      </c>
    </row>
    <row r="5" spans="1:3">
      <c r="A5" s="287"/>
      <c r="B5" s="287" t="s">
        <v>280</v>
      </c>
      <c r="C5" s="299"/>
    </row>
    <row r="6" spans="1:3">
      <c r="A6" s="288">
        <v>1</v>
      </c>
      <c r="B6" s="300" t="s">
        <v>329</v>
      </c>
      <c r="C6" s="301">
        <v>3109257416.2923636</v>
      </c>
    </row>
    <row r="7" spans="1:3">
      <c r="A7" s="288">
        <v>2</v>
      </c>
      <c r="B7" s="300" t="s">
        <v>281</v>
      </c>
      <c r="C7" s="301">
        <f>-'9. Capital'!C12</f>
        <v>-28329360.386399999</v>
      </c>
    </row>
    <row r="8" spans="1:3">
      <c r="A8" s="289">
        <v>3</v>
      </c>
      <c r="B8" s="302" t="s">
        <v>282</v>
      </c>
      <c r="C8" s="303">
        <f>C6+C7</f>
        <v>3080928055.9059634</v>
      </c>
    </row>
    <row r="9" spans="1:3">
      <c r="A9" s="290"/>
      <c r="B9" s="290" t="s">
        <v>283</v>
      </c>
      <c r="C9" s="304"/>
    </row>
    <row r="10" spans="1:3">
      <c r="A10" s="291">
        <v>4</v>
      </c>
      <c r="B10" s="305" t="s">
        <v>284</v>
      </c>
      <c r="C10" s="301"/>
    </row>
    <row r="11" spans="1:3">
      <c r="A11" s="291">
        <v>5</v>
      </c>
      <c r="B11" s="306" t="s">
        <v>285</v>
      </c>
      <c r="C11" s="301"/>
    </row>
    <row r="12" spans="1:3">
      <c r="A12" s="291" t="s">
        <v>286</v>
      </c>
      <c r="B12" s="300" t="s">
        <v>287</v>
      </c>
      <c r="C12" s="303">
        <f>'15. CCR'!E21</f>
        <v>1347940</v>
      </c>
    </row>
    <row r="13" spans="1:3">
      <c r="A13" s="292">
        <v>6</v>
      </c>
      <c r="B13" s="307" t="s">
        <v>288</v>
      </c>
      <c r="C13" s="301"/>
    </row>
    <row r="14" spans="1:3">
      <c r="A14" s="292">
        <v>7</v>
      </c>
      <c r="B14" s="308" t="s">
        <v>289</v>
      </c>
      <c r="C14" s="301"/>
    </row>
    <row r="15" spans="1:3">
      <c r="A15" s="293">
        <v>8</v>
      </c>
      <c r="B15" s="300" t="s">
        <v>290</v>
      </c>
      <c r="C15" s="301"/>
    </row>
    <row r="16" spans="1:3" ht="24">
      <c r="A16" s="292">
        <v>9</v>
      </c>
      <c r="B16" s="308" t="s">
        <v>291</v>
      </c>
      <c r="C16" s="301"/>
    </row>
    <row r="17" spans="1:6">
      <c r="A17" s="292">
        <v>10</v>
      </c>
      <c r="B17" s="308" t="s">
        <v>292</v>
      </c>
      <c r="C17" s="301"/>
    </row>
    <row r="18" spans="1:6">
      <c r="A18" s="294">
        <v>11</v>
      </c>
      <c r="B18" s="309" t="s">
        <v>293</v>
      </c>
      <c r="C18" s="303">
        <f>SUM(C10:C17)</f>
        <v>1347940</v>
      </c>
    </row>
    <row r="19" spans="1:6">
      <c r="A19" s="290"/>
      <c r="B19" s="290" t="s">
        <v>294</v>
      </c>
      <c r="C19" s="310"/>
    </row>
    <row r="20" spans="1:6">
      <c r="A20" s="292">
        <v>12</v>
      </c>
      <c r="B20" s="305" t="s">
        <v>295</v>
      </c>
      <c r="C20" s="301"/>
    </row>
    <row r="21" spans="1:6">
      <c r="A21" s="292">
        <v>13</v>
      </c>
      <c r="B21" s="305" t="s">
        <v>296</v>
      </c>
      <c r="C21" s="301"/>
    </row>
    <row r="22" spans="1:6">
      <c r="A22" s="292">
        <v>14</v>
      </c>
      <c r="B22" s="305" t="s">
        <v>297</v>
      </c>
      <c r="C22" s="301"/>
    </row>
    <row r="23" spans="1:6" ht="24">
      <c r="A23" s="292" t="s">
        <v>298</v>
      </c>
      <c r="B23" s="305" t="s">
        <v>299</v>
      </c>
      <c r="C23" s="301"/>
    </row>
    <row r="24" spans="1:6">
      <c r="A24" s="292">
        <v>15</v>
      </c>
      <c r="B24" s="305" t="s">
        <v>300</v>
      </c>
      <c r="C24" s="301"/>
    </row>
    <row r="25" spans="1:6">
      <c r="A25" s="292" t="s">
        <v>301</v>
      </c>
      <c r="B25" s="300" t="s">
        <v>302</v>
      </c>
      <c r="C25" s="301"/>
    </row>
    <row r="26" spans="1:6">
      <c r="A26" s="294">
        <v>16</v>
      </c>
      <c r="B26" s="309" t="s">
        <v>303</v>
      </c>
      <c r="C26" s="303">
        <f>SUM(C20:C25)</f>
        <v>0</v>
      </c>
    </row>
    <row r="27" spans="1:6">
      <c r="A27" s="290"/>
      <c r="B27" s="290" t="s">
        <v>304</v>
      </c>
      <c r="C27" s="304"/>
    </row>
    <row r="28" spans="1:6">
      <c r="A28" s="291">
        <v>17</v>
      </c>
      <c r="B28" s="300" t="s">
        <v>305</v>
      </c>
      <c r="C28" s="301">
        <f>'8. LI2'!C6</f>
        <v>496413254.32539999</v>
      </c>
      <c r="E28" s="646"/>
      <c r="F28" s="647"/>
    </row>
    <row r="29" spans="1:6">
      <c r="A29" s="291">
        <v>18</v>
      </c>
      <c r="B29" s="300" t="s">
        <v>306</v>
      </c>
      <c r="C29" s="301">
        <f>'8. LI2'!C10</f>
        <v>-193310271.64946002</v>
      </c>
      <c r="E29" s="646"/>
    </row>
    <row r="30" spans="1:6">
      <c r="A30" s="294">
        <v>19</v>
      </c>
      <c r="B30" s="309" t="s">
        <v>307</v>
      </c>
      <c r="C30" s="303">
        <f>C28+C29</f>
        <v>303102982.67593998</v>
      </c>
    </row>
    <row r="31" spans="1:6">
      <c r="A31" s="295"/>
      <c r="B31" s="290" t="s">
        <v>308</v>
      </c>
      <c r="C31" s="304"/>
    </row>
    <row r="32" spans="1:6">
      <c r="A32" s="291" t="s">
        <v>309</v>
      </c>
      <c r="B32" s="305" t="s">
        <v>310</v>
      </c>
      <c r="C32" s="311"/>
    </row>
    <row r="33" spans="1:5">
      <c r="A33" s="291" t="s">
        <v>311</v>
      </c>
      <c r="B33" s="306" t="s">
        <v>312</v>
      </c>
      <c r="C33" s="311"/>
    </row>
    <row r="34" spans="1:5">
      <c r="A34" s="290"/>
      <c r="B34" s="290" t="s">
        <v>313</v>
      </c>
      <c r="C34" s="304"/>
    </row>
    <row r="35" spans="1:5">
      <c r="A35" s="294">
        <v>20</v>
      </c>
      <c r="B35" s="309" t="s">
        <v>86</v>
      </c>
      <c r="C35" s="303">
        <f>'1. key ratios'!C9</f>
        <v>429272896.98155671</v>
      </c>
      <c r="E35" s="594"/>
    </row>
    <row r="36" spans="1:5">
      <c r="A36" s="294">
        <v>21</v>
      </c>
      <c r="B36" s="309" t="s">
        <v>314</v>
      </c>
      <c r="C36" s="303">
        <f>C8+C18+C26+C30</f>
        <v>3385378978.5819035</v>
      </c>
      <c r="E36" s="594"/>
    </row>
    <row r="37" spans="1:5">
      <c r="A37" s="296"/>
      <c r="B37" s="296" t="s">
        <v>279</v>
      </c>
      <c r="C37" s="304"/>
    </row>
    <row r="38" spans="1:5">
      <c r="A38" s="294">
        <v>22</v>
      </c>
      <c r="B38" s="309" t="s">
        <v>279</v>
      </c>
      <c r="C38" s="725">
        <f>IFERROR(C35/C36,0)</f>
        <v>0.12680202119095518</v>
      </c>
    </row>
    <row r="39" spans="1:5">
      <c r="A39" s="296"/>
      <c r="B39" s="296" t="s">
        <v>315</v>
      </c>
      <c r="C39" s="304"/>
    </row>
    <row r="40" spans="1:5">
      <c r="A40" s="297" t="s">
        <v>316</v>
      </c>
      <c r="B40" s="305" t="s">
        <v>317</v>
      </c>
      <c r="C40" s="311"/>
    </row>
    <row r="41" spans="1:5">
      <c r="A41" s="298" t="s">
        <v>318</v>
      </c>
      <c r="B41" s="306" t="s">
        <v>319</v>
      </c>
      <c r="C41" s="311"/>
    </row>
    <row r="43" spans="1:5">
      <c r="B43" s="320" t="s">
        <v>330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90" zoomScaleNormal="90" workbookViewId="0">
      <pane xSplit="2" ySplit="6" topLeftCell="C25" activePane="bottomRight" state="frozen"/>
      <selection pane="topRight" activeCell="C1" sqref="C1"/>
      <selection pane="bottomLeft" activeCell="A7" sqref="A7"/>
      <selection pane="bottomRight" activeCell="D49" sqref="D49"/>
    </sheetView>
  </sheetViews>
  <sheetFormatPr defaultRowHeight="15"/>
  <cols>
    <col min="1" max="1" width="9.85546875" style="234" bestFit="1" customWidth="1"/>
    <col min="2" max="2" width="82.5703125" style="22" customWidth="1"/>
    <col min="3" max="7" width="17.42578125" style="234" customWidth="1"/>
  </cols>
  <sheetData>
    <row r="1" spans="1:14">
      <c r="A1" s="234" t="s">
        <v>108</v>
      </c>
      <c r="B1" s="234" t="str">
        <f>Info!C2</f>
        <v>სს "ბაზისბანკი"</v>
      </c>
    </row>
    <row r="2" spans="1:14">
      <c r="A2" s="234" t="s">
        <v>109</v>
      </c>
      <c r="B2" s="354">
        <f>'1. key ratios'!B2</f>
        <v>45016</v>
      </c>
    </row>
    <row r="3" spans="1:14">
      <c r="B3" s="354"/>
    </row>
    <row r="4" spans="1:14" ht="15.75" thickBot="1">
      <c r="A4" s="234" t="s">
        <v>377</v>
      </c>
      <c r="B4" s="355" t="s">
        <v>342</v>
      </c>
    </row>
    <row r="5" spans="1:14">
      <c r="A5" s="356"/>
      <c r="B5" s="357"/>
      <c r="C5" s="823" t="s">
        <v>343</v>
      </c>
      <c r="D5" s="823"/>
      <c r="E5" s="823"/>
      <c r="F5" s="823"/>
      <c r="G5" s="824" t="s">
        <v>344</v>
      </c>
    </row>
    <row r="6" spans="1:14">
      <c r="A6" s="358"/>
      <c r="B6" s="359"/>
      <c r="C6" s="360" t="s">
        <v>345</v>
      </c>
      <c r="D6" s="361" t="s">
        <v>346</v>
      </c>
      <c r="E6" s="361" t="s">
        <v>347</v>
      </c>
      <c r="F6" s="361" t="s">
        <v>348</v>
      </c>
      <c r="G6" s="825"/>
    </row>
    <row r="7" spans="1:14">
      <c r="A7" s="362"/>
      <c r="B7" s="363" t="s">
        <v>349</v>
      </c>
      <c r="C7" s="364"/>
      <c r="D7" s="364"/>
      <c r="E7" s="364"/>
      <c r="F7" s="364"/>
      <c r="G7" s="365"/>
    </row>
    <row r="8" spans="1:14">
      <c r="A8" s="366">
        <v>1</v>
      </c>
      <c r="B8" s="367" t="s">
        <v>350</v>
      </c>
      <c r="C8" s="368">
        <f>SUM(C9:C10)</f>
        <v>429272896.98155671</v>
      </c>
      <c r="D8" s="368">
        <f>SUM(D9:D10)</f>
        <v>0</v>
      </c>
      <c r="E8" s="368">
        <f>SUM(E9:E10)</f>
        <v>0</v>
      </c>
      <c r="F8" s="368">
        <f>SUM(F9:F10)</f>
        <v>468297729.98581994</v>
      </c>
      <c r="G8" s="369">
        <f>SUM(G9:G10)</f>
        <v>897570626.96737671</v>
      </c>
      <c r="I8" s="594"/>
      <c r="J8" s="594"/>
      <c r="K8" s="594"/>
      <c r="L8" s="594"/>
      <c r="M8" s="594"/>
      <c r="N8" s="594"/>
    </row>
    <row r="9" spans="1:14">
      <c r="A9" s="366">
        <v>2</v>
      </c>
      <c r="B9" s="370" t="s">
        <v>85</v>
      </c>
      <c r="C9" s="368">
        <v>429272896.98155671</v>
      </c>
      <c r="D9" s="368">
        <v>0</v>
      </c>
      <c r="E9" s="368">
        <v>0</v>
      </c>
      <c r="F9" s="368">
        <v>74924576</v>
      </c>
      <c r="G9" s="369">
        <v>504197472.98155671</v>
      </c>
      <c r="I9" s="594"/>
      <c r="J9" s="594"/>
      <c r="K9" s="594"/>
      <c r="L9" s="594"/>
      <c r="M9" s="594"/>
    </row>
    <row r="10" spans="1:14">
      <c r="A10" s="366">
        <v>3</v>
      </c>
      <c r="B10" s="370" t="s">
        <v>351</v>
      </c>
      <c r="C10" s="371"/>
      <c r="D10" s="371"/>
      <c r="E10" s="371"/>
      <c r="F10" s="368">
        <v>393373153.98581994</v>
      </c>
      <c r="G10" s="369">
        <v>393373153.98581994</v>
      </c>
      <c r="I10" s="594"/>
      <c r="J10" s="594"/>
      <c r="K10" s="594"/>
      <c r="L10" s="594"/>
      <c r="M10" s="594"/>
    </row>
    <row r="11" spans="1:14" ht="26.25">
      <c r="A11" s="366">
        <v>4</v>
      </c>
      <c r="B11" s="367" t="s">
        <v>352</v>
      </c>
      <c r="C11" s="368">
        <f t="shared" ref="C11:F11" si="0">SUM(C12:C13)</f>
        <v>302991430.27929926</v>
      </c>
      <c r="D11" s="368">
        <f t="shared" si="0"/>
        <v>301505297.06908995</v>
      </c>
      <c r="E11" s="368">
        <f t="shared" si="0"/>
        <v>157503685.20291996</v>
      </c>
      <c r="F11" s="368">
        <f t="shared" si="0"/>
        <v>0</v>
      </c>
      <c r="G11" s="369">
        <f>SUM(G12:G13)</f>
        <v>666832193.0194689</v>
      </c>
      <c r="I11" s="594"/>
      <c r="J11" s="594"/>
      <c r="K11" s="594"/>
      <c r="L11" s="594"/>
      <c r="M11" s="594"/>
    </row>
    <row r="12" spans="1:14">
      <c r="A12" s="366">
        <v>5</v>
      </c>
      <c r="B12" s="370" t="s">
        <v>353</v>
      </c>
      <c r="C12" s="368">
        <v>245259227.81889924</v>
      </c>
      <c r="D12" s="372">
        <v>253868142.20449996</v>
      </c>
      <c r="E12" s="368">
        <v>136054822.74062997</v>
      </c>
      <c r="F12" s="368">
        <v>0</v>
      </c>
      <c r="G12" s="369">
        <v>603423083.12582886</v>
      </c>
      <c r="I12" s="594"/>
      <c r="J12" s="594"/>
      <c r="K12" s="594"/>
      <c r="L12" s="594"/>
      <c r="M12" s="594"/>
    </row>
    <row r="13" spans="1:14">
      <c r="A13" s="366">
        <v>6</v>
      </c>
      <c r="B13" s="370" t="s">
        <v>354</v>
      </c>
      <c r="C13" s="368">
        <v>57732202.46040003</v>
      </c>
      <c r="D13" s="372">
        <v>47637154.864589997</v>
      </c>
      <c r="E13" s="368">
        <v>21448862.46229</v>
      </c>
      <c r="F13" s="368">
        <v>0</v>
      </c>
      <c r="G13" s="369">
        <v>63409109.893639989</v>
      </c>
      <c r="I13" s="594"/>
      <c r="J13" s="594"/>
      <c r="K13" s="594"/>
      <c r="L13" s="594"/>
      <c r="M13" s="594"/>
    </row>
    <row r="14" spans="1:14">
      <c r="A14" s="366">
        <v>7</v>
      </c>
      <c r="B14" s="367" t="s">
        <v>355</v>
      </c>
      <c r="C14" s="368">
        <f t="shared" ref="C14:F14" si="1">SUM(C15:C16)</f>
        <v>520815139.02867031</v>
      </c>
      <c r="D14" s="368">
        <f t="shared" si="1"/>
        <v>643260007.10258007</v>
      </c>
      <c r="E14" s="368">
        <f t="shared" si="1"/>
        <v>188507190.59431997</v>
      </c>
      <c r="F14" s="368">
        <f t="shared" si="1"/>
        <v>0</v>
      </c>
      <c r="G14" s="369">
        <f>SUM(G15:G16)</f>
        <v>469221844.89184463</v>
      </c>
      <c r="I14" s="594"/>
      <c r="J14" s="594"/>
      <c r="K14" s="594"/>
      <c r="L14" s="594"/>
      <c r="M14" s="594"/>
    </row>
    <row r="15" spans="1:14" ht="51.75">
      <c r="A15" s="366">
        <v>8</v>
      </c>
      <c r="B15" s="370" t="s">
        <v>356</v>
      </c>
      <c r="C15" s="368">
        <v>469230885.12151033</v>
      </c>
      <c r="D15" s="372">
        <v>282034710.6681</v>
      </c>
      <c r="E15" s="368">
        <v>109580166.70884</v>
      </c>
      <c r="F15" s="368">
        <v>0</v>
      </c>
      <c r="G15" s="369">
        <v>430422881.24922466</v>
      </c>
      <c r="I15" s="594"/>
      <c r="J15" s="594"/>
      <c r="K15" s="594"/>
      <c r="L15" s="594"/>
      <c r="M15" s="594"/>
    </row>
    <row r="16" spans="1:14" ht="26.25">
      <c r="A16" s="366">
        <v>9</v>
      </c>
      <c r="B16" s="370" t="s">
        <v>357</v>
      </c>
      <c r="C16" s="368">
        <v>51584253.907159992</v>
      </c>
      <c r="D16" s="372">
        <v>361225296.43448007</v>
      </c>
      <c r="E16" s="368">
        <v>78927023.885479972</v>
      </c>
      <c r="F16" s="368">
        <v>0</v>
      </c>
      <c r="G16" s="369">
        <v>38798963.642619997</v>
      </c>
      <c r="I16" s="594"/>
      <c r="J16" s="594"/>
      <c r="K16" s="594"/>
      <c r="L16" s="594"/>
      <c r="M16" s="594"/>
    </row>
    <row r="17" spans="1:13">
      <c r="A17" s="366">
        <v>10</v>
      </c>
      <c r="B17" s="367" t="s">
        <v>358</v>
      </c>
      <c r="C17" s="368"/>
      <c r="D17" s="372"/>
      <c r="E17" s="368"/>
      <c r="F17" s="368"/>
      <c r="G17" s="369"/>
      <c r="I17" s="594"/>
      <c r="J17" s="594"/>
      <c r="K17" s="594"/>
      <c r="L17" s="594"/>
      <c r="M17" s="594"/>
    </row>
    <row r="18" spans="1:13">
      <c r="A18" s="366">
        <v>11</v>
      </c>
      <c r="B18" s="367" t="s">
        <v>89</v>
      </c>
      <c r="C18" s="368">
        <f>SUM(C19:C20)</f>
        <v>487872976.92582583</v>
      </c>
      <c r="D18" s="372">
        <f t="shared" ref="D18:G18" si="2">SUM(D19:D20)</f>
        <v>18421517.189580005</v>
      </c>
      <c r="E18" s="368">
        <f t="shared" si="2"/>
        <v>4739059.8972000005</v>
      </c>
      <c r="F18" s="368">
        <f t="shared" si="2"/>
        <v>14298050.064579984</v>
      </c>
      <c r="G18" s="369">
        <f t="shared" si="2"/>
        <v>0</v>
      </c>
      <c r="I18" s="594"/>
      <c r="J18" s="594"/>
      <c r="K18" s="594"/>
      <c r="L18" s="594"/>
      <c r="M18" s="594"/>
    </row>
    <row r="19" spans="1:13">
      <c r="A19" s="366">
        <v>12</v>
      </c>
      <c r="B19" s="370" t="s">
        <v>359</v>
      </c>
      <c r="C19" s="371"/>
      <c r="D19" s="372">
        <v>2505000</v>
      </c>
      <c r="E19" s="368"/>
      <c r="F19" s="368"/>
      <c r="G19" s="369"/>
      <c r="I19" s="594"/>
      <c r="J19" s="594"/>
      <c r="K19" s="594"/>
      <c r="L19" s="594"/>
      <c r="M19" s="594"/>
    </row>
    <row r="20" spans="1:13" ht="26.25">
      <c r="A20" s="366">
        <v>13</v>
      </c>
      <c r="B20" s="370" t="s">
        <v>360</v>
      </c>
      <c r="C20" s="368">
        <v>487872976.92582583</v>
      </c>
      <c r="D20" s="368">
        <v>15916517.189580005</v>
      </c>
      <c r="E20" s="368">
        <v>4739059.8972000005</v>
      </c>
      <c r="F20" s="368">
        <v>14298050.064579984</v>
      </c>
      <c r="G20" s="369"/>
      <c r="I20" s="594"/>
      <c r="J20" s="594"/>
      <c r="K20" s="594"/>
      <c r="L20" s="594"/>
      <c r="M20" s="594"/>
    </row>
    <row r="21" spans="1:13">
      <c r="A21" s="373">
        <v>14</v>
      </c>
      <c r="B21" s="374" t="s">
        <v>361</v>
      </c>
      <c r="C21" s="726">
        <f>SUM(C8,C11,C14,C17,C19)</f>
        <v>1253079466.2895262</v>
      </c>
      <c r="D21" s="726">
        <f>SUM(D8,D11,D14,D17,D18)</f>
        <v>963186821.36124992</v>
      </c>
      <c r="E21" s="726">
        <f>SUM(E8,E11,E14,E17,E18)</f>
        <v>350749935.69443989</v>
      </c>
      <c r="F21" s="726">
        <f>SUM(F8,F11,F14,F17,F18)</f>
        <v>482595780.0503999</v>
      </c>
      <c r="G21" s="375">
        <f>SUM(G8,G11,G14,G17,G18)</f>
        <v>2033624664.8786902</v>
      </c>
      <c r="I21" s="594"/>
      <c r="J21" s="594"/>
      <c r="K21" s="594"/>
      <c r="L21" s="594"/>
      <c r="M21" s="594"/>
    </row>
    <row r="22" spans="1:13">
      <c r="A22" s="376"/>
      <c r="B22" s="395" t="s">
        <v>362</v>
      </c>
      <c r="C22" s="377"/>
      <c r="D22" s="378"/>
      <c r="E22" s="377"/>
      <c r="F22" s="377"/>
      <c r="G22" s="379"/>
      <c r="I22" s="594"/>
      <c r="J22" s="594"/>
      <c r="K22" s="594"/>
      <c r="L22" s="594"/>
      <c r="M22" s="594"/>
    </row>
    <row r="23" spans="1:13">
      <c r="A23" s="366">
        <v>15</v>
      </c>
      <c r="B23" s="367" t="s">
        <v>224</v>
      </c>
      <c r="C23" s="380">
        <v>257954993.31589991</v>
      </c>
      <c r="D23" s="381">
        <v>125097806.94687</v>
      </c>
      <c r="E23" s="380">
        <v>50397500</v>
      </c>
      <c r="F23" s="380">
        <v>277265500</v>
      </c>
      <c r="G23" s="369">
        <v>19101926.792955503</v>
      </c>
      <c r="I23" s="594"/>
      <c r="J23" s="594"/>
      <c r="K23" s="594"/>
      <c r="L23" s="594"/>
      <c r="M23" s="594"/>
    </row>
    <row r="24" spans="1:13">
      <c r="A24" s="366">
        <v>16</v>
      </c>
      <c r="B24" s="367" t="s">
        <v>363</v>
      </c>
      <c r="C24" s="368">
        <f>SUM(C25:C27,C29,C31)</f>
        <v>3876964.6580185401</v>
      </c>
      <c r="D24" s="372">
        <f t="shared" ref="D24:G24" si="3">SUM(D25:D27,D29,D31)</f>
        <v>323966339.5487138</v>
      </c>
      <c r="E24" s="368">
        <f t="shared" si="3"/>
        <v>280427605.40048862</v>
      </c>
      <c r="F24" s="368">
        <f t="shared" si="3"/>
        <v>1216498232.6391485</v>
      </c>
      <c r="G24" s="369">
        <f t="shared" si="3"/>
        <v>1278209987.5988572</v>
      </c>
      <c r="I24" s="594"/>
      <c r="J24" s="594"/>
      <c r="K24" s="594"/>
      <c r="L24" s="594"/>
      <c r="M24" s="594"/>
    </row>
    <row r="25" spans="1:13" ht="26.25">
      <c r="A25" s="366">
        <v>17</v>
      </c>
      <c r="B25" s="370" t="s">
        <v>364</v>
      </c>
      <c r="C25" s="368">
        <v>0.02</v>
      </c>
      <c r="D25" s="372">
        <v>33734795.949540004</v>
      </c>
      <c r="E25" s="368">
        <v>21337215.117850002</v>
      </c>
      <c r="F25" s="368">
        <v>0</v>
      </c>
      <c r="G25" s="369">
        <v>8260801.6631084997</v>
      </c>
      <c r="I25" s="594"/>
      <c r="J25" s="594"/>
      <c r="K25" s="594"/>
      <c r="L25" s="594"/>
      <c r="M25" s="594"/>
    </row>
    <row r="26" spans="1:13" ht="26.25">
      <c r="A26" s="366">
        <v>18</v>
      </c>
      <c r="B26" s="370" t="s">
        <v>365</v>
      </c>
      <c r="C26" s="368">
        <v>0</v>
      </c>
      <c r="D26" s="372">
        <v>0</v>
      </c>
      <c r="E26" s="368">
        <v>0</v>
      </c>
      <c r="F26" s="368">
        <v>0</v>
      </c>
      <c r="G26" s="369">
        <v>0</v>
      </c>
      <c r="I26" s="594"/>
      <c r="J26" s="594"/>
      <c r="K26" s="594"/>
      <c r="L26" s="594"/>
      <c r="M26" s="594"/>
    </row>
    <row r="27" spans="1:13">
      <c r="A27" s="366">
        <v>19</v>
      </c>
      <c r="B27" s="370" t="s">
        <v>366</v>
      </c>
      <c r="C27" s="368">
        <v>3876824.9895430999</v>
      </c>
      <c r="D27" s="372">
        <v>269684748.3117106</v>
      </c>
      <c r="E27" s="368">
        <v>240181723.78265578</v>
      </c>
      <c r="F27" s="368">
        <v>979969248.16187763</v>
      </c>
      <c r="G27" s="369">
        <v>1089845509.4795632</v>
      </c>
      <c r="I27" s="594"/>
      <c r="J27" s="594"/>
      <c r="K27" s="594"/>
      <c r="L27" s="594"/>
      <c r="M27" s="594"/>
    </row>
    <row r="28" spans="1:13">
      <c r="A28" s="366">
        <v>20</v>
      </c>
      <c r="B28" s="382" t="s">
        <v>367</v>
      </c>
      <c r="C28" s="368"/>
      <c r="D28" s="372"/>
      <c r="E28" s="368"/>
      <c r="F28" s="368"/>
      <c r="G28" s="369"/>
      <c r="I28" s="594"/>
      <c r="J28" s="594"/>
      <c r="K28" s="594"/>
      <c r="L28" s="594"/>
      <c r="M28" s="594"/>
    </row>
    <row r="29" spans="1:13">
      <c r="A29" s="366">
        <v>21</v>
      </c>
      <c r="B29" s="370" t="s">
        <v>368</v>
      </c>
      <c r="C29" s="368">
        <v>139.62847543999999</v>
      </c>
      <c r="D29" s="372">
        <v>17426243.04746319</v>
      </c>
      <c r="E29" s="368">
        <v>15228561.52998279</v>
      </c>
      <c r="F29" s="368">
        <v>203368805.33727062</v>
      </c>
      <c r="G29" s="369">
        <v>148517195.57218519</v>
      </c>
      <c r="I29" s="594"/>
      <c r="J29" s="594"/>
      <c r="K29" s="594"/>
      <c r="L29" s="594"/>
      <c r="M29" s="594"/>
    </row>
    <row r="30" spans="1:13">
      <c r="A30" s="366">
        <v>22</v>
      </c>
      <c r="B30" s="382" t="s">
        <v>367</v>
      </c>
      <c r="C30" s="368">
        <v>139.62847543999999</v>
      </c>
      <c r="D30" s="372">
        <v>17426243.04746319</v>
      </c>
      <c r="E30" s="368">
        <v>15228561.52998279</v>
      </c>
      <c r="F30" s="368">
        <v>203368805.33727062</v>
      </c>
      <c r="G30" s="369">
        <v>148517195.57218519</v>
      </c>
      <c r="I30" s="594"/>
      <c r="J30" s="594"/>
      <c r="K30" s="594"/>
      <c r="L30" s="594"/>
      <c r="M30" s="594"/>
    </row>
    <row r="31" spans="1:13" ht="26.25">
      <c r="A31" s="366">
        <v>23</v>
      </c>
      <c r="B31" s="370" t="s">
        <v>369</v>
      </c>
      <c r="C31" s="368">
        <v>0.02</v>
      </c>
      <c r="D31" s="372">
        <v>3120552.24</v>
      </c>
      <c r="E31" s="368">
        <v>3680104.97</v>
      </c>
      <c r="F31" s="368">
        <v>33160179.140000004</v>
      </c>
      <c r="G31" s="369">
        <v>31586480.884000011</v>
      </c>
      <c r="I31" s="594"/>
      <c r="J31" s="594"/>
      <c r="K31" s="594"/>
      <c r="L31" s="594"/>
      <c r="M31" s="594"/>
    </row>
    <row r="32" spans="1:13">
      <c r="A32" s="366">
        <v>24</v>
      </c>
      <c r="B32" s="367" t="s">
        <v>370</v>
      </c>
      <c r="C32" s="368">
        <v>0</v>
      </c>
      <c r="D32" s="372">
        <v>0</v>
      </c>
      <c r="E32" s="368">
        <v>0</v>
      </c>
      <c r="F32" s="368">
        <v>0</v>
      </c>
      <c r="G32" s="369">
        <v>0</v>
      </c>
      <c r="I32" s="594"/>
      <c r="J32" s="594"/>
      <c r="K32" s="594"/>
      <c r="L32" s="594"/>
      <c r="M32" s="594"/>
    </row>
    <row r="33" spans="1:13">
      <c r="A33" s="366">
        <v>25</v>
      </c>
      <c r="B33" s="367" t="s">
        <v>99</v>
      </c>
      <c r="C33" s="368">
        <f>SUM(C34:C35)</f>
        <v>500661727.32600451</v>
      </c>
      <c r="D33" s="368">
        <f>SUM(D34:D35)</f>
        <v>21806367.858807582</v>
      </c>
      <c r="E33" s="368">
        <f>SUM(E34:E35)</f>
        <v>26972833.836128302</v>
      </c>
      <c r="F33" s="368">
        <f>SUM(F34:F35)</f>
        <v>0</v>
      </c>
      <c r="G33" s="369">
        <f>SUM(G34:G35)</f>
        <v>405741848.56039602</v>
      </c>
      <c r="I33" s="594"/>
      <c r="J33" s="594"/>
      <c r="K33" s="594"/>
      <c r="L33" s="594"/>
      <c r="M33" s="594"/>
    </row>
    <row r="34" spans="1:13">
      <c r="A34" s="366">
        <v>26</v>
      </c>
      <c r="B34" s="370" t="s">
        <v>371</v>
      </c>
      <c r="C34" s="371"/>
      <c r="D34" s="372"/>
      <c r="E34" s="368"/>
      <c r="F34" s="368"/>
      <c r="G34" s="369"/>
      <c r="I34" s="594"/>
      <c r="J34" s="594"/>
      <c r="K34" s="594"/>
      <c r="L34" s="594"/>
      <c r="M34" s="594"/>
    </row>
    <row r="35" spans="1:13">
      <c r="A35" s="366">
        <v>27</v>
      </c>
      <c r="B35" s="370" t="s">
        <v>372</v>
      </c>
      <c r="C35" s="368">
        <v>500661727.32600451</v>
      </c>
      <c r="D35" s="372">
        <v>21806367.858807582</v>
      </c>
      <c r="E35" s="368">
        <v>26972833.836128302</v>
      </c>
      <c r="F35" s="368"/>
      <c r="G35" s="369">
        <v>405741848.56039602</v>
      </c>
      <c r="I35" s="594"/>
      <c r="J35" s="594"/>
      <c r="K35" s="594"/>
      <c r="L35" s="594"/>
      <c r="M35" s="594"/>
    </row>
    <row r="36" spans="1:13">
      <c r="A36" s="366">
        <v>28</v>
      </c>
      <c r="B36" s="367" t="s">
        <v>373</v>
      </c>
      <c r="C36" s="368">
        <v>-11</v>
      </c>
      <c r="D36" s="372">
        <v>104728388.80457622</v>
      </c>
      <c r="E36" s="368">
        <v>109433051.88929135</v>
      </c>
      <c r="F36" s="368">
        <v>282453256.94180214</v>
      </c>
      <c r="G36" s="369">
        <v>37005936.953204207</v>
      </c>
      <c r="I36" s="594"/>
      <c r="J36" s="594"/>
      <c r="K36" s="594"/>
      <c r="L36" s="594"/>
      <c r="M36" s="594"/>
    </row>
    <row r="37" spans="1:13">
      <c r="A37" s="373">
        <v>29</v>
      </c>
      <c r="B37" s="374" t="s">
        <v>374</v>
      </c>
      <c r="C37" s="726">
        <f>SUM(C23:C24,C32,C34)</f>
        <v>261831957.97391844</v>
      </c>
      <c r="D37" s="726">
        <f>SUM(D23:D24,D32:D33,D36)</f>
        <v>575598903.15896749</v>
      </c>
      <c r="E37" s="726">
        <f>SUM(E23:E24,E32:E33,E36)</f>
        <v>467230991.12590826</v>
      </c>
      <c r="F37" s="726">
        <f>SUM(F23:F24,F32:F33,F36)</f>
        <v>1776216989.5809507</v>
      </c>
      <c r="G37" s="375">
        <f>SUM(G23:G24,G32:G33,G36)</f>
        <v>1740059699.9054127</v>
      </c>
      <c r="I37" s="594"/>
      <c r="J37" s="594"/>
      <c r="K37" s="594"/>
      <c r="L37" s="594"/>
      <c r="M37" s="594"/>
    </row>
    <row r="38" spans="1:13">
      <c r="A38" s="362"/>
      <c r="B38" s="383"/>
      <c r="C38" s="384"/>
      <c r="D38" s="384"/>
      <c r="E38" s="384"/>
      <c r="F38" s="384"/>
      <c r="G38" s="385"/>
      <c r="I38" s="594"/>
      <c r="J38" s="594"/>
      <c r="K38" s="594"/>
      <c r="L38" s="594"/>
      <c r="M38" s="594"/>
    </row>
    <row r="39" spans="1:13" ht="15.75" thickBot="1">
      <c r="A39" s="386">
        <v>30</v>
      </c>
      <c r="B39" s="387" t="s">
        <v>342</v>
      </c>
      <c r="C39" s="242"/>
      <c r="D39" s="225"/>
      <c r="E39" s="225"/>
      <c r="F39" s="388"/>
      <c r="G39" s="389">
        <f>IFERROR(G21/G37,0)</f>
        <v>1.1687097086319713</v>
      </c>
      <c r="I39" s="594"/>
      <c r="J39" s="594"/>
      <c r="K39" s="594"/>
      <c r="L39" s="594"/>
      <c r="M39" s="594"/>
    </row>
    <row r="42" spans="1:13" ht="39">
      <c r="B42" s="22" t="s">
        <v>375</v>
      </c>
    </row>
  </sheetData>
  <mergeCells count="2">
    <mergeCell ref="C5:F5"/>
    <mergeCell ref="G5:G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pane xSplit="1" ySplit="5" topLeftCell="B45" activePane="bottomRight" state="frozen"/>
      <selection activeCell="C35" sqref="C35"/>
      <selection pane="topRight" activeCell="C35" sqref="C35"/>
      <selection pane="bottomLeft" activeCell="C35" sqref="C35"/>
      <selection pane="bottomRight" activeCell="B2" sqref="B2"/>
    </sheetView>
  </sheetViews>
  <sheetFormatPr defaultRowHeight="15.75"/>
  <cols>
    <col min="1" max="1" width="9.42578125" style="18" bestFit="1" customWidth="1"/>
    <col min="2" max="2" width="88.42578125" style="15" customWidth="1"/>
    <col min="3" max="3" width="15.7109375" style="15" customWidth="1"/>
    <col min="4" max="7" width="12.7109375" style="2" hidden="1" customWidth="1"/>
    <col min="8" max="8" width="6.7109375" customWidth="1"/>
    <col min="9" max="12" width="13.5703125" bestFit="1" customWidth="1"/>
    <col min="13" max="13" width="6.7109375" customWidth="1"/>
  </cols>
  <sheetData>
    <row r="1" spans="1:12">
      <c r="A1" s="16" t="s">
        <v>108</v>
      </c>
      <c r="B1" s="319" t="str">
        <f>Info!C2</f>
        <v>სს "ბაზისბანკი"</v>
      </c>
    </row>
    <row r="2" spans="1:12">
      <c r="A2" s="16" t="s">
        <v>109</v>
      </c>
      <c r="B2" s="354">
        <v>45016</v>
      </c>
      <c r="C2" s="28"/>
      <c r="D2" s="17"/>
      <c r="E2" s="17"/>
      <c r="F2" s="17"/>
      <c r="G2" s="17"/>
      <c r="H2" s="1"/>
    </row>
    <row r="3" spans="1:12" ht="16.5" thickBot="1">
      <c r="A3" s="16"/>
      <c r="C3" s="28"/>
      <c r="D3" s="17"/>
      <c r="E3" s="17"/>
      <c r="F3" s="17"/>
      <c r="G3" s="17"/>
      <c r="H3" s="1"/>
    </row>
    <row r="4" spans="1:12" ht="16.5" thickBot="1">
      <c r="A4" s="39" t="s">
        <v>189</v>
      </c>
      <c r="B4" s="151" t="s">
        <v>139</v>
      </c>
      <c r="C4" s="152"/>
      <c r="D4" s="767" t="s">
        <v>685</v>
      </c>
      <c r="E4" s="768"/>
      <c r="F4" s="768"/>
      <c r="G4" s="769"/>
      <c r="H4" s="1"/>
      <c r="I4" s="770" t="s">
        <v>686</v>
      </c>
      <c r="J4" s="771"/>
      <c r="K4" s="771"/>
      <c r="L4" s="772"/>
    </row>
    <row r="5" spans="1:12" ht="15">
      <c r="A5" s="211" t="s">
        <v>25</v>
      </c>
      <c r="B5" s="212"/>
      <c r="C5" s="337" t="str">
        <f>INT((MONTH($B$2))/3)&amp;"Q"&amp;"-"&amp;YEAR($B$2)</f>
        <v>1Q-2023</v>
      </c>
      <c r="D5" s="337" t="str">
        <f>IF(INT(MONTH($B$2))=3,"4"&amp;"Q"&amp;"-"&amp;YEAR($B$2)-1,IF(INT(MONTH($B$2))=6,"1"&amp;"Q"&amp;"-"&amp;YEAR($B$2),IF(INT(MONTH($B$2))=9,"2"&amp;"Q"&amp;"-"&amp;YEAR($B$2),IF(INT(MONTH($B$2))=12,"3"&amp;"Q"&amp;"-"&amp;YEAR($B$2),0))))</f>
        <v>4Q-2022</v>
      </c>
      <c r="E5" s="337" t="str">
        <f>IF(INT(MONTH($B$2))=3,"3"&amp;"Q"&amp;"-"&amp;YEAR($B$2)-1,IF(INT(MONTH($B$2))=6,"4"&amp;"Q"&amp;"-"&amp;YEAR($B$2)-1,IF(INT(MONTH($B$2))=9,"1"&amp;"Q"&amp;"-"&amp;YEAR($B$2),IF(INT(MONTH($B$2))=12,"2"&amp;"Q"&amp;"-"&amp;YEAR($B$2),0))))</f>
        <v>3Q-2022</v>
      </c>
      <c r="F5" s="337" t="str">
        <f>IF(INT(MONTH($B$2))=3,"2"&amp;"Q"&amp;"-"&amp;YEAR($B$2)-1,IF(INT(MONTH($B$2))=6,"3"&amp;"Q"&amp;"-"&amp;YEAR($B$2)-1,IF(INT(MONTH($B$2))=9,"4"&amp;"Q"&amp;"-"&amp;YEAR($B$2)-1,IF(INT(MONTH($B$2))=12,"1"&amp;"Q"&amp;"-"&amp;YEAR($B$2),0))))</f>
        <v>2Q-2022</v>
      </c>
      <c r="G5" s="338" t="str">
        <f>IF(INT(MONTH($B$2))=3,"1"&amp;"Q"&amp;"-"&amp;YEAR($B$2)-1,IF(INT(MONTH($B$2))=6,"2"&amp;"Q"&amp;"-"&amp;YEAR($B$2)-1,IF(INT(MONTH($B$2))=9,"3"&amp;"Q"&amp;"-"&amp;YEAR($B$2)-1,IF(INT(MONTH($B$2))=12,"4"&amp;"Q"&amp;"-"&amp;YEAR($B$2)-1,0))))</f>
        <v>1Q-2022</v>
      </c>
      <c r="I5" s="572" t="str">
        <f>D5</f>
        <v>4Q-2022</v>
      </c>
      <c r="J5" s="337" t="str">
        <f t="shared" ref="J5:L5" si="0">E5</f>
        <v>3Q-2022</v>
      </c>
      <c r="K5" s="337" t="str">
        <f t="shared" si="0"/>
        <v>2Q-2022</v>
      </c>
      <c r="L5" s="338" t="str">
        <f t="shared" si="0"/>
        <v>1Q-2022</v>
      </c>
    </row>
    <row r="6" spans="1:12" ht="15">
      <c r="A6" s="339"/>
      <c r="B6" s="340" t="s">
        <v>106</v>
      </c>
      <c r="C6" s="213"/>
      <c r="D6" s="213"/>
      <c r="E6" s="213"/>
      <c r="F6" s="213"/>
      <c r="G6" s="214"/>
      <c r="I6" s="573"/>
      <c r="J6" s="213"/>
      <c r="K6" s="213"/>
      <c r="L6" s="214"/>
    </row>
    <row r="7" spans="1:12" ht="15">
      <c r="A7" s="339"/>
      <c r="B7" s="341" t="s">
        <v>110</v>
      </c>
      <c r="C7" s="213"/>
      <c r="D7" s="213"/>
      <c r="E7" s="213"/>
      <c r="F7" s="213"/>
      <c r="G7" s="214"/>
      <c r="I7" s="573"/>
      <c r="J7" s="213"/>
      <c r="K7" s="213"/>
      <c r="L7" s="214"/>
    </row>
    <row r="8" spans="1:12" ht="15">
      <c r="A8" s="323">
        <v>1</v>
      </c>
      <c r="B8" s="324" t="s">
        <v>22</v>
      </c>
      <c r="C8" s="342">
        <v>429272896.98155671</v>
      </c>
      <c r="D8" s="343"/>
      <c r="E8" s="343"/>
      <c r="F8" s="343"/>
      <c r="G8" s="344"/>
      <c r="I8" s="574">
        <v>353868369.53200006</v>
      </c>
      <c r="J8" s="575">
        <v>316354601.97999996</v>
      </c>
      <c r="K8" s="575">
        <v>306494984.5</v>
      </c>
      <c r="L8" s="576">
        <v>296046934.34000003</v>
      </c>
    </row>
    <row r="9" spans="1:12" ht="15">
      <c r="A9" s="323">
        <v>2</v>
      </c>
      <c r="B9" s="324" t="s">
        <v>86</v>
      </c>
      <c r="C9" s="342">
        <v>429272896.98155671</v>
      </c>
      <c r="D9" s="343"/>
      <c r="E9" s="343"/>
      <c r="F9" s="343"/>
      <c r="G9" s="344"/>
      <c r="I9" s="574">
        <v>353868369.53200006</v>
      </c>
      <c r="J9" s="575">
        <v>316354601.97999996</v>
      </c>
      <c r="K9" s="575">
        <v>306494984.5</v>
      </c>
      <c r="L9" s="576">
        <v>296046934.34000003</v>
      </c>
    </row>
    <row r="10" spans="1:12" ht="15">
      <c r="A10" s="323">
        <v>3</v>
      </c>
      <c r="B10" s="324" t="s">
        <v>85</v>
      </c>
      <c r="C10" s="342">
        <v>504197472.98155671</v>
      </c>
      <c r="D10" s="343"/>
      <c r="E10" s="343"/>
      <c r="F10" s="343"/>
      <c r="G10" s="344"/>
      <c r="I10" s="574">
        <v>436746681.14451784</v>
      </c>
      <c r="J10" s="575">
        <v>394867406.78324997</v>
      </c>
      <c r="K10" s="575">
        <v>345986513.88120693</v>
      </c>
      <c r="L10" s="576">
        <v>337250055.05093527</v>
      </c>
    </row>
    <row r="11" spans="1:12" ht="15">
      <c r="A11" s="323">
        <v>4</v>
      </c>
      <c r="B11" s="324" t="s">
        <v>334</v>
      </c>
      <c r="C11" s="342">
        <v>306903183.16884702</v>
      </c>
      <c r="D11" s="343"/>
      <c r="E11" s="343"/>
      <c r="F11" s="343"/>
      <c r="G11" s="344"/>
      <c r="I11" s="574">
        <v>248652141.11535713</v>
      </c>
      <c r="J11" s="575">
        <v>151621391.7680259</v>
      </c>
      <c r="K11" s="575">
        <v>147590002.15729398</v>
      </c>
      <c r="L11" s="576">
        <v>149534902.81236431</v>
      </c>
    </row>
    <row r="12" spans="1:12" ht="15">
      <c r="A12" s="323">
        <v>5</v>
      </c>
      <c r="B12" s="324" t="s">
        <v>335</v>
      </c>
      <c r="C12" s="342">
        <v>367956986.64638191</v>
      </c>
      <c r="D12" s="343"/>
      <c r="E12" s="343"/>
      <c r="F12" s="343"/>
      <c r="G12" s="344"/>
      <c r="I12" s="574">
        <v>309104892.09775269</v>
      </c>
      <c r="J12" s="575">
        <v>202206186.49453485</v>
      </c>
      <c r="K12" s="575">
        <v>196835184.43076673</v>
      </c>
      <c r="L12" s="576">
        <v>199431794.12795466</v>
      </c>
    </row>
    <row r="13" spans="1:12" ht="15">
      <c r="A13" s="323">
        <v>6</v>
      </c>
      <c r="B13" s="324" t="s">
        <v>336</v>
      </c>
      <c r="C13" s="342">
        <v>448989062.99321705</v>
      </c>
      <c r="D13" s="343"/>
      <c r="E13" s="343"/>
      <c r="F13" s="343"/>
      <c r="G13" s="344"/>
      <c r="I13" s="574">
        <v>405940588.30038774</v>
      </c>
      <c r="J13" s="575">
        <v>284789823.28058952</v>
      </c>
      <c r="K13" s="575">
        <v>276944583.18595755</v>
      </c>
      <c r="L13" s="576">
        <v>280338899.35373551</v>
      </c>
    </row>
    <row r="14" spans="1:12" ht="15">
      <c r="A14" s="339"/>
      <c r="B14" s="340" t="s">
        <v>338</v>
      </c>
      <c r="C14" s="213"/>
      <c r="D14" s="213"/>
      <c r="E14" s="213"/>
      <c r="F14" s="213"/>
      <c r="G14" s="214"/>
      <c r="I14" s="573"/>
      <c r="J14" s="213"/>
      <c r="K14" s="213"/>
      <c r="L14" s="214"/>
    </row>
    <row r="15" spans="1:12" ht="21.95" customHeight="1">
      <c r="A15" s="323">
        <v>7</v>
      </c>
      <c r="B15" s="324" t="s">
        <v>337</v>
      </c>
      <c r="C15" s="345">
        <v>2652872730.29913</v>
      </c>
      <c r="D15" s="343"/>
      <c r="E15" s="343"/>
      <c r="F15" s="343"/>
      <c r="G15" s="344"/>
      <c r="I15" s="574">
        <v>2707679752.2420011</v>
      </c>
      <c r="J15" s="575">
        <v>2444783862.8055005</v>
      </c>
      <c r="K15" s="575">
        <v>2373772047.693953</v>
      </c>
      <c r="L15" s="576">
        <v>2407657291.6342325</v>
      </c>
    </row>
    <row r="16" spans="1:12" ht="15">
      <c r="A16" s="339"/>
      <c r="B16" s="340" t="s">
        <v>341</v>
      </c>
      <c r="C16" s="213"/>
      <c r="D16" s="213"/>
      <c r="E16" s="213"/>
      <c r="F16" s="213"/>
      <c r="G16" s="214"/>
      <c r="I16" s="573"/>
      <c r="J16" s="213"/>
      <c r="K16" s="213"/>
      <c r="L16" s="214"/>
    </row>
    <row r="17" spans="1:12" s="3" customFormat="1" ht="15">
      <c r="A17" s="323"/>
      <c r="B17" s="341" t="s">
        <v>327</v>
      </c>
      <c r="C17" s="213"/>
      <c r="D17" s="213"/>
      <c r="E17" s="213"/>
      <c r="F17" s="213"/>
      <c r="G17" s="214"/>
      <c r="I17" s="573"/>
      <c r="J17" s="213"/>
      <c r="K17" s="213"/>
      <c r="L17" s="214"/>
    </row>
    <row r="18" spans="1:12" ht="15">
      <c r="A18" s="322">
        <v>8</v>
      </c>
      <c r="B18" s="346" t="s">
        <v>332</v>
      </c>
      <c r="C18" s="615">
        <v>0.16181435772576741</v>
      </c>
      <c r="D18" s="616"/>
      <c r="E18" s="616"/>
      <c r="F18" s="616"/>
      <c r="G18" s="617"/>
      <c r="H18" s="618"/>
      <c r="I18" s="619">
        <v>0.13069062884522867</v>
      </c>
      <c r="J18" s="616">
        <v>0.12939982416971973</v>
      </c>
      <c r="K18" s="616">
        <v>0.12911727762476202</v>
      </c>
      <c r="L18" s="617">
        <v>0.12296057888664622</v>
      </c>
    </row>
    <row r="19" spans="1:12" ht="15" customHeight="1">
      <c r="A19" s="322">
        <v>9</v>
      </c>
      <c r="B19" s="346" t="s">
        <v>331</v>
      </c>
      <c r="C19" s="615">
        <v>0.16181435772576741</v>
      </c>
      <c r="D19" s="616"/>
      <c r="E19" s="616"/>
      <c r="F19" s="616"/>
      <c r="G19" s="617"/>
      <c r="H19" s="618"/>
      <c r="I19" s="619">
        <v>0.13069062884522867</v>
      </c>
      <c r="J19" s="616">
        <v>0.12939982416971973</v>
      </c>
      <c r="K19" s="616">
        <v>0.12911727762476202</v>
      </c>
      <c r="L19" s="617">
        <v>0.12296057888664622</v>
      </c>
    </row>
    <row r="20" spans="1:12" ht="15">
      <c r="A20" s="322">
        <v>10</v>
      </c>
      <c r="B20" s="346" t="s">
        <v>333</v>
      </c>
      <c r="C20" s="615">
        <v>0.19005716603853248</v>
      </c>
      <c r="D20" s="616"/>
      <c r="E20" s="616"/>
      <c r="F20" s="616"/>
      <c r="G20" s="617"/>
      <c r="H20" s="618"/>
      <c r="I20" s="619">
        <v>0.16129923813290134</v>
      </c>
      <c r="J20" s="616">
        <v>0.16151423968011705</v>
      </c>
      <c r="K20" s="616">
        <v>0.14575389166677663</v>
      </c>
      <c r="L20" s="617">
        <v>0.14007394500154208</v>
      </c>
    </row>
    <row r="21" spans="1:12" ht="15">
      <c r="A21" s="322">
        <v>11</v>
      </c>
      <c r="B21" s="324" t="s">
        <v>334</v>
      </c>
      <c r="C21" s="615">
        <v>0.115687111433439</v>
      </c>
      <c r="D21" s="616"/>
      <c r="E21" s="616"/>
      <c r="F21" s="616"/>
      <c r="G21" s="617"/>
      <c r="H21" s="618"/>
      <c r="I21" s="619">
        <v>9.1832182483718494E-2</v>
      </c>
      <c r="J21" s="616">
        <v>6.2018321568121551E-2</v>
      </c>
      <c r="K21" s="616">
        <v>6.2175305459794737E-2</v>
      </c>
      <c r="L21" s="617">
        <v>6.210805139583022E-2</v>
      </c>
    </row>
    <row r="22" spans="1:12" ht="15">
      <c r="A22" s="322">
        <v>12</v>
      </c>
      <c r="B22" s="324" t="s">
        <v>335</v>
      </c>
      <c r="C22" s="615">
        <v>0.13870133400816864</v>
      </c>
      <c r="D22" s="616"/>
      <c r="E22" s="616"/>
      <c r="F22" s="616"/>
      <c r="G22" s="617"/>
      <c r="H22" s="618"/>
      <c r="I22" s="619">
        <v>0.11415858608899705</v>
      </c>
      <c r="J22" s="616">
        <v>8.2709228235208515E-2</v>
      </c>
      <c r="K22" s="616">
        <v>8.2920845167920018E-2</v>
      </c>
      <c r="L22" s="617">
        <v>8.2832301266841601E-2</v>
      </c>
    </row>
    <row r="23" spans="1:12" ht="15">
      <c r="A23" s="322">
        <v>13</v>
      </c>
      <c r="B23" s="324" t="s">
        <v>336</v>
      </c>
      <c r="C23" s="615">
        <v>0.16924636371176027</v>
      </c>
      <c r="D23" s="616"/>
      <c r="E23" s="616"/>
      <c r="F23" s="616"/>
      <c r="G23" s="617"/>
      <c r="H23" s="618"/>
      <c r="I23" s="619">
        <v>0.14992193517873101</v>
      </c>
      <c r="J23" s="616">
        <v>0.11648875289686356</v>
      </c>
      <c r="K23" s="616">
        <v>0.11666856699867231</v>
      </c>
      <c r="L23" s="617">
        <v>0.11643638001463713</v>
      </c>
    </row>
    <row r="24" spans="1:12" ht="15">
      <c r="A24" s="339"/>
      <c r="B24" s="340" t="s">
        <v>6</v>
      </c>
      <c r="C24" s="620"/>
      <c r="D24" s="620"/>
      <c r="E24" s="620"/>
      <c r="F24" s="620"/>
      <c r="G24" s="621"/>
      <c r="H24" s="618"/>
      <c r="I24" s="622"/>
      <c r="J24" s="620"/>
      <c r="K24" s="620"/>
      <c r="L24" s="621"/>
    </row>
    <row r="25" spans="1:12" ht="15" customHeight="1">
      <c r="A25" s="347">
        <v>14</v>
      </c>
      <c r="B25" s="348" t="s">
        <v>7</v>
      </c>
      <c r="C25" s="623">
        <v>9.7250282539715349E-2</v>
      </c>
      <c r="D25" s="624"/>
      <c r="E25" s="624"/>
      <c r="F25" s="624"/>
      <c r="G25" s="625"/>
      <c r="H25" s="618"/>
      <c r="I25" s="626">
        <v>9.1266188127651721E-2</v>
      </c>
      <c r="J25" s="624">
        <v>9.0032106896328443E-2</v>
      </c>
      <c r="K25" s="624">
        <v>8.8056217277083321E-2</v>
      </c>
      <c r="L25" s="625">
        <v>8.3704475779426482E-2</v>
      </c>
    </row>
    <row r="26" spans="1:12" ht="15">
      <c r="A26" s="347">
        <v>15</v>
      </c>
      <c r="B26" s="348" t="s">
        <v>8</v>
      </c>
      <c r="C26" s="623">
        <v>5.4181945783370683E-2</v>
      </c>
      <c r="D26" s="624"/>
      <c r="E26" s="624"/>
      <c r="F26" s="624"/>
      <c r="G26" s="625"/>
      <c r="H26" s="618"/>
      <c r="I26" s="626">
        <v>4.937120260348446E-2</v>
      </c>
      <c r="J26" s="624">
        <v>4.7660633550750987E-2</v>
      </c>
      <c r="K26" s="624">
        <v>4.3494258137840316E-2</v>
      </c>
      <c r="L26" s="625">
        <v>3.9933658117004736E-2</v>
      </c>
    </row>
    <row r="27" spans="1:12" ht="15">
      <c r="A27" s="347">
        <v>16</v>
      </c>
      <c r="B27" s="348" t="s">
        <v>9</v>
      </c>
      <c r="C27" s="623">
        <v>2.3060328584408905E-2</v>
      </c>
      <c r="D27" s="624"/>
      <c r="E27" s="624"/>
      <c r="F27" s="624"/>
      <c r="G27" s="625"/>
      <c r="H27" s="618"/>
      <c r="I27" s="626">
        <v>5.0387587857642226E-2</v>
      </c>
      <c r="J27" s="624">
        <v>6.1038987894862611E-2</v>
      </c>
      <c r="K27" s="624">
        <v>8.3699345553370066E-2</v>
      </c>
      <c r="L27" s="625">
        <v>0.15581335881937922</v>
      </c>
    </row>
    <row r="28" spans="1:12" ht="15">
      <c r="A28" s="347">
        <v>17</v>
      </c>
      <c r="B28" s="348" t="s">
        <v>140</v>
      </c>
      <c r="C28" s="623">
        <v>4.3068336756344673E-2</v>
      </c>
      <c r="D28" s="624"/>
      <c r="E28" s="624"/>
      <c r="F28" s="624"/>
      <c r="G28" s="625"/>
      <c r="H28" s="618"/>
      <c r="I28" s="626">
        <v>4.1894985524167254E-2</v>
      </c>
      <c r="J28" s="624">
        <v>4.2371473345577455E-2</v>
      </c>
      <c r="K28" s="624">
        <v>4.4561959139242997E-2</v>
      </c>
      <c r="L28" s="625">
        <v>4.3770817662421732E-2</v>
      </c>
    </row>
    <row r="29" spans="1:12" ht="15">
      <c r="A29" s="347">
        <v>18</v>
      </c>
      <c r="B29" s="348" t="s">
        <v>10</v>
      </c>
      <c r="C29" s="623">
        <v>1.8635486704430649E-2</v>
      </c>
      <c r="D29" s="624"/>
      <c r="E29" s="624"/>
      <c r="F29" s="624"/>
      <c r="G29" s="625"/>
      <c r="H29" s="618"/>
      <c r="I29" s="626">
        <v>1.9922541555318751E-2</v>
      </c>
      <c r="J29" s="624">
        <v>2.1937704471808369E-2</v>
      </c>
      <c r="K29" s="624">
        <v>2.6386317511118126E-2</v>
      </c>
      <c r="L29" s="625">
        <v>4.0402097990974724E-2</v>
      </c>
    </row>
    <row r="30" spans="1:12" ht="15">
      <c r="A30" s="347">
        <v>19</v>
      </c>
      <c r="B30" s="348" t="s">
        <v>11</v>
      </c>
      <c r="C30" s="623">
        <v>0.12867660233168166</v>
      </c>
      <c r="D30" s="624"/>
      <c r="E30" s="624"/>
      <c r="F30" s="624"/>
      <c r="G30" s="625"/>
      <c r="H30" s="618"/>
      <c r="I30" s="626">
        <v>0.162431595069993</v>
      </c>
      <c r="J30" s="624">
        <v>0.17620953647877458</v>
      </c>
      <c r="K30" s="624">
        <v>0.20319432905627877</v>
      </c>
      <c r="L30" s="625">
        <v>0.27920628988328017</v>
      </c>
    </row>
    <row r="31" spans="1:12" ht="15">
      <c r="A31" s="339"/>
      <c r="B31" s="340" t="s">
        <v>12</v>
      </c>
      <c r="C31" s="620"/>
      <c r="D31" s="620"/>
      <c r="E31" s="620"/>
      <c r="F31" s="620"/>
      <c r="G31" s="621"/>
      <c r="H31" s="618"/>
      <c r="I31" s="622"/>
      <c r="J31" s="620"/>
      <c r="K31" s="620"/>
      <c r="L31" s="621"/>
    </row>
    <row r="32" spans="1:12" ht="15">
      <c r="A32" s="347">
        <v>20</v>
      </c>
      <c r="B32" s="348" t="s">
        <v>13</v>
      </c>
      <c r="C32" s="623">
        <v>3.858266334059815E-2</v>
      </c>
      <c r="D32" s="624"/>
      <c r="E32" s="624"/>
      <c r="F32" s="624"/>
      <c r="G32" s="625"/>
      <c r="H32" s="618"/>
      <c r="I32" s="626">
        <v>3.3318541790872701E-2</v>
      </c>
      <c r="J32" s="624">
        <v>3.4408094810469032E-2</v>
      </c>
      <c r="K32" s="624">
        <v>4.1053706722485393E-2</v>
      </c>
      <c r="L32" s="625">
        <v>4.6520291423571204E-2</v>
      </c>
    </row>
    <row r="33" spans="1:12" ht="15" customHeight="1">
      <c r="A33" s="347">
        <v>21</v>
      </c>
      <c r="B33" s="348" t="s">
        <v>698</v>
      </c>
      <c r="C33" s="623">
        <v>1.6273993068893832E-2</v>
      </c>
      <c r="D33" s="624"/>
      <c r="E33" s="624"/>
      <c r="F33" s="624"/>
      <c r="G33" s="625"/>
      <c r="H33" s="618"/>
      <c r="I33" s="626">
        <v>3.6136499929468366E-2</v>
      </c>
      <c r="J33" s="624">
        <v>4.0076316774812194E-2</v>
      </c>
      <c r="K33" s="624">
        <v>3.9667870216590587E-2</v>
      </c>
      <c r="L33" s="625">
        <v>4.1958453871371051E-2</v>
      </c>
    </row>
    <row r="34" spans="1:12" ht="15">
      <c r="A34" s="347">
        <v>22</v>
      </c>
      <c r="B34" s="348" t="s">
        <v>14</v>
      </c>
      <c r="C34" s="623">
        <v>0.4632643707926784</v>
      </c>
      <c r="D34" s="624"/>
      <c r="E34" s="624"/>
      <c r="F34" s="624"/>
      <c r="G34" s="625"/>
      <c r="H34" s="618"/>
      <c r="I34" s="626">
        <v>0.46920009887067432</v>
      </c>
      <c r="J34" s="624">
        <v>0.46176729529744365</v>
      </c>
      <c r="K34" s="624">
        <v>0.4719544743155642</v>
      </c>
      <c r="L34" s="625">
        <v>0.48663233133346179</v>
      </c>
    </row>
    <row r="35" spans="1:12" ht="15" customHeight="1">
      <c r="A35" s="347">
        <v>23</v>
      </c>
      <c r="B35" s="348" t="s">
        <v>15</v>
      </c>
      <c r="C35" s="623">
        <v>0.42704763400868972</v>
      </c>
      <c r="D35" s="624"/>
      <c r="E35" s="624"/>
      <c r="F35" s="624"/>
      <c r="G35" s="625"/>
      <c r="H35" s="618"/>
      <c r="I35" s="626">
        <v>0.44182227044422084</v>
      </c>
      <c r="J35" s="624">
        <v>0.45326248663052726</v>
      </c>
      <c r="K35" s="624">
        <v>0.44753034686570459</v>
      </c>
      <c r="L35" s="625">
        <v>0.49501379732614587</v>
      </c>
    </row>
    <row r="36" spans="1:12" ht="15">
      <c r="A36" s="347">
        <v>24</v>
      </c>
      <c r="B36" s="348" t="s">
        <v>16</v>
      </c>
      <c r="C36" s="623">
        <v>-2.517338370007453E-2</v>
      </c>
      <c r="D36" s="624"/>
      <c r="E36" s="624"/>
      <c r="F36" s="624"/>
      <c r="G36" s="625"/>
      <c r="H36" s="618"/>
      <c r="I36" s="626">
        <v>0.65486642979395582</v>
      </c>
      <c r="J36" s="624">
        <v>0.62830296566621124</v>
      </c>
      <c r="K36" s="624">
        <v>0.6162414123178217</v>
      </c>
      <c r="L36" s="625">
        <v>0.58607462941820787</v>
      </c>
    </row>
    <row r="37" spans="1:12" ht="15" customHeight="1">
      <c r="A37" s="339"/>
      <c r="B37" s="340" t="s">
        <v>17</v>
      </c>
      <c r="C37" s="620"/>
      <c r="D37" s="620"/>
      <c r="E37" s="620"/>
      <c r="F37" s="620"/>
      <c r="G37" s="621"/>
      <c r="H37" s="618"/>
      <c r="I37" s="622"/>
      <c r="J37" s="620"/>
      <c r="K37" s="620"/>
      <c r="L37" s="621"/>
    </row>
    <row r="38" spans="1:12" ht="15" customHeight="1">
      <c r="A38" s="347">
        <v>25</v>
      </c>
      <c r="B38" s="348" t="s">
        <v>18</v>
      </c>
      <c r="C38" s="623">
        <v>0.22852586682782783</v>
      </c>
      <c r="D38" s="623"/>
      <c r="E38" s="623"/>
      <c r="F38" s="623"/>
      <c r="G38" s="627"/>
      <c r="H38" s="618"/>
      <c r="I38" s="628">
        <v>0.21468270272784282</v>
      </c>
      <c r="J38" s="623">
        <v>0.19740426422181714</v>
      </c>
      <c r="K38" s="623">
        <v>0.18548974715919464</v>
      </c>
      <c r="L38" s="627">
        <v>0.20790932501700238</v>
      </c>
    </row>
    <row r="39" spans="1:12" ht="15" customHeight="1">
      <c r="A39" s="347">
        <v>26</v>
      </c>
      <c r="B39" s="348" t="s">
        <v>19</v>
      </c>
      <c r="C39" s="623">
        <v>0.52401909535378832</v>
      </c>
      <c r="D39" s="623"/>
      <c r="E39" s="623"/>
      <c r="F39" s="623"/>
      <c r="G39" s="627"/>
      <c r="H39" s="618"/>
      <c r="I39" s="628">
        <v>0.53686488733228444</v>
      </c>
      <c r="J39" s="623">
        <v>0.5269244455682951</v>
      </c>
      <c r="K39" s="623">
        <v>0.52396262732415366</v>
      </c>
      <c r="L39" s="627">
        <v>0.58025416078822911</v>
      </c>
    </row>
    <row r="40" spans="1:12" ht="15" customHeight="1">
      <c r="A40" s="347">
        <v>27</v>
      </c>
      <c r="B40" s="349" t="s">
        <v>20</v>
      </c>
      <c r="C40" s="623">
        <v>0.26450615024787827</v>
      </c>
      <c r="D40" s="623"/>
      <c r="E40" s="623"/>
      <c r="F40" s="623"/>
      <c r="G40" s="627"/>
      <c r="H40" s="618"/>
      <c r="I40" s="628">
        <v>0.2896285036871184</v>
      </c>
      <c r="J40" s="623">
        <v>0.28039570762150667</v>
      </c>
      <c r="K40" s="623">
        <v>0.26319120448363598</v>
      </c>
      <c r="L40" s="627">
        <v>0.24593787156163324</v>
      </c>
    </row>
    <row r="41" spans="1:12" ht="15" customHeight="1">
      <c r="A41" s="353"/>
      <c r="B41" s="340" t="s">
        <v>248</v>
      </c>
      <c r="C41" s="213"/>
      <c r="D41" s="213"/>
      <c r="E41" s="213"/>
      <c r="F41" s="213"/>
      <c r="G41" s="214"/>
      <c r="I41" s="573"/>
      <c r="J41" s="213"/>
      <c r="K41" s="213"/>
      <c r="L41" s="214"/>
    </row>
    <row r="42" spans="1:12" ht="15" customHeight="1">
      <c r="A42" s="347">
        <v>28</v>
      </c>
      <c r="B42" s="394" t="s">
        <v>241</v>
      </c>
      <c r="C42" s="644">
        <v>730656890.64891779</v>
      </c>
      <c r="D42" s="349"/>
      <c r="E42" s="349"/>
      <c r="F42" s="349"/>
      <c r="G42" s="352"/>
      <c r="I42" s="580">
        <v>726302301.68641913</v>
      </c>
      <c r="J42" s="581">
        <v>624858923.05399466</v>
      </c>
      <c r="K42" s="581">
        <v>529888563.68082947</v>
      </c>
      <c r="L42" s="582">
        <v>472011268.89208972</v>
      </c>
    </row>
    <row r="43" spans="1:12" ht="15">
      <c r="A43" s="347">
        <v>29</v>
      </c>
      <c r="B43" s="348" t="s">
        <v>242</v>
      </c>
      <c r="C43" s="644">
        <v>565012263.88243473</v>
      </c>
      <c r="D43" s="350"/>
      <c r="E43" s="350"/>
      <c r="F43" s="350"/>
      <c r="G43" s="351"/>
      <c r="I43" s="577">
        <v>569761251.71734321</v>
      </c>
      <c r="J43" s="578">
        <v>524747107.20303136</v>
      </c>
      <c r="K43" s="578">
        <v>498192258.82987887</v>
      </c>
      <c r="L43" s="579">
        <v>330241150.64856493</v>
      </c>
    </row>
    <row r="44" spans="1:12" ht="15">
      <c r="A44" s="390">
        <v>30</v>
      </c>
      <c r="B44" s="391" t="s">
        <v>240</v>
      </c>
      <c r="C44" s="645">
        <v>1.2952764870190561</v>
      </c>
      <c r="D44" s="349"/>
      <c r="E44" s="349"/>
      <c r="F44" s="349"/>
      <c r="G44" s="352"/>
      <c r="I44" s="628">
        <v>1.2747485012314166</v>
      </c>
      <c r="J44" s="623">
        <v>1.1907810723999452</v>
      </c>
      <c r="K44" s="623">
        <v>1.0636226362195929</v>
      </c>
      <c r="L44" s="627">
        <v>1.4292927091766141</v>
      </c>
    </row>
    <row r="45" spans="1:12" ht="15">
      <c r="A45" s="390"/>
      <c r="B45" s="340" t="s">
        <v>342</v>
      </c>
      <c r="C45" s="213"/>
      <c r="D45" s="213"/>
      <c r="E45" s="213"/>
      <c r="F45" s="213"/>
      <c r="G45" s="214"/>
      <c r="I45" s="573"/>
      <c r="J45" s="213"/>
      <c r="K45" s="213"/>
      <c r="L45" s="214"/>
    </row>
    <row r="46" spans="1:12" ht="15">
      <c r="A46" s="390">
        <v>31</v>
      </c>
      <c r="B46" s="391" t="s">
        <v>349</v>
      </c>
      <c r="C46" s="714">
        <v>2033624664.8786902</v>
      </c>
      <c r="D46" s="392"/>
      <c r="E46" s="392"/>
      <c r="F46" s="392"/>
      <c r="G46" s="393"/>
      <c r="I46" s="583">
        <v>1987353357.9511101</v>
      </c>
      <c r="J46" s="584">
        <v>1814557509.8984001</v>
      </c>
      <c r="K46" s="584">
        <v>1761057266.8453751</v>
      </c>
      <c r="L46" s="393">
        <v>1722825764.973485</v>
      </c>
    </row>
    <row r="47" spans="1:12" ht="15">
      <c r="A47" s="390">
        <v>32</v>
      </c>
      <c r="B47" s="391" t="s">
        <v>362</v>
      </c>
      <c r="C47" s="714">
        <v>1740059699.9054127</v>
      </c>
      <c r="D47" s="392"/>
      <c r="E47" s="392"/>
      <c r="F47" s="392"/>
      <c r="G47" s="393"/>
      <c r="I47" s="583">
        <v>1636363690.754997</v>
      </c>
      <c r="J47" s="584">
        <v>1579426800.2240698</v>
      </c>
      <c r="K47" s="584">
        <v>1527342227.1122417</v>
      </c>
      <c r="L47" s="393">
        <v>1504074759.4362636</v>
      </c>
    </row>
    <row r="48" spans="1:12" thickBot="1">
      <c r="A48" s="83">
        <v>33</v>
      </c>
      <c r="B48" s="162" t="s">
        <v>376</v>
      </c>
      <c r="C48" s="715">
        <v>1.1687097086319713</v>
      </c>
      <c r="D48" s="163"/>
      <c r="E48" s="163"/>
      <c r="F48" s="163"/>
      <c r="G48" s="164"/>
      <c r="I48" s="629">
        <v>1.2144936783791451</v>
      </c>
      <c r="J48" s="630">
        <v>1.1488709129419437</v>
      </c>
      <c r="K48" s="630">
        <v>1.1530207412486855</v>
      </c>
      <c r="L48" s="631">
        <v>1.1454389179559203</v>
      </c>
    </row>
    <row r="49" spans="1:7">
      <c r="A49" s="19"/>
    </row>
    <row r="50" spans="1:7">
      <c r="B50" s="22"/>
    </row>
    <row r="51" spans="1:7" ht="65.25">
      <c r="B51" s="253" t="s">
        <v>247</v>
      </c>
      <c r="D51" s="234"/>
      <c r="E51" s="234"/>
      <c r="F51" s="234"/>
      <c r="G51" s="234"/>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80" zoomScaleNormal="80" workbookViewId="0">
      <selection activeCell="E33" sqref="E33"/>
    </sheetView>
  </sheetViews>
  <sheetFormatPr defaultColWidth="9.140625" defaultRowHeight="12.75"/>
  <cols>
    <col min="1" max="1" width="11.85546875" style="397" bestFit="1" customWidth="1"/>
    <col min="2" max="2" width="105.140625" style="397" bestFit="1" customWidth="1"/>
    <col min="3" max="3" width="16.28515625" style="397" bestFit="1" customWidth="1"/>
    <col min="4" max="4" width="19.28515625" style="397" bestFit="1" customWidth="1"/>
    <col min="5" max="5" width="18.85546875" style="397" bestFit="1" customWidth="1"/>
    <col min="6" max="6" width="20.140625" style="397" bestFit="1" customWidth="1"/>
    <col min="7" max="7" width="30.42578125" style="397" customWidth="1"/>
    <col min="8" max="8" width="21.28515625" style="397" bestFit="1" customWidth="1"/>
    <col min="9" max="16384" width="9.140625" style="397"/>
  </cols>
  <sheetData>
    <row r="1" spans="1:10" ht="13.5">
      <c r="A1" s="396" t="s">
        <v>108</v>
      </c>
      <c r="B1" s="319" t="str">
        <f>Info!C2</f>
        <v>სს "ბაზისბანკი"</v>
      </c>
    </row>
    <row r="2" spans="1:10">
      <c r="A2" s="398" t="s">
        <v>109</v>
      </c>
      <c r="B2" s="400">
        <f>'1. key ratios'!B2</f>
        <v>45016</v>
      </c>
    </row>
    <row r="3" spans="1:10">
      <c r="A3" s="399" t="s">
        <v>378</v>
      </c>
    </row>
    <row r="5" spans="1:10">
      <c r="A5" s="826" t="s">
        <v>379</v>
      </c>
      <c r="B5" s="827"/>
      <c r="C5" s="832" t="s">
        <v>380</v>
      </c>
      <c r="D5" s="833"/>
      <c r="E5" s="833"/>
      <c r="F5" s="833"/>
      <c r="G5" s="833"/>
      <c r="H5" s="834"/>
    </row>
    <row r="6" spans="1:10">
      <c r="A6" s="828"/>
      <c r="B6" s="829"/>
      <c r="C6" s="835"/>
      <c r="D6" s="836"/>
      <c r="E6" s="836"/>
      <c r="F6" s="836"/>
      <c r="G6" s="836"/>
      <c r="H6" s="837"/>
    </row>
    <row r="7" spans="1:10" ht="25.5">
      <c r="A7" s="830"/>
      <c r="B7" s="831"/>
      <c r="C7" s="491" t="s">
        <v>381</v>
      </c>
      <c r="D7" s="491" t="s">
        <v>382</v>
      </c>
      <c r="E7" s="491" t="s">
        <v>383</v>
      </c>
      <c r="F7" s="491" t="s">
        <v>384</v>
      </c>
      <c r="G7" s="492" t="s">
        <v>494</v>
      </c>
      <c r="H7" s="491" t="s">
        <v>66</v>
      </c>
    </row>
    <row r="8" spans="1:10">
      <c r="A8" s="487">
        <v>1</v>
      </c>
      <c r="B8" s="486" t="s">
        <v>134</v>
      </c>
      <c r="C8" s="678">
        <v>0</v>
      </c>
      <c r="D8" s="678">
        <v>110228282.8369</v>
      </c>
      <c r="E8" s="678">
        <v>243064125.98089999</v>
      </c>
      <c r="F8" s="678">
        <v>15753051.294500001</v>
      </c>
      <c r="G8" s="678">
        <v>256929317.46960002</v>
      </c>
      <c r="H8" s="678">
        <f t="shared" ref="H8:H20" si="0">SUM(C8:G8)</f>
        <v>625974777.5819</v>
      </c>
      <c r="J8" s="727"/>
    </row>
    <row r="9" spans="1:10">
      <c r="A9" s="487">
        <v>2</v>
      </c>
      <c r="B9" s="486" t="s">
        <v>135</v>
      </c>
      <c r="C9" s="678">
        <v>0</v>
      </c>
      <c r="D9" s="678">
        <v>0</v>
      </c>
      <c r="E9" s="678">
        <v>0</v>
      </c>
      <c r="F9" s="678">
        <v>0</v>
      </c>
      <c r="G9" s="678">
        <v>0</v>
      </c>
      <c r="H9" s="678">
        <f t="shared" si="0"/>
        <v>0</v>
      </c>
      <c r="J9" s="727"/>
    </row>
    <row r="10" spans="1:10">
      <c r="A10" s="487">
        <v>3</v>
      </c>
      <c r="B10" s="486" t="s">
        <v>136</v>
      </c>
      <c r="C10" s="678">
        <v>0</v>
      </c>
      <c r="D10" s="678">
        <v>29077134.555700004</v>
      </c>
      <c r="E10" s="678">
        <v>20.02</v>
      </c>
      <c r="F10" s="678">
        <v>1224547.3455000001</v>
      </c>
      <c r="G10" s="678">
        <v>0</v>
      </c>
      <c r="H10" s="678">
        <f t="shared" si="0"/>
        <v>30301701.921200003</v>
      </c>
      <c r="J10" s="727"/>
    </row>
    <row r="11" spans="1:10">
      <c r="A11" s="487">
        <v>4</v>
      </c>
      <c r="B11" s="486" t="s">
        <v>137</v>
      </c>
      <c r="C11" s="678">
        <v>0</v>
      </c>
      <c r="D11" s="678">
        <v>0</v>
      </c>
      <c r="E11" s="678">
        <v>0</v>
      </c>
      <c r="F11" s="678">
        <v>0</v>
      </c>
      <c r="G11" s="678">
        <v>918241.37199999997</v>
      </c>
      <c r="H11" s="678">
        <f t="shared" si="0"/>
        <v>918241.37199999997</v>
      </c>
      <c r="J11" s="727"/>
    </row>
    <row r="12" spans="1:10">
      <c r="A12" s="487">
        <v>5</v>
      </c>
      <c r="B12" s="486" t="s">
        <v>694</v>
      </c>
      <c r="C12" s="678">
        <v>0</v>
      </c>
      <c r="D12" s="678">
        <v>0</v>
      </c>
      <c r="E12" s="678">
        <v>0</v>
      </c>
      <c r="F12" s="678">
        <v>0</v>
      </c>
      <c r="G12" s="678">
        <v>0</v>
      </c>
      <c r="H12" s="678">
        <f t="shared" si="0"/>
        <v>0</v>
      </c>
      <c r="J12" s="727"/>
    </row>
    <row r="13" spans="1:10">
      <c r="A13" s="487">
        <v>6</v>
      </c>
      <c r="B13" s="486" t="s">
        <v>138</v>
      </c>
      <c r="C13" s="678">
        <v>1157.1983</v>
      </c>
      <c r="D13" s="678">
        <v>66868922.935000002</v>
      </c>
      <c r="E13" s="678">
        <v>0</v>
      </c>
      <c r="F13" s="678">
        <v>0</v>
      </c>
      <c r="G13" s="678">
        <v>69619502.415399998</v>
      </c>
      <c r="H13" s="678">
        <f t="shared" si="0"/>
        <v>136489582.5487</v>
      </c>
      <c r="J13" s="727"/>
    </row>
    <row r="14" spans="1:10">
      <c r="A14" s="487">
        <v>7</v>
      </c>
      <c r="B14" s="486" t="s">
        <v>71</v>
      </c>
      <c r="C14" s="678">
        <v>236976.12409999996</v>
      </c>
      <c r="D14" s="678">
        <v>272807913.05518395</v>
      </c>
      <c r="E14" s="678">
        <v>343317855.16112834</v>
      </c>
      <c r="F14" s="678">
        <v>439216942.53464639</v>
      </c>
      <c r="G14" s="678">
        <v>365095.78169999999</v>
      </c>
      <c r="H14" s="678">
        <f t="shared" si="0"/>
        <v>1055944782.6567588</v>
      </c>
      <c r="J14" s="727"/>
    </row>
    <row r="15" spans="1:10">
      <c r="A15" s="487">
        <v>8</v>
      </c>
      <c r="B15" s="488" t="s">
        <v>72</v>
      </c>
      <c r="C15" s="678">
        <v>3203728.6140998583</v>
      </c>
      <c r="D15" s="678">
        <v>48572289.132803388</v>
      </c>
      <c r="E15" s="678">
        <v>176606755.41687319</v>
      </c>
      <c r="F15" s="678">
        <v>195129958.0004189</v>
      </c>
      <c r="G15" s="678">
        <v>243768.0459</v>
      </c>
      <c r="H15" s="678">
        <f t="shared" si="0"/>
        <v>423756499.21009529</v>
      </c>
      <c r="J15" s="727"/>
    </row>
    <row r="16" spans="1:10">
      <c r="A16" s="487">
        <v>9</v>
      </c>
      <c r="B16" s="486" t="s">
        <v>695</v>
      </c>
      <c r="C16" s="678">
        <v>343.53619998900001</v>
      </c>
      <c r="D16" s="678">
        <v>4425811.2958130268</v>
      </c>
      <c r="E16" s="678">
        <v>69233337.133385137</v>
      </c>
      <c r="F16" s="678">
        <v>234104161.52403048</v>
      </c>
      <c r="G16" s="678">
        <v>0</v>
      </c>
      <c r="H16" s="678">
        <f t="shared" si="0"/>
        <v>307763653.48942864</v>
      </c>
      <c r="J16" s="727"/>
    </row>
    <row r="17" spans="1:10">
      <c r="A17" s="487">
        <v>10</v>
      </c>
      <c r="B17" s="490" t="s">
        <v>399</v>
      </c>
      <c r="C17" s="678"/>
      <c r="D17" s="678"/>
      <c r="E17" s="678">
        <v>0</v>
      </c>
      <c r="F17" s="678">
        <v>27603792</v>
      </c>
      <c r="G17" s="678">
        <v>0</v>
      </c>
      <c r="H17" s="678">
        <f t="shared" si="0"/>
        <v>27603792</v>
      </c>
      <c r="J17" s="727"/>
    </row>
    <row r="18" spans="1:10">
      <c r="A18" s="487">
        <v>11</v>
      </c>
      <c r="B18" s="486" t="s">
        <v>68</v>
      </c>
      <c r="C18" s="678">
        <v>0</v>
      </c>
      <c r="D18" s="678">
        <v>0</v>
      </c>
      <c r="E18" s="678">
        <v>0</v>
      </c>
      <c r="F18" s="678">
        <v>0</v>
      </c>
      <c r="G18" s="678">
        <v>3304915.54</v>
      </c>
      <c r="H18" s="678">
        <f t="shared" si="0"/>
        <v>3304915.54</v>
      </c>
      <c r="J18" s="727"/>
    </row>
    <row r="19" spans="1:10">
      <c r="A19" s="487">
        <v>12</v>
      </c>
      <c r="B19" s="486" t="s">
        <v>69</v>
      </c>
      <c r="C19" s="678">
        <v>3.0000000000000003E-4</v>
      </c>
      <c r="D19" s="678">
        <v>11072728.737799998</v>
      </c>
      <c r="E19" s="678">
        <v>0</v>
      </c>
      <c r="F19" s="678">
        <v>0</v>
      </c>
      <c r="G19" s="678">
        <v>0</v>
      </c>
      <c r="H19" s="678">
        <f t="shared" si="0"/>
        <v>11072728.738099998</v>
      </c>
      <c r="J19" s="727"/>
    </row>
    <row r="20" spans="1:10">
      <c r="A20" s="489">
        <v>13</v>
      </c>
      <c r="B20" s="488" t="s">
        <v>70</v>
      </c>
      <c r="C20" s="678">
        <v>0</v>
      </c>
      <c r="D20" s="678">
        <v>0</v>
      </c>
      <c r="E20" s="678">
        <v>0</v>
      </c>
      <c r="F20" s="678">
        <v>0</v>
      </c>
      <c r="G20" s="678">
        <v>0</v>
      </c>
      <c r="H20" s="678">
        <f t="shared" si="0"/>
        <v>0</v>
      </c>
      <c r="J20" s="727"/>
    </row>
    <row r="21" spans="1:10">
      <c r="A21" s="487">
        <v>14</v>
      </c>
      <c r="B21" s="486" t="s">
        <v>385</v>
      </c>
      <c r="C21" s="678">
        <v>2635.5548999999983</v>
      </c>
      <c r="D21" s="678">
        <v>26281876.489694819</v>
      </c>
      <c r="E21" s="678">
        <v>108256367.97876927</v>
      </c>
      <c r="F21" s="678">
        <v>125092844.6448361</v>
      </c>
      <c r="G21" s="678">
        <v>225767447.24020538</v>
      </c>
      <c r="H21" s="678">
        <f>SUM(C21:G21)</f>
        <v>485401171.90840554</v>
      </c>
      <c r="J21" s="727"/>
    </row>
    <row r="22" spans="1:10">
      <c r="A22" s="485">
        <v>15</v>
      </c>
      <c r="B22" s="484" t="s">
        <v>66</v>
      </c>
      <c r="C22" s="678">
        <f>SUM(C18:C21)+SUM(C8:C16)</f>
        <v>3444841.0278998469</v>
      </c>
      <c r="D22" s="678">
        <f t="shared" ref="D22:H22" si="1">SUM(D18:D21)+SUM(D8:D16)</f>
        <v>569334959.03889513</v>
      </c>
      <c r="E22" s="678">
        <f t="shared" si="1"/>
        <v>940478461.69105601</v>
      </c>
      <c r="F22" s="678">
        <f t="shared" si="1"/>
        <v>1010521505.3439318</v>
      </c>
      <c r="G22" s="678">
        <f t="shared" si="1"/>
        <v>557148287.86480546</v>
      </c>
      <c r="H22" s="678">
        <f t="shared" si="1"/>
        <v>3080928054.966588</v>
      </c>
      <c r="J22" s="727"/>
    </row>
    <row r="26" spans="1:10" ht="38.25">
      <c r="B26" s="408" t="s">
        <v>493</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election activeCell="B34" sqref="B34"/>
    </sheetView>
  </sheetViews>
  <sheetFormatPr defaultColWidth="9.140625" defaultRowHeight="12.75"/>
  <cols>
    <col min="1" max="1" width="11.85546875" style="401" bestFit="1" customWidth="1"/>
    <col min="2" max="2" width="86.85546875" style="397" customWidth="1"/>
    <col min="3" max="4" width="31.42578125" style="397" customWidth="1"/>
    <col min="5" max="5" width="16.42578125" style="403" bestFit="1" customWidth="1"/>
    <col min="6" max="6" width="14.28515625" style="403" bestFit="1" customWidth="1"/>
    <col min="7" max="7" width="20" style="397" bestFit="1" customWidth="1"/>
    <col min="8" max="8" width="25.140625" style="397" bestFit="1" customWidth="1"/>
    <col min="9" max="9" width="13.140625" style="397" bestFit="1" customWidth="1"/>
    <col min="10" max="10" width="13.85546875" style="397" customWidth="1"/>
    <col min="11" max="16384" width="9.140625" style="397"/>
  </cols>
  <sheetData>
    <row r="1" spans="1:10" ht="13.5">
      <c r="A1" s="396" t="s">
        <v>108</v>
      </c>
      <c r="B1" s="319" t="str">
        <f>Info!C2</f>
        <v>სს "ბაზისბანკი"</v>
      </c>
      <c r="C1" s="504"/>
      <c r="D1" s="504"/>
      <c r="E1" s="504"/>
      <c r="F1" s="504"/>
      <c r="G1" s="504"/>
      <c r="H1" s="504"/>
    </row>
    <row r="2" spans="1:10">
      <c r="A2" s="398" t="s">
        <v>109</v>
      </c>
      <c r="B2" s="400">
        <f>'1. key ratios'!B2</f>
        <v>45016</v>
      </c>
      <c r="C2" s="504"/>
      <c r="D2" s="504"/>
      <c r="E2" s="504"/>
      <c r="F2" s="504"/>
      <c r="G2" s="504"/>
      <c r="H2" s="504"/>
    </row>
    <row r="3" spans="1:10">
      <c r="A3" s="399" t="s">
        <v>386</v>
      </c>
      <c r="B3" s="504"/>
      <c r="C3" s="504"/>
      <c r="D3" s="504"/>
      <c r="E3" s="504"/>
      <c r="F3" s="504"/>
      <c r="G3" s="504"/>
      <c r="H3" s="504"/>
    </row>
    <row r="4" spans="1:10">
      <c r="A4" s="505"/>
      <c r="B4" s="504"/>
      <c r="C4" s="503" t="s">
        <v>387</v>
      </c>
      <c r="D4" s="503" t="s">
        <v>388</v>
      </c>
      <c r="E4" s="503" t="s">
        <v>389</v>
      </c>
      <c r="F4" s="503" t="s">
        <v>390</v>
      </c>
      <c r="G4" s="503" t="s">
        <v>391</v>
      </c>
      <c r="H4" s="503" t="s">
        <v>392</v>
      </c>
    </row>
    <row r="5" spans="1:10" ht="33.950000000000003" customHeight="1">
      <c r="A5" s="826" t="s">
        <v>642</v>
      </c>
      <c r="B5" s="827"/>
      <c r="C5" s="840" t="s">
        <v>481</v>
      </c>
      <c r="D5" s="840"/>
      <c r="E5" s="840" t="s">
        <v>641</v>
      </c>
      <c r="F5" s="838" t="s">
        <v>640</v>
      </c>
      <c r="G5" s="838" t="s">
        <v>396</v>
      </c>
      <c r="H5" s="501" t="s">
        <v>639</v>
      </c>
    </row>
    <row r="6" spans="1:10" ht="25.5">
      <c r="A6" s="830"/>
      <c r="B6" s="831"/>
      <c r="C6" s="502" t="s">
        <v>397</v>
      </c>
      <c r="D6" s="502" t="s">
        <v>398</v>
      </c>
      <c r="E6" s="840"/>
      <c r="F6" s="839"/>
      <c r="G6" s="839"/>
      <c r="H6" s="501" t="s">
        <v>638</v>
      </c>
    </row>
    <row r="7" spans="1:10">
      <c r="A7" s="499">
        <v>1</v>
      </c>
      <c r="B7" s="486" t="s">
        <v>134</v>
      </c>
      <c r="C7" s="710">
        <v>0</v>
      </c>
      <c r="D7" s="710">
        <v>631017829.65630007</v>
      </c>
      <c r="E7" s="711">
        <v>772002.95159999991</v>
      </c>
      <c r="F7" s="711"/>
      <c r="G7" s="710"/>
      <c r="H7" s="712">
        <f t="shared" ref="H7:H20" si="0">C7+D7-E7-F7</f>
        <v>630245826.70470011</v>
      </c>
      <c r="J7" s="728"/>
    </row>
    <row r="8" spans="1:10" ht="14.45" customHeight="1">
      <c r="A8" s="499">
        <v>2</v>
      </c>
      <c r="B8" s="486" t="s">
        <v>135</v>
      </c>
      <c r="C8" s="710">
        <v>0</v>
      </c>
      <c r="D8" s="710">
        <v>0</v>
      </c>
      <c r="E8" s="711">
        <v>0</v>
      </c>
      <c r="F8" s="711"/>
      <c r="G8" s="710"/>
      <c r="H8" s="712">
        <f t="shared" si="0"/>
        <v>0</v>
      </c>
      <c r="J8" s="728"/>
    </row>
    <row r="9" spans="1:10">
      <c r="A9" s="499">
        <v>3</v>
      </c>
      <c r="B9" s="486" t="s">
        <v>136</v>
      </c>
      <c r="C9" s="710">
        <v>0</v>
      </c>
      <c r="D9" s="710">
        <v>30410369.770899996</v>
      </c>
      <c r="E9" s="711">
        <v>108667.84970000001</v>
      </c>
      <c r="F9" s="711"/>
      <c r="G9" s="710"/>
      <c r="H9" s="712">
        <f t="shared" si="0"/>
        <v>30301701.921199996</v>
      </c>
      <c r="J9" s="728"/>
    </row>
    <row r="10" spans="1:10">
      <c r="A10" s="499">
        <v>4</v>
      </c>
      <c r="B10" s="486" t="s">
        <v>137</v>
      </c>
      <c r="C10" s="710">
        <v>0</v>
      </c>
      <c r="D10" s="710">
        <v>921744</v>
      </c>
      <c r="E10" s="711">
        <v>3502.6280000000002</v>
      </c>
      <c r="F10" s="711"/>
      <c r="G10" s="710"/>
      <c r="H10" s="712">
        <f t="shared" si="0"/>
        <v>918241.37199999997</v>
      </c>
      <c r="J10" s="728"/>
    </row>
    <row r="11" spans="1:10">
      <c r="A11" s="499">
        <v>5</v>
      </c>
      <c r="B11" s="486" t="s">
        <v>694</v>
      </c>
      <c r="C11" s="710">
        <v>0</v>
      </c>
      <c r="D11" s="710">
        <v>0</v>
      </c>
      <c r="E11" s="711">
        <v>0</v>
      </c>
      <c r="F11" s="711"/>
      <c r="G11" s="710"/>
      <c r="H11" s="712">
        <f t="shared" si="0"/>
        <v>0</v>
      </c>
      <c r="J11" s="728"/>
    </row>
    <row r="12" spans="1:10">
      <c r="A12" s="499">
        <v>6</v>
      </c>
      <c r="B12" s="486" t="s">
        <v>138</v>
      </c>
      <c r="C12" s="710">
        <v>128029</v>
      </c>
      <c r="D12" s="710">
        <v>136555285.67640001</v>
      </c>
      <c r="E12" s="711">
        <v>193732.12770000001</v>
      </c>
      <c r="F12" s="711"/>
      <c r="G12" s="710"/>
      <c r="H12" s="712">
        <f t="shared" si="0"/>
        <v>136489582.5487</v>
      </c>
      <c r="J12" s="728"/>
    </row>
    <row r="13" spans="1:10">
      <c r="A13" s="499">
        <v>7</v>
      </c>
      <c r="B13" s="486" t="s">
        <v>71</v>
      </c>
      <c r="C13" s="710">
        <v>15955684.7355472</v>
      </c>
      <c r="D13" s="710">
        <v>1047636155.7498568</v>
      </c>
      <c r="E13" s="711">
        <v>7647057.8286453485</v>
      </c>
      <c r="F13" s="711"/>
      <c r="G13" s="710"/>
      <c r="H13" s="712">
        <f t="shared" si="0"/>
        <v>1055944782.6567587</v>
      </c>
      <c r="J13" s="728"/>
    </row>
    <row r="14" spans="1:10">
      <c r="A14" s="499">
        <v>8</v>
      </c>
      <c r="B14" s="488" t="s">
        <v>72</v>
      </c>
      <c r="C14" s="710">
        <v>51404169.101316772</v>
      </c>
      <c r="D14" s="710">
        <v>392244257.04756969</v>
      </c>
      <c r="E14" s="711">
        <v>19891926.93878172</v>
      </c>
      <c r="F14" s="711"/>
      <c r="G14" s="711">
        <v>5337516.5788437659</v>
      </c>
      <c r="H14" s="712">
        <f t="shared" si="0"/>
        <v>423756499.2101047</v>
      </c>
      <c r="J14" s="728"/>
    </row>
    <row r="15" spans="1:10">
      <c r="A15" s="499">
        <v>9</v>
      </c>
      <c r="B15" s="486" t="s">
        <v>695</v>
      </c>
      <c r="C15" s="710">
        <v>7524632.3054016009</v>
      </c>
      <c r="D15" s="710">
        <v>303206122.26304114</v>
      </c>
      <c r="E15" s="711">
        <v>2967101.0790135302</v>
      </c>
      <c r="F15" s="711"/>
      <c r="G15" s="710"/>
      <c r="H15" s="712">
        <f t="shared" si="0"/>
        <v>307763653.48942924</v>
      </c>
      <c r="J15" s="728"/>
    </row>
    <row r="16" spans="1:10">
      <c r="A16" s="499">
        <v>10</v>
      </c>
      <c r="B16" s="490" t="s">
        <v>399</v>
      </c>
      <c r="C16" s="710">
        <v>27603792</v>
      </c>
      <c r="D16" s="710">
        <v>0</v>
      </c>
      <c r="E16" s="711">
        <v>0</v>
      </c>
      <c r="F16" s="711"/>
      <c r="G16" s="710"/>
      <c r="H16" s="712">
        <f t="shared" si="0"/>
        <v>27603792</v>
      </c>
      <c r="J16" s="728"/>
    </row>
    <row r="17" spans="1:10">
      <c r="A17" s="499">
        <v>11</v>
      </c>
      <c r="B17" s="486" t="s">
        <v>68</v>
      </c>
      <c r="C17" s="710">
        <v>0</v>
      </c>
      <c r="D17" s="710">
        <v>3304915.54</v>
      </c>
      <c r="E17" s="711">
        <v>0</v>
      </c>
      <c r="F17" s="711"/>
      <c r="G17" s="710"/>
      <c r="H17" s="712">
        <f t="shared" si="0"/>
        <v>3304915.54</v>
      </c>
      <c r="J17" s="728"/>
    </row>
    <row r="18" spans="1:10">
      <c r="A18" s="499">
        <v>12</v>
      </c>
      <c r="B18" s="486" t="s">
        <v>69</v>
      </c>
      <c r="C18" s="710">
        <v>0</v>
      </c>
      <c r="D18" s="710">
        <v>11092560.940199999</v>
      </c>
      <c r="E18" s="711">
        <v>19832.202099999999</v>
      </c>
      <c r="F18" s="711"/>
      <c r="G18" s="710"/>
      <c r="H18" s="712">
        <f t="shared" si="0"/>
        <v>11072728.7381</v>
      </c>
      <c r="J18" s="728"/>
    </row>
    <row r="19" spans="1:10">
      <c r="A19" s="500">
        <v>13</v>
      </c>
      <c r="B19" s="488" t="s">
        <v>70</v>
      </c>
      <c r="C19" s="710">
        <v>0</v>
      </c>
      <c r="D19" s="710">
        <v>0</v>
      </c>
      <c r="E19" s="711">
        <v>0</v>
      </c>
      <c r="F19" s="711"/>
      <c r="G19" s="710"/>
      <c r="H19" s="712">
        <f t="shared" si="0"/>
        <v>0</v>
      </c>
      <c r="J19" s="728"/>
    </row>
    <row r="20" spans="1:10">
      <c r="A20" s="499">
        <v>14</v>
      </c>
      <c r="B20" s="486" t="s">
        <v>385</v>
      </c>
      <c r="C20" s="710">
        <v>9417341.8067343943</v>
      </c>
      <c r="D20" s="710">
        <v>506128036.34382802</v>
      </c>
      <c r="E20" s="711">
        <v>6085893.6421771888</v>
      </c>
      <c r="F20" s="711"/>
      <c r="G20" s="710"/>
      <c r="H20" s="712">
        <f t="shared" si="0"/>
        <v>509459484.50838524</v>
      </c>
      <c r="J20" s="728"/>
    </row>
    <row r="21" spans="1:10" s="402" customFormat="1">
      <c r="A21" s="498">
        <v>15</v>
      </c>
      <c r="B21" s="497" t="s">
        <v>66</v>
      </c>
      <c r="C21" s="713">
        <f t="shared" ref="C21:H21" si="1">SUM(C7:C15)+SUM(C17:C20)</f>
        <v>84429856.948999956</v>
      </c>
      <c r="D21" s="713">
        <f t="shared" si="1"/>
        <v>3062517276.9880958</v>
      </c>
      <c r="E21" s="713">
        <f t="shared" si="1"/>
        <v>37689717.24771779</v>
      </c>
      <c r="F21" s="713">
        <f t="shared" si="1"/>
        <v>0</v>
      </c>
      <c r="G21" s="713">
        <f t="shared" si="1"/>
        <v>5337516.5788437659</v>
      </c>
      <c r="H21" s="712">
        <f t="shared" si="1"/>
        <v>3109257416.6893783</v>
      </c>
      <c r="J21" s="728"/>
    </row>
    <row r="22" spans="1:10">
      <c r="A22" s="496">
        <v>16</v>
      </c>
      <c r="B22" s="495" t="s">
        <v>400</v>
      </c>
      <c r="C22" s="710">
        <v>79823815.999000072</v>
      </c>
      <c r="D22" s="710">
        <v>1989079911.4169998</v>
      </c>
      <c r="E22" s="711">
        <v>33669324.918018304</v>
      </c>
      <c r="F22" s="711"/>
      <c r="G22" s="711">
        <v>5337516.5788437659</v>
      </c>
      <c r="H22" s="712">
        <f>C22+D22-E22-F22</f>
        <v>2035234402.4979815</v>
      </c>
      <c r="I22" s="729"/>
      <c r="J22" s="729"/>
    </row>
    <row r="23" spans="1:10">
      <c r="A23" s="496">
        <v>17</v>
      </c>
      <c r="B23" s="495" t="s">
        <v>401</v>
      </c>
      <c r="C23" s="710"/>
      <c r="D23" s="710">
        <v>426867487.17000002</v>
      </c>
      <c r="E23" s="711">
        <v>805764.00670000003</v>
      </c>
      <c r="F23" s="711"/>
      <c r="G23" s="710"/>
      <c r="H23" s="712">
        <f>C23+D23-E23-F23</f>
        <v>426061723.16330004</v>
      </c>
      <c r="J23" s="729"/>
    </row>
    <row r="24" spans="1:10">
      <c r="C24" s="728"/>
    </row>
    <row r="25" spans="1:10">
      <c r="C25" s="728"/>
      <c r="E25" s="397"/>
      <c r="F25" s="397"/>
    </row>
    <row r="26" spans="1:10" ht="42.6" customHeight="1">
      <c r="B26" s="408" t="s">
        <v>493</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election activeCell="B2" sqref="B2"/>
    </sheetView>
  </sheetViews>
  <sheetFormatPr defaultColWidth="9.140625" defaultRowHeight="12.75"/>
  <cols>
    <col min="1" max="1" width="11" style="397" bestFit="1" customWidth="1"/>
    <col min="2" max="2" width="93.42578125" style="397" customWidth="1"/>
    <col min="3" max="3" width="35" style="397" customWidth="1"/>
    <col min="4" max="4" width="15.42578125" style="397" customWidth="1"/>
    <col min="5" max="5" width="22" style="397" customWidth="1"/>
    <col min="6" max="6" width="15" style="397" customWidth="1"/>
    <col min="7" max="7" width="13" style="397" customWidth="1"/>
    <col min="8" max="8" width="21.5703125" style="397" customWidth="1"/>
    <col min="9" max="9" width="10.7109375" style="397" bestFit="1" customWidth="1"/>
    <col min="10" max="16384" width="9.140625" style="397"/>
  </cols>
  <sheetData>
    <row r="1" spans="1:9" ht="13.5">
      <c r="A1" s="396" t="s">
        <v>108</v>
      </c>
      <c r="B1" s="319" t="str">
        <f>Info!C2</f>
        <v>სს "ბაზისბანკი"</v>
      </c>
      <c r="C1" s="504"/>
      <c r="D1" s="504"/>
      <c r="E1" s="504"/>
      <c r="F1" s="504"/>
      <c r="G1" s="504"/>
      <c r="H1" s="504"/>
    </row>
    <row r="2" spans="1:9">
      <c r="A2" s="398" t="s">
        <v>109</v>
      </c>
      <c r="B2" s="400">
        <f>'1. key ratios'!B2</f>
        <v>45016</v>
      </c>
      <c r="C2" s="504"/>
      <c r="D2" s="504"/>
      <c r="E2" s="504"/>
      <c r="F2" s="504"/>
      <c r="G2" s="504"/>
      <c r="H2" s="504"/>
    </row>
    <row r="3" spans="1:9">
      <c r="A3" s="399" t="s">
        <v>402</v>
      </c>
      <c r="B3" s="504"/>
      <c r="C3" s="504"/>
      <c r="D3" s="504"/>
      <c r="E3" s="504"/>
      <c r="F3" s="504"/>
      <c r="G3" s="504"/>
      <c r="H3" s="504"/>
    </row>
    <row r="4" spans="1:9">
      <c r="A4" s="504"/>
      <c r="B4" s="504"/>
      <c r="C4" s="503" t="s">
        <v>387</v>
      </c>
      <c r="D4" s="503" t="s">
        <v>388</v>
      </c>
      <c r="E4" s="503" t="s">
        <v>389</v>
      </c>
      <c r="F4" s="503" t="s">
        <v>390</v>
      </c>
      <c r="G4" s="503" t="s">
        <v>391</v>
      </c>
      <c r="H4" s="503" t="s">
        <v>392</v>
      </c>
    </row>
    <row r="5" spans="1:9" ht="41.45" customHeight="1">
      <c r="A5" s="826" t="s">
        <v>644</v>
      </c>
      <c r="B5" s="827"/>
      <c r="C5" s="841" t="s">
        <v>481</v>
      </c>
      <c r="D5" s="842"/>
      <c r="E5" s="838" t="s">
        <v>641</v>
      </c>
      <c r="F5" s="838" t="s">
        <v>640</v>
      </c>
      <c r="G5" s="838" t="s">
        <v>396</v>
      </c>
      <c r="H5" s="501" t="s">
        <v>639</v>
      </c>
    </row>
    <row r="6" spans="1:9" ht="51">
      <c r="A6" s="830"/>
      <c r="B6" s="831"/>
      <c r="C6" s="502" t="s">
        <v>397</v>
      </c>
      <c r="D6" s="502" t="s">
        <v>398</v>
      </c>
      <c r="E6" s="839"/>
      <c r="F6" s="839"/>
      <c r="G6" s="839"/>
      <c r="H6" s="501" t="s">
        <v>638</v>
      </c>
    </row>
    <row r="7" spans="1:9">
      <c r="A7" s="493">
        <v>1</v>
      </c>
      <c r="B7" s="508" t="s">
        <v>403</v>
      </c>
      <c r="C7" s="680">
        <v>2174629.9753</v>
      </c>
      <c r="D7" s="680">
        <v>705904088.16219997</v>
      </c>
      <c r="E7" s="680">
        <v>2018626.0081318952</v>
      </c>
      <c r="F7" s="680">
        <v>0</v>
      </c>
      <c r="G7" s="693">
        <v>444773.70408132998</v>
      </c>
      <c r="H7" s="688">
        <f t="shared" ref="H7:H34" si="0">C7+D7-E7-F7</f>
        <v>706060092.12936807</v>
      </c>
      <c r="I7" s="748"/>
    </row>
    <row r="8" spans="1:9">
      <c r="A8" s="493">
        <v>2</v>
      </c>
      <c r="B8" s="508" t="s">
        <v>404</v>
      </c>
      <c r="C8" s="680">
        <v>1269412.6368</v>
      </c>
      <c r="D8" s="680">
        <v>269889083.04789978</v>
      </c>
      <c r="E8" s="680">
        <v>1402443.7947360734</v>
      </c>
      <c r="F8" s="680">
        <v>0</v>
      </c>
      <c r="G8" s="693">
        <v>66731.450077389993</v>
      </c>
      <c r="H8" s="688">
        <f t="shared" si="0"/>
        <v>269756051.88996369</v>
      </c>
      <c r="I8" s="748"/>
    </row>
    <row r="9" spans="1:9">
      <c r="A9" s="493">
        <v>3</v>
      </c>
      <c r="B9" s="508" t="s">
        <v>643</v>
      </c>
      <c r="C9" s="680">
        <v>0</v>
      </c>
      <c r="D9" s="680">
        <v>131421.8107</v>
      </c>
      <c r="E9" s="680">
        <v>24.314620924033541</v>
      </c>
      <c r="F9" s="680">
        <v>0</v>
      </c>
      <c r="G9" s="693">
        <v>0</v>
      </c>
      <c r="H9" s="688">
        <f t="shared" si="0"/>
        <v>131397.49607907597</v>
      </c>
      <c r="I9" s="748"/>
    </row>
    <row r="10" spans="1:9">
      <c r="A10" s="493">
        <v>4</v>
      </c>
      <c r="B10" s="508" t="s">
        <v>405</v>
      </c>
      <c r="C10" s="680">
        <v>2868398.9911000002</v>
      </c>
      <c r="D10" s="680">
        <v>109610699.77709988</v>
      </c>
      <c r="E10" s="680">
        <v>437704.15230996453</v>
      </c>
      <c r="F10" s="680">
        <v>0</v>
      </c>
      <c r="G10" s="693">
        <v>76273.545729830003</v>
      </c>
      <c r="H10" s="688">
        <f t="shared" si="0"/>
        <v>112041394.61588991</v>
      </c>
      <c r="I10" s="748"/>
    </row>
    <row r="11" spans="1:9">
      <c r="A11" s="493">
        <v>5</v>
      </c>
      <c r="B11" s="508" t="s">
        <v>406</v>
      </c>
      <c r="C11" s="680">
        <v>1682725.2042</v>
      </c>
      <c r="D11" s="680">
        <v>188995505.70749968</v>
      </c>
      <c r="E11" s="680">
        <v>714293.00345767033</v>
      </c>
      <c r="F11" s="680">
        <v>0</v>
      </c>
      <c r="G11" s="693">
        <v>59291.441765760006</v>
      </c>
      <c r="H11" s="688">
        <f t="shared" si="0"/>
        <v>189963937.90824202</v>
      </c>
      <c r="I11" s="748"/>
    </row>
    <row r="12" spans="1:9">
      <c r="A12" s="493">
        <v>6</v>
      </c>
      <c r="B12" s="508" t="s">
        <v>407</v>
      </c>
      <c r="C12" s="680">
        <v>3557419.91759999</v>
      </c>
      <c r="D12" s="680">
        <v>97085019.917999864</v>
      </c>
      <c r="E12" s="680">
        <v>669211.59854811244</v>
      </c>
      <c r="F12" s="680">
        <v>0</v>
      </c>
      <c r="G12" s="693">
        <v>29299.942057850003</v>
      </c>
      <c r="H12" s="688">
        <f t="shared" si="0"/>
        <v>99973228.23705174</v>
      </c>
      <c r="I12" s="748"/>
    </row>
    <row r="13" spans="1:9">
      <c r="A13" s="493">
        <v>7</v>
      </c>
      <c r="B13" s="508" t="s">
        <v>408</v>
      </c>
      <c r="C13" s="680">
        <v>744070.50219999999</v>
      </c>
      <c r="D13" s="680">
        <v>54726119.819099776</v>
      </c>
      <c r="E13" s="680">
        <v>321218.4684957494</v>
      </c>
      <c r="F13" s="680">
        <v>0</v>
      </c>
      <c r="G13" s="693">
        <v>9551.4984266899992</v>
      </c>
      <c r="H13" s="688">
        <f t="shared" si="0"/>
        <v>55148971.852804027</v>
      </c>
      <c r="I13" s="748"/>
    </row>
    <row r="14" spans="1:9">
      <c r="A14" s="493">
        <v>8</v>
      </c>
      <c r="B14" s="508" t="s">
        <v>409</v>
      </c>
      <c r="C14" s="680">
        <v>207455.72289999999</v>
      </c>
      <c r="D14" s="680">
        <v>59629945.222199894</v>
      </c>
      <c r="E14" s="680">
        <v>239546.01689928409</v>
      </c>
      <c r="F14" s="680">
        <v>0</v>
      </c>
      <c r="G14" s="693">
        <v>141886.87089462002</v>
      </c>
      <c r="H14" s="688">
        <f t="shared" si="0"/>
        <v>59597854.92820061</v>
      </c>
      <c r="I14" s="748"/>
    </row>
    <row r="15" spans="1:9">
      <c r="A15" s="493">
        <v>9</v>
      </c>
      <c r="B15" s="508" t="s">
        <v>410</v>
      </c>
      <c r="C15" s="680">
        <v>608285.88599999994</v>
      </c>
      <c r="D15" s="680">
        <v>83459855.856399983</v>
      </c>
      <c r="E15" s="680">
        <v>435525.51461300952</v>
      </c>
      <c r="F15" s="680">
        <v>0</v>
      </c>
      <c r="G15" s="693">
        <v>16266.847848899999</v>
      </c>
      <c r="H15" s="688">
        <f t="shared" si="0"/>
        <v>83632616.227786988</v>
      </c>
      <c r="I15" s="748"/>
    </row>
    <row r="16" spans="1:9">
      <c r="A16" s="493">
        <v>10</v>
      </c>
      <c r="B16" s="508" t="s">
        <v>411</v>
      </c>
      <c r="C16" s="680">
        <v>131152.94449999998</v>
      </c>
      <c r="D16" s="680">
        <v>14092884.448199958</v>
      </c>
      <c r="E16" s="680">
        <v>28683.552807449345</v>
      </c>
      <c r="F16" s="680">
        <v>0</v>
      </c>
      <c r="G16" s="693">
        <v>0</v>
      </c>
      <c r="H16" s="688">
        <f t="shared" si="0"/>
        <v>14195353.839892508</v>
      </c>
      <c r="I16" s="748"/>
    </row>
    <row r="17" spans="1:9">
      <c r="A17" s="493">
        <v>11</v>
      </c>
      <c r="B17" s="508" t="s">
        <v>412</v>
      </c>
      <c r="C17" s="680">
        <v>20773.424900000002</v>
      </c>
      <c r="D17" s="680">
        <v>1925359.4778</v>
      </c>
      <c r="E17" s="680">
        <v>5194.4179282616187</v>
      </c>
      <c r="F17" s="680">
        <v>0</v>
      </c>
      <c r="G17" s="693">
        <v>0</v>
      </c>
      <c r="H17" s="688">
        <f t="shared" si="0"/>
        <v>1940938.4847717383</v>
      </c>
      <c r="I17" s="748"/>
    </row>
    <row r="18" spans="1:9">
      <c r="A18" s="493">
        <v>12</v>
      </c>
      <c r="B18" s="508" t="s">
        <v>413</v>
      </c>
      <c r="C18" s="680">
        <v>949440.61880000005</v>
      </c>
      <c r="D18" s="680">
        <v>104051140.45849998</v>
      </c>
      <c r="E18" s="680">
        <v>743047.11262874585</v>
      </c>
      <c r="F18" s="680">
        <v>0</v>
      </c>
      <c r="G18" s="693">
        <v>167601.84680532</v>
      </c>
      <c r="H18" s="688">
        <f t="shared" si="0"/>
        <v>104257533.96467124</v>
      </c>
      <c r="I18" s="748"/>
    </row>
    <row r="19" spans="1:9">
      <c r="A19" s="493">
        <v>13</v>
      </c>
      <c r="B19" s="508" t="s">
        <v>414</v>
      </c>
      <c r="C19" s="680">
        <v>1087280.1802000001</v>
      </c>
      <c r="D19" s="680">
        <v>17443703.9747</v>
      </c>
      <c r="E19" s="680">
        <v>481812.40641956648</v>
      </c>
      <c r="F19" s="680">
        <v>0</v>
      </c>
      <c r="G19" s="693">
        <v>76177.397716649997</v>
      </c>
      <c r="H19" s="688">
        <f t="shared" si="0"/>
        <v>18049171.748480432</v>
      </c>
      <c r="I19" s="748"/>
    </row>
    <row r="20" spans="1:9">
      <c r="A20" s="493">
        <v>14</v>
      </c>
      <c r="B20" s="508" t="s">
        <v>415</v>
      </c>
      <c r="C20" s="680">
        <v>16577830.21329998</v>
      </c>
      <c r="D20" s="680">
        <v>107056892.40609981</v>
      </c>
      <c r="E20" s="680">
        <v>5556287.2547803819</v>
      </c>
      <c r="F20" s="680">
        <v>0</v>
      </c>
      <c r="G20" s="693">
        <v>0</v>
      </c>
      <c r="H20" s="688">
        <f t="shared" si="0"/>
        <v>118078435.3646194</v>
      </c>
      <c r="I20" s="748"/>
    </row>
    <row r="21" spans="1:9">
      <c r="A21" s="493">
        <v>15</v>
      </c>
      <c r="B21" s="508" t="s">
        <v>416</v>
      </c>
      <c r="C21" s="680">
        <v>3150261.3414000003</v>
      </c>
      <c r="D21" s="680">
        <v>29794836.175699893</v>
      </c>
      <c r="E21" s="680">
        <v>1507746.3899342802</v>
      </c>
      <c r="F21" s="680">
        <v>0</v>
      </c>
      <c r="G21" s="693">
        <v>0</v>
      </c>
      <c r="H21" s="688">
        <f t="shared" si="0"/>
        <v>31437351.127165616</v>
      </c>
      <c r="I21" s="748"/>
    </row>
    <row r="22" spans="1:9">
      <c r="A22" s="493">
        <v>16</v>
      </c>
      <c r="B22" s="508" t="s">
        <v>417</v>
      </c>
      <c r="C22" s="680">
        <v>61104.1106</v>
      </c>
      <c r="D22" s="680">
        <v>16279454.2344</v>
      </c>
      <c r="E22" s="680">
        <v>109994.1735044494</v>
      </c>
      <c r="F22" s="680">
        <v>0</v>
      </c>
      <c r="G22" s="693">
        <v>7900.474944489999</v>
      </c>
      <c r="H22" s="688">
        <f t="shared" si="0"/>
        <v>16230564.171495551</v>
      </c>
      <c r="I22" s="748"/>
    </row>
    <row r="23" spans="1:9">
      <c r="A23" s="493">
        <v>17</v>
      </c>
      <c r="B23" s="508" t="s">
        <v>418</v>
      </c>
      <c r="C23" s="680">
        <v>347174.28590000002</v>
      </c>
      <c r="D23" s="680">
        <v>16336509.401999999</v>
      </c>
      <c r="E23" s="680">
        <v>152903.66742600547</v>
      </c>
      <c r="F23" s="680">
        <v>0</v>
      </c>
      <c r="G23" s="693">
        <v>0</v>
      </c>
      <c r="H23" s="688">
        <f t="shared" si="0"/>
        <v>16530780.020473994</v>
      </c>
      <c r="I23" s="748"/>
    </row>
    <row r="24" spans="1:9">
      <c r="A24" s="493">
        <v>18</v>
      </c>
      <c r="B24" s="508" t="s">
        <v>419</v>
      </c>
      <c r="C24" s="680">
        <v>647773.48719999997</v>
      </c>
      <c r="D24" s="680">
        <v>117757224.84409977</v>
      </c>
      <c r="E24" s="680">
        <v>726471.89906815626</v>
      </c>
      <c r="F24" s="680">
        <v>0</v>
      </c>
      <c r="G24" s="693">
        <v>77661.784440840012</v>
      </c>
      <c r="H24" s="688">
        <f t="shared" si="0"/>
        <v>117678526.43223162</v>
      </c>
      <c r="I24" s="748"/>
    </row>
    <row r="25" spans="1:9">
      <c r="A25" s="493">
        <v>19</v>
      </c>
      <c r="B25" s="508" t="s">
        <v>420</v>
      </c>
      <c r="C25" s="680">
        <v>0</v>
      </c>
      <c r="D25" s="680">
        <v>14946144.8661</v>
      </c>
      <c r="E25" s="680">
        <v>33496.467630513725</v>
      </c>
      <c r="F25" s="680">
        <v>0</v>
      </c>
      <c r="G25" s="693">
        <v>0</v>
      </c>
      <c r="H25" s="688">
        <f t="shared" si="0"/>
        <v>14912648.398469487</v>
      </c>
      <c r="I25" s="748"/>
    </row>
    <row r="26" spans="1:9">
      <c r="A26" s="493">
        <v>20</v>
      </c>
      <c r="B26" s="508" t="s">
        <v>421</v>
      </c>
      <c r="C26" s="680">
        <v>1315616.5496</v>
      </c>
      <c r="D26" s="680">
        <v>108662744.81219992</v>
      </c>
      <c r="E26" s="680">
        <v>690925.27885992813</v>
      </c>
      <c r="F26" s="680">
        <v>0</v>
      </c>
      <c r="G26" s="693">
        <v>152448.07160021999</v>
      </c>
      <c r="H26" s="688">
        <f t="shared" si="0"/>
        <v>109287436.08294</v>
      </c>
      <c r="I26" s="748"/>
    </row>
    <row r="27" spans="1:9">
      <c r="A27" s="493">
        <v>21</v>
      </c>
      <c r="B27" s="508" t="s">
        <v>422</v>
      </c>
      <c r="C27" s="680">
        <v>659179.33539999998</v>
      </c>
      <c r="D27" s="680">
        <v>27544648.717100002</v>
      </c>
      <c r="E27" s="680">
        <v>290539.52888983744</v>
      </c>
      <c r="F27" s="680">
        <v>0</v>
      </c>
      <c r="G27" s="693">
        <v>28557.699987489999</v>
      </c>
      <c r="H27" s="688">
        <f t="shared" si="0"/>
        <v>27913288.523610163</v>
      </c>
      <c r="I27" s="748"/>
    </row>
    <row r="28" spans="1:9">
      <c r="A28" s="493">
        <v>22</v>
      </c>
      <c r="B28" s="508" t="s">
        <v>423</v>
      </c>
      <c r="C28" s="680">
        <v>347710.62569999998</v>
      </c>
      <c r="D28" s="680">
        <v>5868478.1463000001</v>
      </c>
      <c r="E28" s="680">
        <v>131754.09379321849</v>
      </c>
      <c r="F28" s="680">
        <v>0</v>
      </c>
      <c r="G28" s="693">
        <v>42280.358543450006</v>
      </c>
      <c r="H28" s="688">
        <f t="shared" si="0"/>
        <v>6084434.6782067809</v>
      </c>
      <c r="I28" s="748"/>
    </row>
    <row r="29" spans="1:9">
      <c r="A29" s="493">
        <v>23</v>
      </c>
      <c r="B29" s="508" t="s">
        <v>424</v>
      </c>
      <c r="C29" s="680">
        <v>5491683.9096999997</v>
      </c>
      <c r="D29" s="680">
        <v>247075979.33299989</v>
      </c>
      <c r="E29" s="680">
        <v>2760170.7786361245</v>
      </c>
      <c r="F29" s="680">
        <v>0</v>
      </c>
      <c r="G29" s="693">
        <v>887242.59130640037</v>
      </c>
      <c r="H29" s="688">
        <f>C29+D29-E29-F29</f>
        <v>249807492.46406376</v>
      </c>
      <c r="I29" s="748"/>
    </row>
    <row r="30" spans="1:9">
      <c r="A30" s="493">
        <v>24</v>
      </c>
      <c r="B30" s="508" t="s">
        <v>425</v>
      </c>
      <c r="C30" s="680">
        <v>4255438.1003999999</v>
      </c>
      <c r="D30" s="680">
        <v>105335521.1438999</v>
      </c>
      <c r="E30" s="680">
        <v>813169.85500752588</v>
      </c>
      <c r="F30" s="680">
        <v>0</v>
      </c>
      <c r="G30" s="693">
        <v>6700.26834151</v>
      </c>
      <c r="H30" s="688">
        <f t="shared" si="0"/>
        <v>108777789.38929237</v>
      </c>
      <c r="I30" s="748"/>
    </row>
    <row r="31" spans="1:9">
      <c r="A31" s="493">
        <v>25</v>
      </c>
      <c r="B31" s="508" t="s">
        <v>426</v>
      </c>
      <c r="C31" s="680">
        <v>6953746.2606000006</v>
      </c>
      <c r="D31" s="680">
        <v>101028734.7673004</v>
      </c>
      <c r="E31" s="680">
        <v>2620891.7770248875</v>
      </c>
      <c r="F31" s="680">
        <v>0</v>
      </c>
      <c r="G31" s="693">
        <v>423693.23324185994</v>
      </c>
      <c r="H31" s="688">
        <f t="shared" si="0"/>
        <v>105361589.2508755</v>
      </c>
      <c r="I31" s="748"/>
    </row>
    <row r="32" spans="1:9">
      <c r="A32" s="493">
        <v>0</v>
      </c>
      <c r="B32" s="508" t="s">
        <v>427</v>
      </c>
      <c r="C32" s="680">
        <v>24715469.154700004</v>
      </c>
      <c r="D32" s="680">
        <v>205358877.06965396</v>
      </c>
      <c r="E32" s="680">
        <v>12339723.219907586</v>
      </c>
      <c r="F32" s="680">
        <v>0</v>
      </c>
      <c r="G32" s="693">
        <v>2623177.55103317</v>
      </c>
      <c r="H32" s="688">
        <f t="shared" si="0"/>
        <v>217734623.00444639</v>
      </c>
      <c r="I32" s="748"/>
    </row>
    <row r="33" spans="1:9">
      <c r="A33" s="493">
        <v>27</v>
      </c>
      <c r="B33" s="494" t="s">
        <v>99</v>
      </c>
      <c r="C33" s="680">
        <f>4582203.6526+23620</f>
        <v>4605823.6525999997</v>
      </c>
      <c r="D33" s="680">
        <f>(252559955.004258)+-33551.6143145561</f>
        <v>252526403.38994345</v>
      </c>
      <c r="E33" s="680">
        <v>2458312.5016581952</v>
      </c>
      <c r="F33" s="680">
        <v>0</v>
      </c>
      <c r="G33" s="693">
        <v>0</v>
      </c>
      <c r="H33" s="688">
        <f t="shared" si="0"/>
        <v>254673914.54088524</v>
      </c>
    </row>
    <row r="34" spans="1:9">
      <c r="A34" s="493">
        <v>28</v>
      </c>
      <c r="B34" s="507" t="s">
        <v>66</v>
      </c>
      <c r="C34" s="683">
        <f>SUM(C7:C33)</f>
        <v>84429857.031599969</v>
      </c>
      <c r="D34" s="683">
        <f>SUM(D7:D33)</f>
        <v>3062517276.9880958</v>
      </c>
      <c r="E34" s="683">
        <f>SUM(E7:E33)</f>
        <v>37689717.24771779</v>
      </c>
      <c r="F34" s="683">
        <f>SUM(F7:F33)</f>
        <v>0</v>
      </c>
      <c r="G34" s="683">
        <f>SUM(G7:G33)</f>
        <v>5337516.5788437705</v>
      </c>
      <c r="H34" s="688">
        <f t="shared" si="0"/>
        <v>3109257416.7719779</v>
      </c>
      <c r="I34" s="404"/>
    </row>
    <row r="35" spans="1:9" ht="15">
      <c r="A35" s="404"/>
      <c r="B35" s="404"/>
      <c r="C35" s="730"/>
      <c r="D35" s="730"/>
      <c r="E35" s="730"/>
      <c r="F35" s="404"/>
      <c r="G35"/>
      <c r="H35" s="404"/>
      <c r="I35" s="730"/>
    </row>
    <row r="36" spans="1:9">
      <c r="A36" s="404"/>
      <c r="B36" s="405"/>
      <c r="C36" s="404"/>
      <c r="D36" s="404"/>
      <c r="E36" s="404"/>
      <c r="F36" s="404"/>
      <c r="G36" s="404"/>
      <c r="H36" s="404"/>
      <c r="I36" s="404"/>
    </row>
    <row r="37" spans="1:9">
      <c r="C37" s="727"/>
      <c r="D37" s="727"/>
      <c r="E37" s="727"/>
      <c r="F37" s="727"/>
      <c r="G37" s="727"/>
      <c r="H37" s="727"/>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election activeCell="C6" sqref="C6"/>
    </sheetView>
  </sheetViews>
  <sheetFormatPr defaultColWidth="9.140625" defaultRowHeight="12.75"/>
  <cols>
    <col min="1" max="1" width="11.85546875" style="397" bestFit="1" customWidth="1"/>
    <col min="2" max="2" width="108" style="397" bestFit="1" customWidth="1"/>
    <col min="3" max="3" width="35.42578125" style="397" customWidth="1"/>
    <col min="4" max="4" width="38.42578125" style="403" customWidth="1"/>
    <col min="5" max="16384" width="9.140625" style="397"/>
  </cols>
  <sheetData>
    <row r="1" spans="1:5" ht="13.5">
      <c r="A1" s="396" t="s">
        <v>108</v>
      </c>
      <c r="B1" s="319" t="str">
        <f>Info!C2</f>
        <v>სს "ბაზისბანკი"</v>
      </c>
      <c r="D1" s="397"/>
    </row>
    <row r="2" spans="1:5">
      <c r="A2" s="398" t="s">
        <v>109</v>
      </c>
      <c r="B2" s="400">
        <f>'1. key ratios'!B2</f>
        <v>45016</v>
      </c>
      <c r="D2" s="397"/>
    </row>
    <row r="3" spans="1:5">
      <c r="A3" s="399" t="s">
        <v>428</v>
      </c>
      <c r="D3" s="397"/>
    </row>
    <row r="5" spans="1:5">
      <c r="A5" s="843" t="s">
        <v>655</v>
      </c>
      <c r="B5" s="843"/>
      <c r="C5" s="516" t="s">
        <v>447</v>
      </c>
      <c r="D5" s="516" t="s">
        <v>654</v>
      </c>
    </row>
    <row r="6" spans="1:5">
      <c r="A6" s="515">
        <v>1</v>
      </c>
      <c r="B6" s="509" t="s">
        <v>653</v>
      </c>
      <c r="C6" s="679">
        <v>33166554.217799999</v>
      </c>
      <c r="D6" s="679">
        <v>813047.6629</v>
      </c>
    </row>
    <row r="7" spans="1:5">
      <c r="A7" s="512">
        <v>2</v>
      </c>
      <c r="B7" s="509" t="s">
        <v>652</v>
      </c>
      <c r="C7" s="679">
        <f>SUM(C8:C9)</f>
        <v>14750558.841</v>
      </c>
      <c r="D7" s="679">
        <f>SUM(D8:D9)</f>
        <v>367389.9644</v>
      </c>
    </row>
    <row r="8" spans="1:5">
      <c r="A8" s="514">
        <v>2.1</v>
      </c>
      <c r="B8" s="513" t="s">
        <v>651</v>
      </c>
      <c r="C8" s="678">
        <v>10529657.841</v>
      </c>
      <c r="D8" s="678">
        <v>365632.21740000002</v>
      </c>
    </row>
    <row r="9" spans="1:5">
      <c r="A9" s="514">
        <v>2.2000000000000002</v>
      </c>
      <c r="B9" s="513" t="s">
        <v>650</v>
      </c>
      <c r="C9" s="678">
        <v>4220901</v>
      </c>
      <c r="D9" s="678">
        <v>1757.7470000000001</v>
      </c>
    </row>
    <row r="10" spans="1:5">
      <c r="A10" s="515">
        <v>3</v>
      </c>
      <c r="B10" s="509" t="s">
        <v>649</v>
      </c>
      <c r="C10" s="679">
        <f>SUM(C11:C13)</f>
        <v>14448432.2906</v>
      </c>
      <c r="D10" s="679">
        <f>SUM(D11:D13)</f>
        <v>374673.62029999995</v>
      </c>
    </row>
    <row r="11" spans="1:5">
      <c r="A11" s="514">
        <v>3.1</v>
      </c>
      <c r="B11" s="513" t="s">
        <v>429</v>
      </c>
      <c r="C11" s="750">
        <f>'19. Assets by Risk Sectors'!G34</f>
        <v>5337516.5788437705</v>
      </c>
      <c r="D11" s="678">
        <v>0</v>
      </c>
      <c r="E11" s="727"/>
    </row>
    <row r="12" spans="1:5">
      <c r="A12" s="514">
        <v>3.2</v>
      </c>
      <c r="B12" s="513" t="s">
        <v>648</v>
      </c>
      <c r="C12" s="750">
        <v>7358232.7384000001</v>
      </c>
      <c r="D12" s="678">
        <v>15122.413800000002</v>
      </c>
    </row>
    <row r="13" spans="1:5">
      <c r="A13" s="514">
        <v>3.3</v>
      </c>
      <c r="B13" s="513" t="s">
        <v>647</v>
      </c>
      <c r="C13" s="750">
        <v>1752682.9733562302</v>
      </c>
      <c r="D13" s="678">
        <v>359551.20649999997</v>
      </c>
    </row>
    <row r="14" spans="1:5">
      <c r="A14" s="512">
        <v>4</v>
      </c>
      <c r="B14" s="511" t="s">
        <v>646</v>
      </c>
      <c r="C14" s="678">
        <v>200644</v>
      </c>
      <c r="D14" s="678">
        <v>0</v>
      </c>
    </row>
    <row r="15" spans="1:5">
      <c r="A15" s="510">
        <v>5</v>
      </c>
      <c r="B15" s="509" t="s">
        <v>645</v>
      </c>
      <c r="C15" s="679">
        <f>C6+C7-C10+C14</f>
        <v>33669324.768199995</v>
      </c>
      <c r="D15" s="679">
        <f>D6+D7-D10+D14</f>
        <v>805764.0070000001</v>
      </c>
    </row>
    <row r="16" spans="1:5" ht="15">
      <c r="C16"/>
    </row>
    <row r="17" spans="3:4" ht="15">
      <c r="C17"/>
      <c r="D17" s="727"/>
    </row>
    <row r="18" spans="3:4" ht="15">
      <c r="C18"/>
    </row>
    <row r="19" spans="3:4" ht="15">
      <c r="C19"/>
    </row>
    <row r="20" spans="3:4" ht="15">
      <c r="C20"/>
    </row>
    <row r="21" spans="3:4" ht="15">
      <c r="C21"/>
    </row>
  </sheetData>
  <mergeCells count="1">
    <mergeCell ref="A5:B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110" zoomScaleNormal="110" workbookViewId="0">
      <selection activeCell="B2" sqref="B2"/>
    </sheetView>
  </sheetViews>
  <sheetFormatPr defaultColWidth="9.140625" defaultRowHeight="12.75"/>
  <cols>
    <col min="1" max="1" width="11.85546875" style="504" bestFit="1" customWidth="1"/>
    <col min="2" max="2" width="128.85546875" style="504" bestFit="1" customWidth="1"/>
    <col min="3" max="3" width="37" style="504" customWidth="1"/>
    <col min="4" max="4" width="50.42578125" style="504" customWidth="1"/>
    <col min="5" max="16384" width="9.140625" style="504"/>
  </cols>
  <sheetData>
    <row r="1" spans="1:5" ht="13.5">
      <c r="A1" s="396" t="s">
        <v>108</v>
      </c>
      <c r="B1" s="319" t="str">
        <f>Info!C2</f>
        <v>სს "ბაზისბანკი"</v>
      </c>
    </row>
    <row r="2" spans="1:5">
      <c r="A2" s="398" t="s">
        <v>109</v>
      </c>
      <c r="B2" s="400">
        <f>'1. key ratios'!B2</f>
        <v>45016</v>
      </c>
    </row>
    <row r="3" spans="1:5">
      <c r="A3" s="399" t="s">
        <v>430</v>
      </c>
    </row>
    <row r="4" spans="1:5">
      <c r="A4" s="399"/>
    </row>
    <row r="5" spans="1:5" ht="15" customHeight="1">
      <c r="A5" s="844" t="s">
        <v>431</v>
      </c>
      <c r="B5" s="845"/>
      <c r="C5" s="848" t="s">
        <v>432</v>
      </c>
      <c r="D5" s="848" t="s">
        <v>433</v>
      </c>
    </row>
    <row r="6" spans="1:5">
      <c r="A6" s="846"/>
      <c r="B6" s="847"/>
      <c r="C6" s="848"/>
      <c r="D6" s="848"/>
    </row>
    <row r="7" spans="1:5">
      <c r="A7" s="507">
        <v>1</v>
      </c>
      <c r="B7" s="497" t="s">
        <v>434</v>
      </c>
      <c r="C7" s="693">
        <v>82975284.808300063</v>
      </c>
      <c r="D7" s="517"/>
    </row>
    <row r="8" spans="1:5">
      <c r="A8" s="494">
        <v>2</v>
      </c>
      <c r="B8" s="494" t="s">
        <v>435</v>
      </c>
      <c r="C8" s="693">
        <v>3942121.89</v>
      </c>
      <c r="D8" s="517"/>
    </row>
    <row r="9" spans="1:5">
      <c r="A9" s="494">
        <v>3</v>
      </c>
      <c r="B9" s="520" t="s">
        <v>436</v>
      </c>
      <c r="C9" s="693">
        <v>0</v>
      </c>
      <c r="D9" s="517"/>
    </row>
    <row r="10" spans="1:5">
      <c r="A10" s="494">
        <v>4</v>
      </c>
      <c r="B10" s="494" t="s">
        <v>437</v>
      </c>
      <c r="C10" s="693">
        <f>SUM(C11:C17)</f>
        <v>7093590.6993000004</v>
      </c>
      <c r="D10" s="517"/>
    </row>
    <row r="11" spans="1:5">
      <c r="A11" s="494">
        <v>5</v>
      </c>
      <c r="B11" s="519" t="s">
        <v>656</v>
      </c>
      <c r="C11" s="693">
        <v>0</v>
      </c>
      <c r="D11" s="517"/>
    </row>
    <row r="12" spans="1:5">
      <c r="A12" s="494">
        <v>6</v>
      </c>
      <c r="B12" s="519" t="s">
        <v>438</v>
      </c>
      <c r="C12" s="693">
        <v>0</v>
      </c>
      <c r="D12" s="517"/>
    </row>
    <row r="13" spans="1:5">
      <c r="A13" s="494">
        <v>7</v>
      </c>
      <c r="B13" s="519" t="s">
        <v>441</v>
      </c>
      <c r="C13" s="693">
        <v>5337516.5788437705</v>
      </c>
      <c r="D13" s="517"/>
      <c r="E13" s="731"/>
    </row>
    <row r="14" spans="1:5">
      <c r="A14" s="494">
        <v>8</v>
      </c>
      <c r="B14" s="519" t="s">
        <v>439</v>
      </c>
      <c r="C14" s="693">
        <v>0</v>
      </c>
      <c r="D14" s="693">
        <v>0</v>
      </c>
    </row>
    <row r="15" spans="1:5">
      <c r="A15" s="494">
        <v>9</v>
      </c>
      <c r="B15" s="519" t="s">
        <v>440</v>
      </c>
      <c r="C15" s="693">
        <v>0</v>
      </c>
      <c r="D15" s="693">
        <v>0</v>
      </c>
    </row>
    <row r="16" spans="1:5">
      <c r="A16" s="494">
        <v>10</v>
      </c>
      <c r="B16" s="519" t="s">
        <v>442</v>
      </c>
      <c r="C16" s="693">
        <v>974601.45039999997</v>
      </c>
      <c r="D16" s="750">
        <v>935636.90210000006</v>
      </c>
    </row>
    <row r="17" spans="1:4" ht="25.5">
      <c r="A17" s="494">
        <v>11</v>
      </c>
      <c r="B17" s="519" t="s">
        <v>443</v>
      </c>
      <c r="C17" s="693">
        <v>781472.67005622992</v>
      </c>
      <c r="D17" s="517"/>
    </row>
    <row r="18" spans="1:4">
      <c r="A18" s="507">
        <v>12</v>
      </c>
      <c r="B18" s="518" t="s">
        <v>444</v>
      </c>
      <c r="C18" s="683">
        <f>C7+C8+C9-C10</f>
        <v>79823815.999000058</v>
      </c>
      <c r="D18" s="517"/>
    </row>
    <row r="21" spans="1:4" ht="15">
      <c r="B21" s="396"/>
      <c r="C21"/>
    </row>
    <row r="22" spans="1:4" ht="15">
      <c r="B22" s="398"/>
      <c r="C22"/>
    </row>
    <row r="23" spans="1:4" ht="15">
      <c r="B23" s="399"/>
      <c r="C23"/>
    </row>
    <row r="24" spans="1:4" ht="15">
      <c r="C2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topLeftCell="A3" workbookViewId="0">
      <selection activeCell="B41" sqref="B41"/>
    </sheetView>
  </sheetViews>
  <sheetFormatPr defaultColWidth="9.140625" defaultRowHeight="12.75"/>
  <cols>
    <col min="1" max="1" width="11.85546875" style="504" bestFit="1" customWidth="1"/>
    <col min="2" max="2" width="63.85546875" style="504" customWidth="1"/>
    <col min="3" max="3" width="15.42578125" style="504" customWidth="1"/>
    <col min="4" max="18" width="22.28515625" style="504" customWidth="1"/>
    <col min="19" max="19" width="23.28515625" style="504" bestFit="1" customWidth="1"/>
    <col min="20" max="26" width="22.28515625" style="504" customWidth="1"/>
    <col min="27" max="27" width="23.28515625" style="504" bestFit="1" customWidth="1"/>
    <col min="28" max="28" width="20" style="504" customWidth="1"/>
    <col min="29" max="16384" width="9.140625" style="504"/>
  </cols>
  <sheetData>
    <row r="1" spans="1:28" ht="13.5">
      <c r="A1" s="396" t="s">
        <v>108</v>
      </c>
      <c r="B1" s="319" t="str">
        <f>Info!C2</f>
        <v>სს "ბაზისბანკი"</v>
      </c>
    </row>
    <row r="2" spans="1:28">
      <c r="A2" s="398" t="s">
        <v>109</v>
      </c>
      <c r="B2" s="400">
        <f>'1. key ratios'!B2</f>
        <v>45016</v>
      </c>
      <c r="C2" s="505"/>
    </row>
    <row r="3" spans="1:28">
      <c r="A3" s="399" t="s">
        <v>445</v>
      </c>
    </row>
    <row r="5" spans="1:28" ht="15" customHeight="1">
      <c r="A5" s="849" t="s">
        <v>669</v>
      </c>
      <c r="B5" s="850"/>
      <c r="C5" s="855" t="s">
        <v>668</v>
      </c>
      <c r="D5" s="856"/>
      <c r="E5" s="856"/>
      <c r="F5" s="856"/>
      <c r="G5" s="856"/>
      <c r="H5" s="856"/>
      <c r="I5" s="856"/>
      <c r="J5" s="856"/>
      <c r="K5" s="856"/>
      <c r="L5" s="856"/>
      <c r="M5" s="856"/>
      <c r="N5" s="856"/>
      <c r="O5" s="856"/>
      <c r="P5" s="856"/>
      <c r="Q5" s="856"/>
      <c r="R5" s="856"/>
      <c r="S5" s="856"/>
      <c r="T5" s="534"/>
      <c r="U5" s="534"/>
      <c r="V5" s="534"/>
      <c r="W5" s="534"/>
      <c r="X5" s="534"/>
      <c r="Y5" s="534"/>
      <c r="Z5" s="534"/>
      <c r="AA5" s="533"/>
      <c r="AB5" s="524"/>
    </row>
    <row r="6" spans="1:28">
      <c r="A6" s="851"/>
      <c r="B6" s="852"/>
      <c r="C6" s="857" t="s">
        <v>66</v>
      </c>
      <c r="D6" s="859" t="s">
        <v>667</v>
      </c>
      <c r="E6" s="859"/>
      <c r="F6" s="859"/>
      <c r="G6" s="859"/>
      <c r="H6" s="860" t="s">
        <v>666</v>
      </c>
      <c r="I6" s="861"/>
      <c r="J6" s="861"/>
      <c r="K6" s="862"/>
      <c r="L6" s="532"/>
      <c r="M6" s="863" t="s">
        <v>665</v>
      </c>
      <c r="N6" s="863"/>
      <c r="O6" s="863"/>
      <c r="P6" s="863"/>
      <c r="Q6" s="863"/>
      <c r="R6" s="863"/>
      <c r="S6" s="839"/>
      <c r="T6" s="531"/>
      <c r="U6" s="842" t="s">
        <v>664</v>
      </c>
      <c r="V6" s="842"/>
      <c r="W6" s="842"/>
      <c r="X6" s="842"/>
      <c r="Y6" s="842"/>
      <c r="Z6" s="842"/>
      <c r="AA6" s="840"/>
      <c r="AB6" s="530"/>
    </row>
    <row r="7" spans="1:28" ht="25.5">
      <c r="A7" s="853"/>
      <c r="B7" s="854"/>
      <c r="C7" s="858"/>
      <c r="D7" s="529"/>
      <c r="E7" s="525" t="s">
        <v>446</v>
      </c>
      <c r="F7" s="501" t="s">
        <v>662</v>
      </c>
      <c r="G7" s="501" t="s">
        <v>663</v>
      </c>
      <c r="H7" s="528"/>
      <c r="I7" s="525" t="s">
        <v>446</v>
      </c>
      <c r="J7" s="501" t="s">
        <v>662</v>
      </c>
      <c r="K7" s="501" t="s">
        <v>663</v>
      </c>
      <c r="L7" s="527"/>
      <c r="M7" s="525" t="s">
        <v>446</v>
      </c>
      <c r="N7" s="501" t="s">
        <v>662</v>
      </c>
      <c r="O7" s="501" t="s">
        <v>661</v>
      </c>
      <c r="P7" s="501" t="s">
        <v>660</v>
      </c>
      <c r="Q7" s="501" t="s">
        <v>659</v>
      </c>
      <c r="R7" s="501" t="s">
        <v>658</v>
      </c>
      <c r="S7" s="501" t="s">
        <v>657</v>
      </c>
      <c r="T7" s="526"/>
      <c r="U7" s="525" t="s">
        <v>446</v>
      </c>
      <c r="V7" s="501" t="s">
        <v>662</v>
      </c>
      <c r="W7" s="501" t="s">
        <v>661</v>
      </c>
      <c r="X7" s="501" t="s">
        <v>660</v>
      </c>
      <c r="Y7" s="501" t="s">
        <v>659</v>
      </c>
      <c r="Z7" s="501" t="s">
        <v>658</v>
      </c>
      <c r="AA7" s="501" t="s">
        <v>657</v>
      </c>
      <c r="AB7" s="524"/>
    </row>
    <row r="8" spans="1:28" s="737" customFormat="1">
      <c r="A8" s="734">
        <v>1</v>
      </c>
      <c r="B8" s="497" t="s">
        <v>447</v>
      </c>
      <c r="C8" s="735">
        <v>2068903727.4159882</v>
      </c>
      <c r="D8" s="683">
        <v>1891008819.154788</v>
      </c>
      <c r="E8" s="683">
        <v>27282481.606599972</v>
      </c>
      <c r="F8" s="683">
        <v>0</v>
      </c>
      <c r="G8" s="683">
        <v>0</v>
      </c>
      <c r="H8" s="683">
        <v>98070875.262200102</v>
      </c>
      <c r="I8" s="683">
        <v>7761154.3977999967</v>
      </c>
      <c r="J8" s="683">
        <v>12014895.173699997</v>
      </c>
      <c r="K8" s="683">
        <v>867048.8637000001</v>
      </c>
      <c r="L8" s="683">
        <v>79824032.999000043</v>
      </c>
      <c r="M8" s="683">
        <v>13303112.914800003</v>
      </c>
      <c r="N8" s="683">
        <v>7334066.4754999988</v>
      </c>
      <c r="O8" s="683">
        <v>17545470.755100019</v>
      </c>
      <c r="P8" s="683">
        <v>9055078.8965999987</v>
      </c>
      <c r="Q8" s="683">
        <v>8786220.6773999967</v>
      </c>
      <c r="R8" s="683">
        <v>787605.0922999999</v>
      </c>
      <c r="S8" s="683">
        <v>20.689999999999998</v>
      </c>
      <c r="T8" s="683">
        <v>0</v>
      </c>
      <c r="U8" s="683">
        <v>0</v>
      </c>
      <c r="V8" s="683">
        <v>0</v>
      </c>
      <c r="W8" s="683">
        <v>0</v>
      </c>
      <c r="X8" s="683">
        <v>0</v>
      </c>
      <c r="Y8" s="683">
        <v>0</v>
      </c>
      <c r="Z8" s="683">
        <v>0</v>
      </c>
      <c r="AA8" s="683">
        <v>0</v>
      </c>
      <c r="AB8" s="736"/>
    </row>
    <row r="9" spans="1:28">
      <c r="A9" s="493">
        <v>1.1000000000000001</v>
      </c>
      <c r="B9" s="522" t="s">
        <v>448</v>
      </c>
      <c r="C9" s="699">
        <v>0</v>
      </c>
      <c r="D9" s="680">
        <v>0</v>
      </c>
      <c r="E9" s="680">
        <v>0</v>
      </c>
      <c r="F9" s="680">
        <v>0</v>
      </c>
      <c r="G9" s="680">
        <v>0</v>
      </c>
      <c r="H9" s="680">
        <v>0</v>
      </c>
      <c r="I9" s="680">
        <v>0</v>
      </c>
      <c r="J9" s="680">
        <v>0</v>
      </c>
      <c r="K9" s="680">
        <v>0</v>
      </c>
      <c r="L9" s="680">
        <v>0</v>
      </c>
      <c r="M9" s="680">
        <v>0</v>
      </c>
      <c r="N9" s="680">
        <v>0</v>
      </c>
      <c r="O9" s="680">
        <v>0</v>
      </c>
      <c r="P9" s="680">
        <v>0</v>
      </c>
      <c r="Q9" s="680">
        <v>0</v>
      </c>
      <c r="R9" s="680">
        <v>0</v>
      </c>
      <c r="S9" s="680">
        <v>0</v>
      </c>
      <c r="T9" s="680"/>
      <c r="U9" s="680"/>
      <c r="V9" s="680"/>
      <c r="W9" s="680"/>
      <c r="X9" s="680"/>
      <c r="Y9" s="680"/>
      <c r="Z9" s="680"/>
      <c r="AA9" s="680"/>
      <c r="AB9" s="733"/>
    </row>
    <row r="10" spans="1:28">
      <c r="A10" s="493">
        <v>1.2</v>
      </c>
      <c r="B10" s="522" t="s">
        <v>449</v>
      </c>
      <c r="C10" s="699">
        <v>4025357.4189999998</v>
      </c>
      <c r="D10" s="680">
        <v>4025357.4189999998</v>
      </c>
      <c r="E10" s="680">
        <v>0</v>
      </c>
      <c r="F10" s="680">
        <v>0</v>
      </c>
      <c r="G10" s="680">
        <v>0</v>
      </c>
      <c r="H10" s="680">
        <v>0</v>
      </c>
      <c r="I10" s="680">
        <v>0</v>
      </c>
      <c r="J10" s="680">
        <v>0</v>
      </c>
      <c r="K10" s="680">
        <v>0</v>
      </c>
      <c r="L10" s="680">
        <v>0</v>
      </c>
      <c r="M10" s="680">
        <v>0</v>
      </c>
      <c r="N10" s="680">
        <v>0</v>
      </c>
      <c r="O10" s="680">
        <v>0</v>
      </c>
      <c r="P10" s="680">
        <v>0</v>
      </c>
      <c r="Q10" s="680">
        <v>0</v>
      </c>
      <c r="R10" s="680">
        <v>0</v>
      </c>
      <c r="S10" s="680">
        <v>0</v>
      </c>
      <c r="T10" s="680"/>
      <c r="U10" s="680"/>
      <c r="V10" s="680"/>
      <c r="W10" s="680"/>
      <c r="X10" s="680"/>
      <c r="Y10" s="680"/>
      <c r="Z10" s="680"/>
      <c r="AA10" s="680"/>
      <c r="AB10" s="733"/>
    </row>
    <row r="11" spans="1:28">
      <c r="A11" s="493">
        <v>1.3</v>
      </c>
      <c r="B11" s="522" t="s">
        <v>450</v>
      </c>
      <c r="C11" s="699">
        <v>0</v>
      </c>
      <c r="D11" s="680">
        <v>0</v>
      </c>
      <c r="E11" s="680">
        <v>0</v>
      </c>
      <c r="F11" s="680">
        <v>0</v>
      </c>
      <c r="G11" s="680">
        <v>0</v>
      </c>
      <c r="H11" s="680">
        <v>0</v>
      </c>
      <c r="I11" s="680">
        <v>0</v>
      </c>
      <c r="J11" s="680">
        <v>0</v>
      </c>
      <c r="K11" s="680">
        <v>0</v>
      </c>
      <c r="L11" s="680">
        <v>0</v>
      </c>
      <c r="M11" s="680">
        <v>0</v>
      </c>
      <c r="N11" s="680">
        <v>0</v>
      </c>
      <c r="O11" s="680">
        <v>0</v>
      </c>
      <c r="P11" s="680">
        <v>0</v>
      </c>
      <c r="Q11" s="680">
        <v>0</v>
      </c>
      <c r="R11" s="680">
        <v>0</v>
      </c>
      <c r="S11" s="680">
        <v>0</v>
      </c>
      <c r="T11" s="680"/>
      <c r="U11" s="680"/>
      <c r="V11" s="680"/>
      <c r="W11" s="680"/>
      <c r="X11" s="680"/>
      <c r="Y11" s="680"/>
      <c r="Z11" s="680"/>
      <c r="AA11" s="680"/>
      <c r="AB11" s="733"/>
    </row>
    <row r="12" spans="1:28">
      <c r="A12" s="493">
        <v>1.4</v>
      </c>
      <c r="B12" s="522" t="s">
        <v>451</v>
      </c>
      <c r="C12" s="699">
        <v>65897449.140299976</v>
      </c>
      <c r="D12" s="680">
        <v>65832824.072299972</v>
      </c>
      <c r="E12" s="680">
        <v>0</v>
      </c>
      <c r="F12" s="680">
        <v>0</v>
      </c>
      <c r="G12" s="680">
        <v>0</v>
      </c>
      <c r="H12" s="680">
        <v>0</v>
      </c>
      <c r="I12" s="680">
        <v>0</v>
      </c>
      <c r="J12" s="680">
        <v>0</v>
      </c>
      <c r="K12" s="680">
        <v>0</v>
      </c>
      <c r="L12" s="680">
        <v>64625.067999999992</v>
      </c>
      <c r="M12" s="680">
        <v>0</v>
      </c>
      <c r="N12" s="680">
        <v>8681.0055000000011</v>
      </c>
      <c r="O12" s="680">
        <v>0</v>
      </c>
      <c r="P12" s="680">
        <v>0</v>
      </c>
      <c r="Q12" s="680">
        <v>55944.062499999993</v>
      </c>
      <c r="R12" s="680">
        <v>0</v>
      </c>
      <c r="S12" s="680">
        <v>0</v>
      </c>
      <c r="T12" s="680"/>
      <c r="U12" s="680"/>
      <c r="V12" s="680"/>
      <c r="W12" s="680"/>
      <c r="X12" s="680"/>
      <c r="Y12" s="680"/>
      <c r="Z12" s="680"/>
      <c r="AA12" s="680"/>
      <c r="AB12" s="733"/>
    </row>
    <row r="13" spans="1:28">
      <c r="A13" s="493">
        <v>1.5</v>
      </c>
      <c r="B13" s="522" t="s">
        <v>452</v>
      </c>
      <c r="C13" s="699">
        <v>1247119159.1876996</v>
      </c>
      <c r="D13" s="680">
        <v>1147599878.8138995</v>
      </c>
      <c r="E13" s="680">
        <v>15585133.061499996</v>
      </c>
      <c r="F13" s="680">
        <v>0</v>
      </c>
      <c r="G13" s="680">
        <v>0</v>
      </c>
      <c r="H13" s="680">
        <v>66325279.297900014</v>
      </c>
      <c r="I13" s="680">
        <v>2043086.0800000003</v>
      </c>
      <c r="J13" s="680">
        <v>5031913.5909999982</v>
      </c>
      <c r="K13" s="680">
        <v>867048.86270000006</v>
      </c>
      <c r="L13" s="680">
        <v>33194001.075900014</v>
      </c>
      <c r="M13" s="680">
        <v>9503792.5738000013</v>
      </c>
      <c r="N13" s="680">
        <v>3091647.3943000003</v>
      </c>
      <c r="O13" s="680">
        <v>2070032.5007999996</v>
      </c>
      <c r="P13" s="680">
        <v>2922746.6614000006</v>
      </c>
      <c r="Q13" s="680">
        <v>425532.2071</v>
      </c>
      <c r="R13" s="680">
        <v>449089.93209999998</v>
      </c>
      <c r="S13" s="680">
        <v>0</v>
      </c>
      <c r="T13" s="680"/>
      <c r="U13" s="680"/>
      <c r="V13" s="680"/>
      <c r="W13" s="680"/>
      <c r="X13" s="680"/>
      <c r="Y13" s="680"/>
      <c r="Z13" s="680"/>
      <c r="AA13" s="680"/>
      <c r="AB13" s="733"/>
    </row>
    <row r="14" spans="1:28">
      <c r="A14" s="493">
        <v>1.6</v>
      </c>
      <c r="B14" s="522" t="s">
        <v>453</v>
      </c>
      <c r="C14" s="699">
        <v>751861761.6689887</v>
      </c>
      <c r="D14" s="680">
        <v>673550758.84958863</v>
      </c>
      <c r="E14" s="680">
        <v>11697348.545099974</v>
      </c>
      <c r="F14" s="680">
        <v>0</v>
      </c>
      <c r="G14" s="680">
        <v>0</v>
      </c>
      <c r="H14" s="680">
        <v>31745595.964300092</v>
      </c>
      <c r="I14" s="680">
        <v>5718068.3177999966</v>
      </c>
      <c r="J14" s="680">
        <v>6982981.5826999983</v>
      </c>
      <c r="K14" s="680">
        <v>1E-3</v>
      </c>
      <c r="L14" s="680">
        <v>46565406.855100036</v>
      </c>
      <c r="M14" s="680">
        <v>3799320.3410000019</v>
      </c>
      <c r="N14" s="680">
        <v>4233738.075699999</v>
      </c>
      <c r="O14" s="680">
        <v>15475438.254300019</v>
      </c>
      <c r="P14" s="680">
        <v>6132332.2351999981</v>
      </c>
      <c r="Q14" s="680">
        <v>8304744.4077999964</v>
      </c>
      <c r="R14" s="680">
        <v>338515.16019999998</v>
      </c>
      <c r="S14" s="680">
        <v>20.689999999999998</v>
      </c>
      <c r="T14" s="680"/>
      <c r="U14" s="680"/>
      <c r="V14" s="680"/>
      <c r="W14" s="680"/>
      <c r="X14" s="680"/>
      <c r="Y14" s="680"/>
      <c r="Z14" s="680"/>
      <c r="AA14" s="680"/>
      <c r="AB14" s="733"/>
    </row>
    <row r="15" spans="1:28">
      <c r="A15" s="523">
        <v>2</v>
      </c>
      <c r="B15" s="507" t="s">
        <v>454</v>
      </c>
      <c r="C15" s="683">
        <f>SUM(C16:C21)</f>
        <v>426867486.35000002</v>
      </c>
      <c r="D15" s="680">
        <f>SUM(D16:D21)</f>
        <v>426867486.35000002</v>
      </c>
      <c r="E15" s="680">
        <f>SUM(E16:E21)</f>
        <v>0</v>
      </c>
      <c r="F15" s="680">
        <f t="shared" ref="F15:AA15" si="0">SUM(F16:F21)</f>
        <v>0</v>
      </c>
      <c r="G15" s="680">
        <f t="shared" si="0"/>
        <v>0</v>
      </c>
      <c r="H15" s="680">
        <f t="shared" si="0"/>
        <v>0</v>
      </c>
      <c r="I15" s="680">
        <f t="shared" si="0"/>
        <v>0</v>
      </c>
      <c r="J15" s="680">
        <f t="shared" si="0"/>
        <v>0</v>
      </c>
      <c r="K15" s="680">
        <f t="shared" si="0"/>
        <v>0</v>
      </c>
      <c r="L15" s="680">
        <f t="shared" si="0"/>
        <v>0</v>
      </c>
      <c r="M15" s="680">
        <f t="shared" si="0"/>
        <v>0</v>
      </c>
      <c r="N15" s="680">
        <f t="shared" si="0"/>
        <v>0</v>
      </c>
      <c r="O15" s="680">
        <f t="shared" si="0"/>
        <v>0</v>
      </c>
      <c r="P15" s="680">
        <f t="shared" si="0"/>
        <v>0</v>
      </c>
      <c r="Q15" s="680">
        <f t="shared" si="0"/>
        <v>0</v>
      </c>
      <c r="R15" s="680">
        <f t="shared" si="0"/>
        <v>0</v>
      </c>
      <c r="S15" s="680">
        <f t="shared" si="0"/>
        <v>0</v>
      </c>
      <c r="T15" s="680">
        <f t="shared" si="0"/>
        <v>0</v>
      </c>
      <c r="U15" s="680">
        <f t="shared" si="0"/>
        <v>0</v>
      </c>
      <c r="V15" s="680">
        <f t="shared" si="0"/>
        <v>0</v>
      </c>
      <c r="W15" s="680">
        <f t="shared" si="0"/>
        <v>0</v>
      </c>
      <c r="X15" s="680">
        <f t="shared" si="0"/>
        <v>0</v>
      </c>
      <c r="Y15" s="680">
        <f t="shared" si="0"/>
        <v>0</v>
      </c>
      <c r="Z15" s="680">
        <f t="shared" si="0"/>
        <v>0</v>
      </c>
      <c r="AA15" s="680">
        <f t="shared" si="0"/>
        <v>0</v>
      </c>
      <c r="AB15" s="733"/>
    </row>
    <row r="16" spans="1:28">
      <c r="A16" s="493">
        <v>2.1</v>
      </c>
      <c r="B16" s="522" t="s">
        <v>448</v>
      </c>
      <c r="C16" s="699">
        <f t="shared" ref="C16:C21" si="1">SUM(D16:AA16)</f>
        <v>0</v>
      </c>
      <c r="D16" s="680">
        <v>0</v>
      </c>
      <c r="E16" s="680">
        <v>0</v>
      </c>
      <c r="F16" s="680">
        <v>0</v>
      </c>
      <c r="G16" s="680">
        <v>0</v>
      </c>
      <c r="H16" s="680">
        <v>0</v>
      </c>
      <c r="I16" s="680">
        <v>0</v>
      </c>
      <c r="J16" s="680">
        <v>0</v>
      </c>
      <c r="K16" s="680">
        <v>0</v>
      </c>
      <c r="L16" s="680">
        <v>0</v>
      </c>
      <c r="M16" s="680">
        <v>0</v>
      </c>
      <c r="N16" s="680">
        <v>0</v>
      </c>
      <c r="O16" s="680">
        <v>0</v>
      </c>
      <c r="P16" s="680">
        <v>0</v>
      </c>
      <c r="Q16" s="680">
        <v>0</v>
      </c>
      <c r="R16" s="680">
        <v>0</v>
      </c>
      <c r="S16" s="680">
        <v>0</v>
      </c>
      <c r="T16" s="680">
        <v>0</v>
      </c>
      <c r="U16" s="680">
        <v>0</v>
      </c>
      <c r="V16" s="680">
        <v>0</v>
      </c>
      <c r="W16" s="680">
        <v>0</v>
      </c>
      <c r="X16" s="680">
        <v>0</v>
      </c>
      <c r="Y16" s="680">
        <v>0</v>
      </c>
      <c r="Z16" s="680">
        <v>0</v>
      </c>
      <c r="AA16" s="680">
        <v>0</v>
      </c>
      <c r="AB16" s="733"/>
    </row>
    <row r="17" spans="1:28">
      <c r="A17" s="493">
        <v>2.2000000000000002</v>
      </c>
      <c r="B17" s="522" t="s">
        <v>449</v>
      </c>
      <c r="C17" s="699">
        <f t="shared" si="1"/>
        <v>373529431.00000006</v>
      </c>
      <c r="D17" s="680">
        <v>373529431.00000006</v>
      </c>
      <c r="E17" s="680">
        <v>0</v>
      </c>
      <c r="F17" s="680">
        <v>0</v>
      </c>
      <c r="G17" s="680">
        <v>0</v>
      </c>
      <c r="H17" s="680">
        <v>0</v>
      </c>
      <c r="I17" s="680">
        <v>0</v>
      </c>
      <c r="J17" s="680">
        <v>0</v>
      </c>
      <c r="K17" s="680">
        <v>0</v>
      </c>
      <c r="L17" s="680">
        <v>0</v>
      </c>
      <c r="M17" s="680">
        <v>0</v>
      </c>
      <c r="N17" s="680">
        <v>0</v>
      </c>
      <c r="O17" s="680">
        <v>0</v>
      </c>
      <c r="P17" s="680">
        <v>0</v>
      </c>
      <c r="Q17" s="680">
        <v>0</v>
      </c>
      <c r="R17" s="680">
        <v>0</v>
      </c>
      <c r="S17" s="680">
        <v>0</v>
      </c>
      <c r="T17" s="680">
        <v>0</v>
      </c>
      <c r="U17" s="680">
        <v>0</v>
      </c>
      <c r="V17" s="680">
        <v>0</v>
      </c>
      <c r="W17" s="680">
        <v>0</v>
      </c>
      <c r="X17" s="680">
        <v>0</v>
      </c>
      <c r="Y17" s="680">
        <v>0</v>
      </c>
      <c r="Z17" s="680">
        <v>0</v>
      </c>
      <c r="AA17" s="680">
        <v>0</v>
      </c>
      <c r="AB17" s="733"/>
    </row>
    <row r="18" spans="1:28">
      <c r="A18" s="493">
        <v>2.2999999999999998</v>
      </c>
      <c r="B18" s="522" t="s">
        <v>450</v>
      </c>
      <c r="C18" s="699">
        <f t="shared" si="1"/>
        <v>0</v>
      </c>
      <c r="D18" s="680">
        <v>0</v>
      </c>
      <c r="E18" s="680">
        <v>0</v>
      </c>
      <c r="F18" s="680">
        <v>0</v>
      </c>
      <c r="G18" s="680">
        <v>0</v>
      </c>
      <c r="H18" s="680">
        <v>0</v>
      </c>
      <c r="I18" s="680">
        <v>0</v>
      </c>
      <c r="J18" s="680">
        <v>0</v>
      </c>
      <c r="K18" s="680">
        <v>0</v>
      </c>
      <c r="L18" s="680">
        <v>0</v>
      </c>
      <c r="M18" s="680">
        <v>0</v>
      </c>
      <c r="N18" s="680">
        <v>0</v>
      </c>
      <c r="O18" s="680">
        <v>0</v>
      </c>
      <c r="P18" s="680">
        <v>0</v>
      </c>
      <c r="Q18" s="680">
        <v>0</v>
      </c>
      <c r="R18" s="680">
        <v>0</v>
      </c>
      <c r="S18" s="680">
        <v>0</v>
      </c>
      <c r="T18" s="680">
        <v>0</v>
      </c>
      <c r="U18" s="680">
        <v>0</v>
      </c>
      <c r="V18" s="680">
        <v>0</v>
      </c>
      <c r="W18" s="680">
        <v>0</v>
      </c>
      <c r="X18" s="680">
        <v>0</v>
      </c>
      <c r="Y18" s="680">
        <v>0</v>
      </c>
      <c r="Z18" s="680">
        <v>0</v>
      </c>
      <c r="AA18" s="680">
        <v>0</v>
      </c>
      <c r="AB18" s="733"/>
    </row>
    <row r="19" spans="1:28">
      <c r="A19" s="493">
        <v>2.4</v>
      </c>
      <c r="B19" s="522" t="s">
        <v>451</v>
      </c>
      <c r="C19" s="699">
        <f t="shared" si="1"/>
        <v>53338055.349999994</v>
      </c>
      <c r="D19" s="680">
        <v>53338055.349999994</v>
      </c>
      <c r="E19" s="680">
        <v>0</v>
      </c>
      <c r="F19" s="680">
        <v>0</v>
      </c>
      <c r="G19" s="680">
        <v>0</v>
      </c>
      <c r="H19" s="680">
        <v>0</v>
      </c>
      <c r="I19" s="680">
        <v>0</v>
      </c>
      <c r="J19" s="680">
        <v>0</v>
      </c>
      <c r="K19" s="680">
        <v>0</v>
      </c>
      <c r="L19" s="680">
        <v>0</v>
      </c>
      <c r="M19" s="680">
        <v>0</v>
      </c>
      <c r="N19" s="680">
        <v>0</v>
      </c>
      <c r="O19" s="680">
        <v>0</v>
      </c>
      <c r="P19" s="680">
        <v>0</v>
      </c>
      <c r="Q19" s="680">
        <v>0</v>
      </c>
      <c r="R19" s="680">
        <v>0</v>
      </c>
      <c r="S19" s="680">
        <v>0</v>
      </c>
      <c r="T19" s="680">
        <v>0</v>
      </c>
      <c r="U19" s="680">
        <v>0</v>
      </c>
      <c r="V19" s="680">
        <v>0</v>
      </c>
      <c r="W19" s="680">
        <v>0</v>
      </c>
      <c r="X19" s="680">
        <v>0</v>
      </c>
      <c r="Y19" s="680">
        <v>0</v>
      </c>
      <c r="Z19" s="680">
        <v>0</v>
      </c>
      <c r="AA19" s="680">
        <v>0</v>
      </c>
      <c r="AB19" s="733"/>
    </row>
    <row r="20" spans="1:28">
      <c r="A20" s="493">
        <v>2.5</v>
      </c>
      <c r="B20" s="522" t="s">
        <v>452</v>
      </c>
      <c r="C20" s="699">
        <f t="shared" si="1"/>
        <v>0</v>
      </c>
      <c r="D20" s="680">
        <v>0</v>
      </c>
      <c r="E20" s="680">
        <v>0</v>
      </c>
      <c r="F20" s="680">
        <v>0</v>
      </c>
      <c r="G20" s="680">
        <v>0</v>
      </c>
      <c r="H20" s="680">
        <v>0</v>
      </c>
      <c r="I20" s="680">
        <v>0</v>
      </c>
      <c r="J20" s="680">
        <v>0</v>
      </c>
      <c r="K20" s="680">
        <v>0</v>
      </c>
      <c r="L20" s="680">
        <v>0</v>
      </c>
      <c r="M20" s="680">
        <v>0</v>
      </c>
      <c r="N20" s="680">
        <v>0</v>
      </c>
      <c r="O20" s="680">
        <v>0</v>
      </c>
      <c r="P20" s="680">
        <v>0</v>
      </c>
      <c r="Q20" s="680">
        <v>0</v>
      </c>
      <c r="R20" s="680">
        <v>0</v>
      </c>
      <c r="S20" s="680">
        <v>0</v>
      </c>
      <c r="T20" s="680">
        <v>0</v>
      </c>
      <c r="U20" s="680">
        <v>0</v>
      </c>
      <c r="V20" s="680">
        <v>0</v>
      </c>
      <c r="W20" s="680">
        <v>0</v>
      </c>
      <c r="X20" s="680">
        <v>0</v>
      </c>
      <c r="Y20" s="680">
        <v>0</v>
      </c>
      <c r="Z20" s="680">
        <v>0</v>
      </c>
      <c r="AA20" s="680">
        <v>0</v>
      </c>
      <c r="AB20" s="733"/>
    </row>
    <row r="21" spans="1:28">
      <c r="A21" s="493">
        <v>2.6</v>
      </c>
      <c r="B21" s="522" t="s">
        <v>453</v>
      </c>
      <c r="C21" s="699">
        <f t="shared" si="1"/>
        <v>0</v>
      </c>
      <c r="D21" s="680">
        <v>0</v>
      </c>
      <c r="E21" s="680">
        <v>0</v>
      </c>
      <c r="F21" s="680">
        <v>0</v>
      </c>
      <c r="G21" s="680">
        <v>0</v>
      </c>
      <c r="H21" s="680">
        <v>0</v>
      </c>
      <c r="I21" s="680">
        <v>0</v>
      </c>
      <c r="J21" s="680">
        <v>0</v>
      </c>
      <c r="K21" s="680">
        <v>0</v>
      </c>
      <c r="L21" s="680">
        <v>0</v>
      </c>
      <c r="M21" s="680">
        <v>0</v>
      </c>
      <c r="N21" s="680">
        <v>0</v>
      </c>
      <c r="O21" s="680">
        <v>0</v>
      </c>
      <c r="P21" s="680">
        <v>0</v>
      </c>
      <c r="Q21" s="680">
        <v>0</v>
      </c>
      <c r="R21" s="680">
        <v>0</v>
      </c>
      <c r="S21" s="680">
        <v>0</v>
      </c>
      <c r="T21" s="680">
        <v>0</v>
      </c>
      <c r="U21" s="680">
        <v>0</v>
      </c>
      <c r="V21" s="680">
        <v>0</v>
      </c>
      <c r="W21" s="680">
        <v>0</v>
      </c>
      <c r="X21" s="680">
        <v>0</v>
      </c>
      <c r="Y21" s="680">
        <v>0</v>
      </c>
      <c r="Z21" s="680">
        <v>0</v>
      </c>
      <c r="AA21" s="680">
        <v>0</v>
      </c>
      <c r="AB21" s="733"/>
    </row>
    <row r="22" spans="1:28">
      <c r="A22" s="523">
        <v>3</v>
      </c>
      <c r="B22" s="497" t="s">
        <v>455</v>
      </c>
      <c r="C22" s="683">
        <f>SUM(C23:C28)</f>
        <v>497926577.56190002</v>
      </c>
      <c r="D22" s="683">
        <f>SUM(D23:D28)</f>
        <v>492093305.18190002</v>
      </c>
      <c r="E22" s="700"/>
      <c r="F22" s="700"/>
      <c r="G22" s="700"/>
      <c r="H22" s="683">
        <f>SUM(H23:H28)</f>
        <v>5336357.2300000004</v>
      </c>
      <c r="I22" s="700"/>
      <c r="J22" s="700"/>
      <c r="K22" s="700"/>
      <c r="L22" s="683">
        <f>SUM(L23:L28)</f>
        <v>496915.15</v>
      </c>
      <c r="M22" s="700"/>
      <c r="N22" s="700"/>
      <c r="O22" s="700"/>
      <c r="P22" s="700"/>
      <c r="Q22" s="700"/>
      <c r="R22" s="700"/>
      <c r="S22" s="700"/>
      <c r="T22" s="683">
        <f>SUM(T23:T28)</f>
        <v>0</v>
      </c>
      <c r="U22" s="700"/>
      <c r="V22" s="700"/>
      <c r="W22" s="700"/>
      <c r="X22" s="700"/>
      <c r="Y22" s="700"/>
      <c r="Z22" s="700"/>
      <c r="AA22" s="700"/>
      <c r="AB22" s="733"/>
    </row>
    <row r="23" spans="1:28">
      <c r="A23" s="493">
        <v>3.1</v>
      </c>
      <c r="B23" s="522" t="s">
        <v>448</v>
      </c>
      <c r="C23" s="699">
        <v>0</v>
      </c>
      <c r="D23" s="683">
        <v>0</v>
      </c>
      <c r="E23" s="700"/>
      <c r="F23" s="700"/>
      <c r="G23" s="700"/>
      <c r="H23" s="683">
        <v>0</v>
      </c>
      <c r="I23" s="700"/>
      <c r="J23" s="700"/>
      <c r="K23" s="700"/>
      <c r="L23" s="683">
        <v>0</v>
      </c>
      <c r="M23" s="700"/>
      <c r="N23" s="700"/>
      <c r="O23" s="700"/>
      <c r="P23" s="700"/>
      <c r="Q23" s="700"/>
      <c r="R23" s="700"/>
      <c r="S23" s="700"/>
      <c r="T23" s="683">
        <v>0</v>
      </c>
      <c r="U23" s="700"/>
      <c r="V23" s="700"/>
      <c r="W23" s="700"/>
      <c r="X23" s="700"/>
      <c r="Y23" s="700"/>
      <c r="Z23" s="700"/>
      <c r="AA23" s="700"/>
      <c r="AB23" s="733"/>
    </row>
    <row r="24" spans="1:28">
      <c r="A24" s="493">
        <v>3.2</v>
      </c>
      <c r="B24" s="522" t="s">
        <v>449</v>
      </c>
      <c r="C24" s="699">
        <v>7223728</v>
      </c>
      <c r="D24" s="680">
        <v>7223728</v>
      </c>
      <c r="E24" s="732"/>
      <c r="F24" s="732"/>
      <c r="G24" s="732"/>
      <c r="H24" s="680">
        <v>0</v>
      </c>
      <c r="I24" s="700"/>
      <c r="J24" s="700"/>
      <c r="K24" s="700"/>
      <c r="L24" s="683">
        <v>0</v>
      </c>
      <c r="M24" s="700"/>
      <c r="N24" s="700"/>
      <c r="O24" s="700"/>
      <c r="P24" s="700"/>
      <c r="Q24" s="700"/>
      <c r="R24" s="700"/>
      <c r="S24" s="700"/>
      <c r="T24" s="683">
        <v>0</v>
      </c>
      <c r="U24" s="700"/>
      <c r="V24" s="700"/>
      <c r="W24" s="700"/>
      <c r="X24" s="700"/>
      <c r="Y24" s="700"/>
      <c r="Z24" s="700"/>
      <c r="AA24" s="700"/>
      <c r="AB24" s="733"/>
    </row>
    <row r="25" spans="1:28">
      <c r="A25" s="493">
        <v>3.3</v>
      </c>
      <c r="B25" s="522" t="s">
        <v>450</v>
      </c>
      <c r="C25" s="699">
        <v>0</v>
      </c>
      <c r="D25" s="680">
        <v>0</v>
      </c>
      <c r="E25" s="732"/>
      <c r="F25" s="732"/>
      <c r="G25" s="732"/>
      <c r="H25" s="680">
        <v>0</v>
      </c>
      <c r="I25" s="700"/>
      <c r="J25" s="700"/>
      <c r="K25" s="700"/>
      <c r="L25" s="683">
        <v>0</v>
      </c>
      <c r="M25" s="700"/>
      <c r="N25" s="700"/>
      <c r="O25" s="700"/>
      <c r="P25" s="700"/>
      <c r="Q25" s="700"/>
      <c r="R25" s="700"/>
      <c r="S25" s="700"/>
      <c r="T25" s="683">
        <v>0</v>
      </c>
      <c r="U25" s="700"/>
      <c r="V25" s="700"/>
      <c r="W25" s="700"/>
      <c r="X25" s="700"/>
      <c r="Y25" s="700"/>
      <c r="Z25" s="700"/>
      <c r="AA25" s="700"/>
      <c r="AB25" s="733"/>
    </row>
    <row r="26" spans="1:28">
      <c r="A26" s="493">
        <v>3.4</v>
      </c>
      <c r="B26" s="522" t="s">
        <v>451</v>
      </c>
      <c r="C26" s="699">
        <v>3650648.5189</v>
      </c>
      <c r="D26" s="680">
        <v>3650648.5189</v>
      </c>
      <c r="E26" s="732"/>
      <c r="F26" s="732"/>
      <c r="G26" s="732"/>
      <c r="H26" s="680">
        <v>0</v>
      </c>
      <c r="I26" s="700"/>
      <c r="J26" s="700"/>
      <c r="K26" s="700"/>
      <c r="L26" s="683">
        <v>0</v>
      </c>
      <c r="M26" s="700"/>
      <c r="N26" s="700"/>
      <c r="O26" s="700"/>
      <c r="P26" s="700"/>
      <c r="Q26" s="700"/>
      <c r="R26" s="700"/>
      <c r="S26" s="700"/>
      <c r="T26" s="683">
        <v>0</v>
      </c>
      <c r="U26" s="700"/>
      <c r="V26" s="700"/>
      <c r="W26" s="700"/>
      <c r="X26" s="700"/>
      <c r="Y26" s="700"/>
      <c r="Z26" s="700"/>
      <c r="AA26" s="700"/>
      <c r="AB26" s="733"/>
    </row>
    <row r="27" spans="1:28">
      <c r="A27" s="493">
        <v>3.5</v>
      </c>
      <c r="B27" s="522" t="s">
        <v>452</v>
      </c>
      <c r="C27" s="699">
        <v>464174008.22609997</v>
      </c>
      <c r="D27" s="680">
        <v>458783719.84609997</v>
      </c>
      <c r="E27" s="732"/>
      <c r="F27" s="732"/>
      <c r="G27" s="732"/>
      <c r="H27" s="680">
        <v>4985189.2300000004</v>
      </c>
      <c r="I27" s="700"/>
      <c r="J27" s="700"/>
      <c r="K27" s="700"/>
      <c r="L27" s="683">
        <v>405099.15</v>
      </c>
      <c r="M27" s="700"/>
      <c r="N27" s="700"/>
      <c r="O27" s="700"/>
      <c r="P27" s="700"/>
      <c r="Q27" s="700"/>
      <c r="R27" s="700"/>
      <c r="S27" s="700"/>
      <c r="T27" s="683">
        <v>0</v>
      </c>
      <c r="U27" s="700"/>
      <c r="V27" s="700"/>
      <c r="W27" s="700"/>
      <c r="X27" s="700"/>
      <c r="Y27" s="700"/>
      <c r="Z27" s="700"/>
      <c r="AA27" s="700"/>
      <c r="AB27" s="733"/>
    </row>
    <row r="28" spans="1:28">
      <c r="A28" s="493">
        <v>3.6</v>
      </c>
      <c r="B28" s="522" t="s">
        <v>453</v>
      </c>
      <c r="C28" s="699">
        <v>22878192.816900074</v>
      </c>
      <c r="D28" s="680">
        <v>22435208.816900074</v>
      </c>
      <c r="E28" s="732"/>
      <c r="F28" s="732"/>
      <c r="G28" s="732"/>
      <c r="H28" s="680">
        <v>351168</v>
      </c>
      <c r="I28" s="700"/>
      <c r="J28" s="700"/>
      <c r="K28" s="700"/>
      <c r="L28" s="683">
        <v>91816</v>
      </c>
      <c r="M28" s="700"/>
      <c r="N28" s="700"/>
      <c r="O28" s="700"/>
      <c r="P28" s="700"/>
      <c r="Q28" s="700"/>
      <c r="R28" s="700"/>
      <c r="S28" s="700"/>
      <c r="T28" s="683">
        <v>0</v>
      </c>
      <c r="U28" s="700"/>
      <c r="V28" s="700"/>
      <c r="W28" s="700"/>
      <c r="X28" s="700"/>
      <c r="Y28" s="700"/>
      <c r="Z28" s="700"/>
      <c r="AA28" s="700"/>
      <c r="AB28" s="733"/>
    </row>
    <row r="29" spans="1:28">
      <c r="D29" s="731"/>
    </row>
    <row r="30" spans="1:28">
      <c r="D30" s="731"/>
    </row>
    <row r="31" spans="1:28">
      <c r="D31" s="73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showGridLines="0" zoomScale="110" zoomScaleNormal="110" workbookViewId="0">
      <selection activeCell="A5" sqref="A5:B7"/>
    </sheetView>
  </sheetViews>
  <sheetFormatPr defaultColWidth="9.140625" defaultRowHeight="12.75"/>
  <cols>
    <col min="1" max="1" width="11.85546875" style="504" bestFit="1" customWidth="1"/>
    <col min="2" max="2" width="90.28515625" style="504" bestFit="1" customWidth="1"/>
    <col min="3" max="3" width="20.140625" style="504" customWidth="1"/>
    <col min="4" max="4" width="22.28515625" style="504" customWidth="1"/>
    <col min="5" max="7" width="17.140625" style="504" customWidth="1"/>
    <col min="8" max="8" width="22.28515625" style="504" customWidth="1"/>
    <col min="9" max="10" width="17.140625" style="504" customWidth="1"/>
    <col min="11" max="27" width="22.28515625" style="504" customWidth="1"/>
    <col min="28" max="16384" width="9.140625" style="504"/>
  </cols>
  <sheetData>
    <row r="1" spans="1:27" ht="13.5">
      <c r="A1" s="396" t="s">
        <v>108</v>
      </c>
      <c r="B1" s="319" t="str">
        <f>Info!C2</f>
        <v>სს "ბაზისბანკი"</v>
      </c>
    </row>
    <row r="2" spans="1:27">
      <c r="A2" s="398" t="s">
        <v>109</v>
      </c>
      <c r="B2" s="400">
        <f>'1. key ratios'!B2</f>
        <v>45016</v>
      </c>
    </row>
    <row r="3" spans="1:27">
      <c r="A3" s="399" t="s">
        <v>456</v>
      </c>
      <c r="C3" s="506"/>
    </row>
    <row r="4" spans="1:27" ht="13.5" thickBot="1">
      <c r="A4" s="399"/>
      <c r="B4" s="506"/>
      <c r="C4" s="506"/>
    </row>
    <row r="5" spans="1:27" s="535" customFormat="1" ht="13.5" customHeight="1">
      <c r="A5" s="868" t="s">
        <v>676</v>
      </c>
      <c r="B5" s="869"/>
      <c r="C5" s="865" t="s">
        <v>457</v>
      </c>
      <c r="D5" s="866"/>
      <c r="E5" s="866"/>
      <c r="F5" s="866"/>
      <c r="G5" s="866"/>
      <c r="H5" s="866"/>
      <c r="I5" s="866"/>
      <c r="J5" s="866"/>
      <c r="K5" s="866"/>
      <c r="L5" s="866"/>
      <c r="M5" s="866"/>
      <c r="N5" s="866"/>
      <c r="O5" s="866"/>
      <c r="P5" s="866"/>
      <c r="Q5" s="866"/>
      <c r="R5" s="866"/>
      <c r="S5" s="866"/>
      <c r="T5" s="866"/>
      <c r="U5" s="866"/>
      <c r="V5" s="866"/>
      <c r="W5" s="866"/>
      <c r="X5" s="866"/>
      <c r="Y5" s="866"/>
      <c r="Z5" s="866"/>
      <c r="AA5" s="867"/>
    </row>
    <row r="6" spans="1:27" s="535" customFormat="1" ht="12" customHeight="1">
      <c r="A6" s="870"/>
      <c r="B6" s="871"/>
      <c r="C6" s="875" t="s">
        <v>66</v>
      </c>
      <c r="D6" s="874" t="s">
        <v>667</v>
      </c>
      <c r="E6" s="874"/>
      <c r="F6" s="874"/>
      <c r="G6" s="874"/>
      <c r="H6" s="860" t="s">
        <v>666</v>
      </c>
      <c r="I6" s="861"/>
      <c r="J6" s="861"/>
      <c r="K6" s="861"/>
      <c r="L6" s="676"/>
      <c r="M6" s="842" t="s">
        <v>665</v>
      </c>
      <c r="N6" s="842"/>
      <c r="O6" s="842"/>
      <c r="P6" s="842"/>
      <c r="Q6" s="842"/>
      <c r="R6" s="842"/>
      <c r="S6" s="840"/>
      <c r="T6" s="676"/>
      <c r="U6" s="842" t="s">
        <v>664</v>
      </c>
      <c r="V6" s="842"/>
      <c r="W6" s="842"/>
      <c r="X6" s="842"/>
      <c r="Y6" s="842"/>
      <c r="Z6" s="842"/>
      <c r="AA6" s="864"/>
    </row>
    <row r="7" spans="1:27" s="535" customFormat="1" ht="38.25">
      <c r="A7" s="872"/>
      <c r="B7" s="873"/>
      <c r="C7" s="876"/>
      <c r="D7" s="529"/>
      <c r="E7" s="525" t="s">
        <v>446</v>
      </c>
      <c r="F7" s="675" t="s">
        <v>662</v>
      </c>
      <c r="G7" s="675" t="s">
        <v>663</v>
      </c>
      <c r="H7" s="556"/>
      <c r="I7" s="525" t="s">
        <v>446</v>
      </c>
      <c r="J7" s="675" t="s">
        <v>662</v>
      </c>
      <c r="K7" s="675" t="s">
        <v>663</v>
      </c>
      <c r="L7" s="674"/>
      <c r="M7" s="525" t="s">
        <v>446</v>
      </c>
      <c r="N7" s="675" t="s">
        <v>675</v>
      </c>
      <c r="O7" s="675" t="s">
        <v>674</v>
      </c>
      <c r="P7" s="675" t="s">
        <v>673</v>
      </c>
      <c r="Q7" s="675" t="s">
        <v>672</v>
      </c>
      <c r="R7" s="675" t="s">
        <v>671</v>
      </c>
      <c r="S7" s="675" t="s">
        <v>657</v>
      </c>
      <c r="T7" s="674"/>
      <c r="U7" s="525" t="s">
        <v>446</v>
      </c>
      <c r="V7" s="675" t="s">
        <v>675</v>
      </c>
      <c r="W7" s="675" t="s">
        <v>674</v>
      </c>
      <c r="X7" s="675" t="s">
        <v>673</v>
      </c>
      <c r="Y7" s="675" t="s">
        <v>672</v>
      </c>
      <c r="Z7" s="675" t="s">
        <v>671</v>
      </c>
      <c r="AA7" s="677" t="s">
        <v>657</v>
      </c>
    </row>
    <row r="8" spans="1:27">
      <c r="A8" s="555">
        <v>1</v>
      </c>
      <c r="B8" s="554" t="s">
        <v>447</v>
      </c>
      <c r="C8" s="697">
        <v>2068903727.4160261</v>
      </c>
      <c r="D8" s="680">
        <v>1863726554.548183</v>
      </c>
      <c r="E8" s="680">
        <v>27282481.606599972</v>
      </c>
      <c r="F8" s="680">
        <v>0</v>
      </c>
      <c r="G8" s="680">
        <v>0</v>
      </c>
      <c r="H8" s="680">
        <v>77427776.827000007</v>
      </c>
      <c r="I8" s="680">
        <v>7761154.3977999967</v>
      </c>
      <c r="J8" s="680">
        <v>12014895.173699997</v>
      </c>
      <c r="K8" s="680">
        <v>867048.8637000001</v>
      </c>
      <c r="L8" s="680">
        <v>23012240.497300003</v>
      </c>
      <c r="M8" s="680">
        <v>13303112.914800003</v>
      </c>
      <c r="N8" s="680">
        <v>7334066.4754999988</v>
      </c>
      <c r="O8" s="680">
        <v>17545470.755100019</v>
      </c>
      <c r="P8" s="680">
        <v>9055078.8965999987</v>
      </c>
      <c r="Q8" s="680">
        <v>8786220.6773999967</v>
      </c>
      <c r="R8" s="680">
        <v>787605.0922999999</v>
      </c>
      <c r="S8" s="680">
        <v>20.689999999999998</v>
      </c>
      <c r="T8" s="680">
        <v>0</v>
      </c>
      <c r="U8" s="680">
        <v>0</v>
      </c>
      <c r="V8" s="680">
        <v>0</v>
      </c>
      <c r="W8" s="680">
        <v>0</v>
      </c>
      <c r="X8" s="680">
        <v>0</v>
      </c>
      <c r="Y8" s="680">
        <v>0</v>
      </c>
      <c r="Z8" s="680">
        <v>0</v>
      </c>
      <c r="AA8" s="689">
        <v>0</v>
      </c>
    </row>
    <row r="9" spans="1:27">
      <c r="A9" s="552">
        <v>1.1000000000000001</v>
      </c>
      <c r="B9" s="553" t="s">
        <v>458</v>
      </c>
      <c r="C9" s="697">
        <v>1686356034.5302</v>
      </c>
      <c r="D9" s="680">
        <v>1499525128.0181</v>
      </c>
      <c r="E9" s="680">
        <v>22770410.555100001</v>
      </c>
      <c r="F9" s="680">
        <v>0</v>
      </c>
      <c r="G9" s="680">
        <v>0</v>
      </c>
      <c r="H9" s="680">
        <v>72704362.632899895</v>
      </c>
      <c r="I9" s="680">
        <v>6641639.3295999998</v>
      </c>
      <c r="J9" s="680">
        <v>10244722.2893999</v>
      </c>
      <c r="K9" s="680">
        <v>867048.85750000004</v>
      </c>
      <c r="L9" s="680">
        <v>21645819.504499901</v>
      </c>
      <c r="M9" s="680">
        <v>12985416.416999999</v>
      </c>
      <c r="N9" s="680">
        <v>6893956.8826000001</v>
      </c>
      <c r="O9" s="680">
        <v>14005014.2974</v>
      </c>
      <c r="P9" s="680">
        <v>13118846.8542</v>
      </c>
      <c r="Q9" s="680">
        <v>4166063.8111</v>
      </c>
      <c r="R9" s="680">
        <v>787605.0808</v>
      </c>
      <c r="S9" s="680">
        <v>0</v>
      </c>
      <c r="T9" s="680">
        <v>0</v>
      </c>
      <c r="U9" s="680">
        <v>0</v>
      </c>
      <c r="V9" s="680">
        <v>0</v>
      </c>
      <c r="W9" s="680">
        <v>0</v>
      </c>
      <c r="X9" s="680">
        <v>0</v>
      </c>
      <c r="Y9" s="680">
        <v>0</v>
      </c>
      <c r="Z9" s="680">
        <v>0</v>
      </c>
      <c r="AA9" s="689">
        <v>0</v>
      </c>
    </row>
    <row r="10" spans="1:27">
      <c r="A10" s="550" t="s">
        <v>157</v>
      </c>
      <c r="B10" s="551" t="s">
        <v>459</v>
      </c>
      <c r="C10" s="697">
        <v>1619819039.4212997</v>
      </c>
      <c r="D10" s="680">
        <v>1436679082.8074999</v>
      </c>
      <c r="E10" s="680">
        <v>22634554.782699998</v>
      </c>
      <c r="F10" s="680">
        <v>0</v>
      </c>
      <c r="G10" s="680">
        <v>0</v>
      </c>
      <c r="H10" s="680">
        <v>72296956.649099901</v>
      </c>
      <c r="I10" s="680">
        <v>6429641.4057</v>
      </c>
      <c r="J10" s="680">
        <v>9996877.9428999908</v>
      </c>
      <c r="K10" s="680">
        <v>867048.85750000004</v>
      </c>
      <c r="L10" s="680">
        <v>21531307.324599899</v>
      </c>
      <c r="M10" s="680">
        <v>12834490.4364</v>
      </c>
      <c r="N10" s="680">
        <v>6735670.2227999996</v>
      </c>
      <c r="O10" s="680">
        <v>13289840.698799999</v>
      </c>
      <c r="P10" s="680">
        <v>11605625.704500001</v>
      </c>
      <c r="Q10" s="680">
        <v>4130337.5079999999</v>
      </c>
      <c r="R10" s="680">
        <v>787605.0808</v>
      </c>
      <c r="S10" s="680">
        <v>0</v>
      </c>
      <c r="T10" s="680">
        <v>0</v>
      </c>
      <c r="U10" s="680">
        <v>0</v>
      </c>
      <c r="V10" s="680">
        <v>0</v>
      </c>
      <c r="W10" s="680">
        <v>0</v>
      </c>
      <c r="X10" s="680">
        <v>0</v>
      </c>
      <c r="Y10" s="680">
        <v>0</v>
      </c>
      <c r="Z10" s="680">
        <v>0</v>
      </c>
      <c r="AA10" s="689">
        <v>0</v>
      </c>
    </row>
    <row r="11" spans="1:27">
      <c r="A11" s="549" t="s">
        <v>460</v>
      </c>
      <c r="B11" s="548" t="s">
        <v>461</v>
      </c>
      <c r="C11" s="697">
        <v>1014734897.1497996</v>
      </c>
      <c r="D11" s="680">
        <v>891798442.95519996</v>
      </c>
      <c r="E11" s="680">
        <v>12558026.220100001</v>
      </c>
      <c r="F11" s="680">
        <v>0</v>
      </c>
      <c r="G11" s="680">
        <v>0</v>
      </c>
      <c r="H11" s="680">
        <v>54606085.881999902</v>
      </c>
      <c r="I11" s="680">
        <v>4901354.5530000003</v>
      </c>
      <c r="J11" s="680">
        <v>6334660.18079999</v>
      </c>
      <c r="K11" s="680">
        <v>0</v>
      </c>
      <c r="L11" s="680">
        <v>18505134.089699902</v>
      </c>
      <c r="M11" s="680">
        <v>11382333.062200001</v>
      </c>
      <c r="N11" s="680">
        <v>4951417.0105999997</v>
      </c>
      <c r="O11" s="680">
        <v>3844707.6656999998</v>
      </c>
      <c r="P11" s="680">
        <v>3971295.3892999999</v>
      </c>
      <c r="Q11" s="680">
        <v>1093835.0604000001</v>
      </c>
      <c r="R11" s="680">
        <v>787605.0808</v>
      </c>
      <c r="S11" s="680">
        <v>0</v>
      </c>
      <c r="T11" s="680">
        <v>0</v>
      </c>
      <c r="U11" s="680">
        <v>0</v>
      </c>
      <c r="V11" s="680">
        <v>0</v>
      </c>
      <c r="W11" s="680">
        <v>0</v>
      </c>
      <c r="X11" s="680">
        <v>0</v>
      </c>
      <c r="Y11" s="680">
        <v>0</v>
      </c>
      <c r="Z11" s="680">
        <v>0</v>
      </c>
      <c r="AA11" s="689">
        <v>0</v>
      </c>
    </row>
    <row r="12" spans="1:27">
      <c r="A12" s="549" t="s">
        <v>462</v>
      </c>
      <c r="B12" s="548" t="s">
        <v>463</v>
      </c>
      <c r="C12" s="697">
        <v>202505827.73860002</v>
      </c>
      <c r="D12" s="680">
        <v>186129893.10330001</v>
      </c>
      <c r="E12" s="680">
        <v>1853957.0238999999</v>
      </c>
      <c r="F12" s="680">
        <v>0</v>
      </c>
      <c r="G12" s="680">
        <v>0</v>
      </c>
      <c r="H12" s="680">
        <v>1981126.9310999999</v>
      </c>
      <c r="I12" s="680">
        <v>605742.2953</v>
      </c>
      <c r="J12" s="680">
        <v>1504103.6909</v>
      </c>
      <c r="K12" s="680">
        <v>867048.85750000004</v>
      </c>
      <c r="L12" s="680">
        <v>955027.78989999997</v>
      </c>
      <c r="M12" s="680">
        <v>492395.50270000001</v>
      </c>
      <c r="N12" s="680">
        <v>669155.88060000003</v>
      </c>
      <c r="O12" s="680">
        <v>3717738.0630999999</v>
      </c>
      <c r="P12" s="680">
        <v>2734189.8486999902</v>
      </c>
      <c r="Q12" s="680">
        <v>995448.75159999996</v>
      </c>
      <c r="R12" s="680">
        <v>0</v>
      </c>
      <c r="S12" s="680">
        <v>0</v>
      </c>
      <c r="T12" s="680">
        <v>0</v>
      </c>
      <c r="U12" s="680">
        <v>0</v>
      </c>
      <c r="V12" s="680">
        <v>0</v>
      </c>
      <c r="W12" s="680">
        <v>0</v>
      </c>
      <c r="X12" s="680">
        <v>0</v>
      </c>
      <c r="Y12" s="680">
        <v>0</v>
      </c>
      <c r="Z12" s="680">
        <v>0</v>
      </c>
      <c r="AA12" s="689">
        <v>0</v>
      </c>
    </row>
    <row r="13" spans="1:27">
      <c r="A13" s="549" t="s">
        <v>464</v>
      </c>
      <c r="B13" s="548" t="s">
        <v>465</v>
      </c>
      <c r="C13" s="697">
        <v>102256651.20579998</v>
      </c>
      <c r="D13" s="680">
        <v>83414961.262500003</v>
      </c>
      <c r="E13" s="680">
        <v>7050530.6033999901</v>
      </c>
      <c r="F13" s="680">
        <v>0</v>
      </c>
      <c r="G13" s="680">
        <v>0</v>
      </c>
      <c r="H13" s="680">
        <v>1724857.6721999999</v>
      </c>
      <c r="I13" s="680">
        <v>519502.34700000001</v>
      </c>
      <c r="J13" s="680">
        <v>1000397.809</v>
      </c>
      <c r="K13" s="680">
        <v>0</v>
      </c>
      <c r="L13" s="680">
        <v>756508.69129999995</v>
      </c>
      <c r="M13" s="680">
        <v>577210.10710000002</v>
      </c>
      <c r="N13" s="680">
        <v>338495.70059999998</v>
      </c>
      <c r="O13" s="680">
        <v>4759652.7297</v>
      </c>
      <c r="P13" s="680">
        <v>1705992.9567</v>
      </c>
      <c r="Q13" s="680">
        <v>408541.32630000002</v>
      </c>
      <c r="R13" s="680">
        <v>0</v>
      </c>
      <c r="S13" s="680">
        <v>0</v>
      </c>
      <c r="T13" s="680">
        <v>0</v>
      </c>
      <c r="U13" s="680">
        <v>0</v>
      </c>
      <c r="V13" s="680">
        <v>0</v>
      </c>
      <c r="W13" s="680">
        <v>0</v>
      </c>
      <c r="X13" s="680">
        <v>0</v>
      </c>
      <c r="Y13" s="680">
        <v>0</v>
      </c>
      <c r="Z13" s="680">
        <v>0</v>
      </c>
      <c r="AA13" s="689">
        <v>0</v>
      </c>
    </row>
    <row r="14" spans="1:27">
      <c r="A14" s="549" t="s">
        <v>466</v>
      </c>
      <c r="B14" s="548" t="s">
        <v>467</v>
      </c>
      <c r="C14" s="697">
        <v>300321663.32709992</v>
      </c>
      <c r="D14" s="680">
        <v>275335785.48650002</v>
      </c>
      <c r="E14" s="680">
        <v>1172040.9353</v>
      </c>
      <c r="F14" s="680">
        <v>0</v>
      </c>
      <c r="G14" s="680">
        <v>0</v>
      </c>
      <c r="H14" s="680">
        <v>13984886.163799901</v>
      </c>
      <c r="I14" s="680">
        <v>403042.21039999998</v>
      </c>
      <c r="J14" s="680">
        <v>1157716.2622</v>
      </c>
      <c r="K14" s="680">
        <v>0</v>
      </c>
      <c r="L14" s="680">
        <v>1314636.7537</v>
      </c>
      <c r="M14" s="680">
        <v>382551.76439999999</v>
      </c>
      <c r="N14" s="680">
        <v>776601.63100000005</v>
      </c>
      <c r="O14" s="680">
        <v>967742.24029999995</v>
      </c>
      <c r="P14" s="680">
        <v>3194147.5098000001</v>
      </c>
      <c r="Q14" s="680">
        <v>1632512.3696999999</v>
      </c>
      <c r="R14" s="680">
        <v>0</v>
      </c>
      <c r="S14" s="680">
        <v>0</v>
      </c>
      <c r="T14" s="680">
        <v>0</v>
      </c>
      <c r="U14" s="680">
        <v>0</v>
      </c>
      <c r="V14" s="680">
        <v>0</v>
      </c>
      <c r="W14" s="680">
        <v>0</v>
      </c>
      <c r="X14" s="680">
        <v>0</v>
      </c>
      <c r="Y14" s="680">
        <v>0</v>
      </c>
      <c r="Z14" s="680">
        <v>0</v>
      </c>
      <c r="AA14" s="689">
        <v>0</v>
      </c>
    </row>
    <row r="15" spans="1:27">
      <c r="A15" s="547">
        <v>1.2</v>
      </c>
      <c r="B15" s="545" t="s">
        <v>670</v>
      </c>
      <c r="C15" s="697">
        <v>24084031.61245406</v>
      </c>
      <c r="D15" s="680">
        <v>2546335.4947094298</v>
      </c>
      <c r="E15" s="680">
        <v>29556.393920134899</v>
      </c>
      <c r="F15" s="680">
        <v>0</v>
      </c>
      <c r="G15" s="680">
        <v>0</v>
      </c>
      <c r="H15" s="680">
        <v>642391.18011807697</v>
      </c>
      <c r="I15" s="680">
        <v>65475.710462471201</v>
      </c>
      <c r="J15" s="680">
        <v>120437.724065716</v>
      </c>
      <c r="K15" s="680">
        <v>4262.0578301372998</v>
      </c>
      <c r="L15" s="680">
        <v>5494442.0948572597</v>
      </c>
      <c r="M15" s="680">
        <v>4658388.3015777497</v>
      </c>
      <c r="N15" s="680">
        <v>1416886.62845437</v>
      </c>
      <c r="O15" s="680">
        <v>4223628.2173683001</v>
      </c>
      <c r="P15" s="680">
        <v>3303009.08662443</v>
      </c>
      <c r="Q15" s="680">
        <v>1498225.7363513401</v>
      </c>
      <c r="R15" s="680">
        <v>80992.986114645697</v>
      </c>
      <c r="S15" s="680">
        <v>0</v>
      </c>
      <c r="T15" s="680">
        <v>0</v>
      </c>
      <c r="U15" s="680">
        <v>0</v>
      </c>
      <c r="V15" s="680">
        <v>0</v>
      </c>
      <c r="W15" s="680">
        <v>0</v>
      </c>
      <c r="X15" s="680">
        <v>0</v>
      </c>
      <c r="Y15" s="680">
        <v>0</v>
      </c>
      <c r="Z15" s="680">
        <v>0</v>
      </c>
      <c r="AA15" s="689">
        <v>0</v>
      </c>
    </row>
    <row r="16" spans="1:27">
      <c r="A16" s="546">
        <v>1.3</v>
      </c>
      <c r="B16" s="545" t="s">
        <v>468</v>
      </c>
      <c r="C16" s="690">
        <v>0</v>
      </c>
      <c r="D16" s="691">
        <v>0</v>
      </c>
      <c r="E16" s="691">
        <v>0</v>
      </c>
      <c r="F16" s="691">
        <v>0</v>
      </c>
      <c r="G16" s="691">
        <v>0</v>
      </c>
      <c r="H16" s="691">
        <v>0</v>
      </c>
      <c r="I16" s="691">
        <v>0</v>
      </c>
      <c r="J16" s="691">
        <v>0</v>
      </c>
      <c r="K16" s="691">
        <v>0</v>
      </c>
      <c r="L16" s="691">
        <v>0</v>
      </c>
      <c r="M16" s="691">
        <v>0</v>
      </c>
      <c r="N16" s="691">
        <v>0</v>
      </c>
      <c r="O16" s="691">
        <v>0</v>
      </c>
      <c r="P16" s="691">
        <v>0</v>
      </c>
      <c r="Q16" s="691">
        <v>0</v>
      </c>
      <c r="R16" s="691">
        <v>0</v>
      </c>
      <c r="S16" s="691">
        <v>0</v>
      </c>
      <c r="T16" s="691">
        <v>0</v>
      </c>
      <c r="U16" s="691">
        <v>0</v>
      </c>
      <c r="V16" s="691">
        <v>0</v>
      </c>
      <c r="W16" s="691">
        <v>0</v>
      </c>
      <c r="X16" s="691">
        <v>0</v>
      </c>
      <c r="Y16" s="691">
        <v>0</v>
      </c>
      <c r="Z16" s="691">
        <v>0</v>
      </c>
      <c r="AA16" s="692">
        <v>0</v>
      </c>
    </row>
    <row r="17" spans="1:27" s="535" customFormat="1" ht="25.5">
      <c r="A17" s="543" t="s">
        <v>469</v>
      </c>
      <c r="B17" s="544" t="s">
        <v>470</v>
      </c>
      <c r="C17" s="697">
        <v>1613878989.7024524</v>
      </c>
      <c r="D17" s="693">
        <v>1432458078.81233</v>
      </c>
      <c r="E17" s="693">
        <v>22591394.832756002</v>
      </c>
      <c r="F17" s="693">
        <v>0</v>
      </c>
      <c r="G17" s="693">
        <v>0</v>
      </c>
      <c r="H17" s="693">
        <v>68842757.385426998</v>
      </c>
      <c r="I17" s="693">
        <v>6459583.4282</v>
      </c>
      <c r="J17" s="693">
        <v>10141405.133718001</v>
      </c>
      <c r="K17" s="693">
        <v>867048.85750000004</v>
      </c>
      <c r="L17" s="693">
        <v>21555421.313668001</v>
      </c>
      <c r="M17" s="693">
        <v>12957162.013262</v>
      </c>
      <c r="N17" s="693">
        <v>6859014.8854369996</v>
      </c>
      <c r="O17" s="693">
        <v>13923510.498497</v>
      </c>
      <c r="P17" s="693">
        <v>12549736.530060001</v>
      </c>
      <c r="Q17" s="693">
        <v>3886270.9307969999</v>
      </c>
      <c r="R17" s="693">
        <v>787605.0808</v>
      </c>
      <c r="S17" s="693">
        <v>0</v>
      </c>
      <c r="T17" s="693">
        <v>0</v>
      </c>
      <c r="U17" s="693">
        <v>0</v>
      </c>
      <c r="V17" s="693">
        <v>0</v>
      </c>
      <c r="W17" s="693">
        <v>0</v>
      </c>
      <c r="X17" s="693">
        <v>0</v>
      </c>
      <c r="Y17" s="693">
        <v>0</v>
      </c>
      <c r="Z17" s="693">
        <v>0</v>
      </c>
      <c r="AA17" s="694">
        <v>0</v>
      </c>
    </row>
    <row r="18" spans="1:27" s="535" customFormat="1" ht="25.5">
      <c r="A18" s="540" t="s">
        <v>471</v>
      </c>
      <c r="B18" s="541" t="s">
        <v>472</v>
      </c>
      <c r="C18" s="697">
        <v>1507674720.5492313</v>
      </c>
      <c r="D18" s="693">
        <v>1332601854.5006399</v>
      </c>
      <c r="E18" s="693">
        <v>22377281.699484002</v>
      </c>
      <c r="F18" s="693">
        <v>0</v>
      </c>
      <c r="G18" s="693">
        <v>0</v>
      </c>
      <c r="H18" s="693">
        <v>65925791.872827001</v>
      </c>
      <c r="I18" s="693">
        <v>6274870.9417000003</v>
      </c>
      <c r="J18" s="693">
        <v>9712582.2801590003</v>
      </c>
      <c r="K18" s="693">
        <v>867048.85750000004</v>
      </c>
      <c r="L18" s="693">
        <v>21440909.133768</v>
      </c>
      <c r="M18" s="693">
        <v>12807863.628962001</v>
      </c>
      <c r="N18" s="693">
        <v>6700728.2256370001</v>
      </c>
      <c r="O18" s="693">
        <v>13225337.167497</v>
      </c>
      <c r="P18" s="693">
        <v>11102302.53256</v>
      </c>
      <c r="Q18" s="693">
        <v>3850544.6276969998</v>
      </c>
      <c r="R18" s="693">
        <v>787605.0808</v>
      </c>
      <c r="S18" s="693">
        <v>0</v>
      </c>
      <c r="T18" s="693">
        <v>0</v>
      </c>
      <c r="U18" s="693">
        <v>0</v>
      </c>
      <c r="V18" s="693">
        <v>0</v>
      </c>
      <c r="W18" s="693">
        <v>0</v>
      </c>
      <c r="X18" s="693">
        <v>0</v>
      </c>
      <c r="Y18" s="693">
        <v>0</v>
      </c>
      <c r="Z18" s="693">
        <v>0</v>
      </c>
      <c r="AA18" s="694">
        <v>0</v>
      </c>
    </row>
    <row r="19" spans="1:27" s="535" customFormat="1">
      <c r="A19" s="543" t="s">
        <v>473</v>
      </c>
      <c r="B19" s="542" t="s">
        <v>474</v>
      </c>
      <c r="C19" s="697">
        <v>2919924514.2741613</v>
      </c>
      <c r="D19" s="693">
        <v>2449490551.7553101</v>
      </c>
      <c r="E19" s="693">
        <v>86594598.573183998</v>
      </c>
      <c r="F19" s="693">
        <v>0</v>
      </c>
      <c r="G19" s="693">
        <v>0</v>
      </c>
      <c r="H19" s="693">
        <v>291667360.69522703</v>
      </c>
      <c r="I19" s="693">
        <v>9977005.2335870005</v>
      </c>
      <c r="J19" s="693">
        <v>12506455.901075</v>
      </c>
      <c r="K19" s="693">
        <v>271048.9425</v>
      </c>
      <c r="L19" s="693">
        <v>22468015.042619999</v>
      </c>
      <c r="M19" s="693">
        <v>9981870.6236589998</v>
      </c>
      <c r="N19" s="693">
        <v>9743977.9511530008</v>
      </c>
      <c r="O19" s="693">
        <v>9517774.5245389994</v>
      </c>
      <c r="P19" s="693">
        <v>11676567.810385</v>
      </c>
      <c r="Q19" s="693">
        <v>4060760.0771079999</v>
      </c>
      <c r="R19" s="693">
        <v>1968527.1438140001</v>
      </c>
      <c r="S19" s="693">
        <v>0</v>
      </c>
      <c r="T19" s="693">
        <v>0</v>
      </c>
      <c r="U19" s="693">
        <v>0</v>
      </c>
      <c r="V19" s="693">
        <v>0</v>
      </c>
      <c r="W19" s="693">
        <v>0</v>
      </c>
      <c r="X19" s="693">
        <v>0</v>
      </c>
      <c r="Y19" s="693">
        <v>0</v>
      </c>
      <c r="Z19" s="693">
        <v>0</v>
      </c>
      <c r="AA19" s="694">
        <v>0</v>
      </c>
    </row>
    <row r="20" spans="1:27" s="535" customFormat="1">
      <c r="A20" s="540" t="s">
        <v>475</v>
      </c>
      <c r="B20" s="541" t="s">
        <v>476</v>
      </c>
      <c r="C20" s="697">
        <v>2585532711.0691867</v>
      </c>
      <c r="D20" s="693">
        <v>2146266296.21365</v>
      </c>
      <c r="E20" s="693">
        <v>68573956.323531002</v>
      </c>
      <c r="F20" s="693">
        <v>0</v>
      </c>
      <c r="G20" s="693">
        <v>0</v>
      </c>
      <c r="H20" s="693">
        <v>281425483.655505</v>
      </c>
      <c r="I20" s="693">
        <v>9729118.5992869996</v>
      </c>
      <c r="J20" s="693">
        <v>11751482.529377</v>
      </c>
      <c r="K20" s="693">
        <v>271048.9425</v>
      </c>
      <c r="L20" s="693">
        <v>22259808.347576</v>
      </c>
      <c r="M20" s="693">
        <v>9663425.3533510007</v>
      </c>
      <c r="N20" s="693">
        <v>9466195.1169189904</v>
      </c>
      <c r="O20" s="693">
        <v>8867624.9989289902</v>
      </c>
      <c r="P20" s="693">
        <v>11241700.0370849</v>
      </c>
      <c r="Q20" s="693">
        <v>4050856.3802080001</v>
      </c>
      <c r="R20" s="693">
        <v>1965714.5712679999</v>
      </c>
      <c r="S20" s="693">
        <v>0</v>
      </c>
      <c r="T20" s="693">
        <v>0</v>
      </c>
      <c r="U20" s="693">
        <v>0</v>
      </c>
      <c r="V20" s="693">
        <v>0</v>
      </c>
      <c r="W20" s="693">
        <v>0</v>
      </c>
      <c r="X20" s="693">
        <v>0</v>
      </c>
      <c r="Y20" s="693">
        <v>0</v>
      </c>
      <c r="Z20" s="693">
        <v>0</v>
      </c>
      <c r="AA20" s="694">
        <v>0</v>
      </c>
    </row>
    <row r="21" spans="1:27" s="535" customFormat="1">
      <c r="A21" s="539">
        <v>1.4</v>
      </c>
      <c r="B21" s="538" t="s">
        <v>495</v>
      </c>
      <c r="C21" s="751">
        <v>13005465.269842016</v>
      </c>
      <c r="D21" s="693">
        <v>11894260.385222014</v>
      </c>
      <c r="E21" s="693">
        <v>99116.273360000007</v>
      </c>
      <c r="F21" s="693">
        <v>0</v>
      </c>
      <c r="G21" s="693">
        <v>0</v>
      </c>
      <c r="H21" s="693">
        <v>274818.34485000005</v>
      </c>
      <c r="I21" s="693">
        <v>107299.33266000001</v>
      </c>
      <c r="J21" s="693">
        <v>93914.687180000023</v>
      </c>
      <c r="K21" s="693">
        <v>0</v>
      </c>
      <c r="L21" s="693">
        <v>320429.78026000009</v>
      </c>
      <c r="M21" s="693">
        <v>9950.5946600000007</v>
      </c>
      <c r="N21" s="693">
        <v>182285.62656999999</v>
      </c>
      <c r="O21" s="693">
        <v>23390.245080000001</v>
      </c>
      <c r="P21" s="693">
        <v>0</v>
      </c>
      <c r="Q21" s="693">
        <v>0</v>
      </c>
      <c r="R21" s="693">
        <v>0</v>
      </c>
      <c r="S21" s="693">
        <v>0</v>
      </c>
      <c r="T21" s="693">
        <v>0</v>
      </c>
      <c r="U21" s="693">
        <v>0</v>
      </c>
      <c r="V21" s="693">
        <v>0</v>
      </c>
      <c r="W21" s="693">
        <v>0</v>
      </c>
      <c r="X21" s="693">
        <v>0</v>
      </c>
      <c r="Y21" s="693">
        <v>0</v>
      </c>
      <c r="Z21" s="693">
        <v>0</v>
      </c>
      <c r="AA21" s="694">
        <v>0</v>
      </c>
    </row>
    <row r="22" spans="1:27" s="535" customFormat="1" ht="13.5" thickBot="1">
      <c r="A22" s="537">
        <v>1.5</v>
      </c>
      <c r="B22" s="536" t="s">
        <v>496</v>
      </c>
      <c r="C22" s="698">
        <v>728037.48880000005</v>
      </c>
      <c r="D22" s="695">
        <v>728037.48880000005</v>
      </c>
      <c r="E22" s="695">
        <v>0</v>
      </c>
      <c r="F22" s="695">
        <v>0</v>
      </c>
      <c r="G22" s="695">
        <v>0</v>
      </c>
      <c r="H22" s="695">
        <v>0</v>
      </c>
      <c r="I22" s="695">
        <v>0</v>
      </c>
      <c r="J22" s="695">
        <v>0</v>
      </c>
      <c r="K22" s="695">
        <v>0</v>
      </c>
      <c r="L22" s="695">
        <v>0</v>
      </c>
      <c r="M22" s="695">
        <v>0</v>
      </c>
      <c r="N22" s="695">
        <v>0</v>
      </c>
      <c r="O22" s="695">
        <v>0</v>
      </c>
      <c r="P22" s="695">
        <v>0</v>
      </c>
      <c r="Q22" s="695">
        <v>0</v>
      </c>
      <c r="R22" s="695">
        <v>0</v>
      </c>
      <c r="S22" s="695">
        <v>0</v>
      </c>
      <c r="T22" s="695">
        <v>0</v>
      </c>
      <c r="U22" s="695">
        <v>0</v>
      </c>
      <c r="V22" s="695">
        <v>0</v>
      </c>
      <c r="W22" s="695">
        <v>0</v>
      </c>
      <c r="X22" s="695">
        <v>0</v>
      </c>
      <c r="Y22" s="695">
        <v>0</v>
      </c>
      <c r="Z22" s="695">
        <v>0</v>
      </c>
      <c r="AA22" s="696">
        <v>0</v>
      </c>
    </row>
  </sheetData>
  <mergeCells count="7">
    <mergeCell ref="U6:AA6"/>
    <mergeCell ref="C5:AA5"/>
    <mergeCell ref="A5:B7"/>
    <mergeCell ref="D6:G6"/>
    <mergeCell ref="C6:C7"/>
    <mergeCell ref="H6:K6"/>
    <mergeCell ref="M6:S6"/>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opLeftCell="B1" workbookViewId="0">
      <selection activeCell="J27" sqref="J27"/>
    </sheetView>
  </sheetViews>
  <sheetFormatPr defaultColWidth="9.140625" defaultRowHeight="12.75"/>
  <cols>
    <col min="1" max="1" width="11.85546875" style="504" bestFit="1" customWidth="1"/>
    <col min="2" max="2" width="93.42578125" style="504" customWidth="1"/>
    <col min="3" max="3" width="14.5703125" style="504" customWidth="1"/>
    <col min="4" max="5" width="16.140625" style="504" customWidth="1"/>
    <col min="6" max="6" width="16.140625" style="557" customWidth="1"/>
    <col min="7" max="7" width="16.85546875" style="557" customWidth="1"/>
    <col min="8" max="8" width="16.5703125" style="504" customWidth="1"/>
    <col min="9" max="11" width="16.140625" style="557" customWidth="1"/>
    <col min="12" max="12" width="14.140625" style="557" customWidth="1"/>
    <col min="13" max="16384" width="9.140625" style="504"/>
  </cols>
  <sheetData>
    <row r="1" spans="1:12" ht="13.5">
      <c r="A1" s="396" t="s">
        <v>108</v>
      </c>
      <c r="B1" s="319" t="str">
        <f>Info!C2</f>
        <v>სს "ბაზისბანკი"</v>
      </c>
      <c r="F1" s="504"/>
      <c r="G1" s="504"/>
      <c r="I1" s="504"/>
      <c r="J1" s="504"/>
      <c r="K1" s="504"/>
      <c r="L1" s="504"/>
    </row>
    <row r="2" spans="1:12">
      <c r="A2" s="398" t="s">
        <v>109</v>
      </c>
      <c r="B2" s="400">
        <f>'1. key ratios'!B2</f>
        <v>45016</v>
      </c>
      <c r="F2" s="504"/>
      <c r="G2" s="504"/>
      <c r="I2" s="504"/>
      <c r="J2" s="504"/>
      <c r="K2" s="504"/>
      <c r="L2" s="504"/>
    </row>
    <row r="3" spans="1:12">
      <c r="A3" s="399" t="s">
        <v>479</v>
      </c>
      <c r="F3" s="504"/>
      <c r="G3" s="504"/>
      <c r="I3" s="504"/>
      <c r="J3" s="504"/>
      <c r="K3" s="504"/>
      <c r="L3" s="504"/>
    </row>
    <row r="4" spans="1:12">
      <c r="F4" s="504"/>
      <c r="G4" s="504"/>
      <c r="I4" s="504"/>
      <c r="J4" s="504"/>
      <c r="K4" s="504"/>
      <c r="L4" s="504"/>
    </row>
    <row r="5" spans="1:12" ht="37.5" customHeight="1">
      <c r="A5" s="826" t="s">
        <v>480</v>
      </c>
      <c r="B5" s="827"/>
      <c r="C5" s="877" t="s">
        <v>481</v>
      </c>
      <c r="D5" s="878"/>
      <c r="E5" s="878"/>
      <c r="F5" s="878"/>
      <c r="G5" s="878"/>
      <c r="H5" s="879" t="s">
        <v>682</v>
      </c>
      <c r="I5" s="880"/>
      <c r="J5" s="880"/>
      <c r="K5" s="880"/>
      <c r="L5" s="881"/>
    </row>
    <row r="6" spans="1:12" ht="39.6" customHeight="1">
      <c r="A6" s="830"/>
      <c r="B6" s="831"/>
      <c r="C6" s="406"/>
      <c r="D6" s="502" t="s">
        <v>667</v>
      </c>
      <c r="E6" s="502" t="s">
        <v>666</v>
      </c>
      <c r="F6" s="502" t="s">
        <v>665</v>
      </c>
      <c r="G6" s="502" t="s">
        <v>664</v>
      </c>
      <c r="H6" s="560"/>
      <c r="I6" s="502" t="s">
        <v>667</v>
      </c>
      <c r="J6" s="502" t="s">
        <v>666</v>
      </c>
      <c r="K6" s="502" t="s">
        <v>665</v>
      </c>
      <c r="L6" s="502" t="s">
        <v>664</v>
      </c>
    </row>
    <row r="7" spans="1:12">
      <c r="A7" s="493">
        <v>1</v>
      </c>
      <c r="B7" s="508" t="s">
        <v>403</v>
      </c>
      <c r="C7" s="701">
        <f>SUM(D7:G7)</f>
        <v>77060888.60359998</v>
      </c>
      <c r="D7" s="680">
        <v>73383663.267999977</v>
      </c>
      <c r="E7" s="680">
        <v>1502595.3602999998</v>
      </c>
      <c r="F7" s="680">
        <v>2174629.9753</v>
      </c>
      <c r="G7" s="680">
        <v>0</v>
      </c>
      <c r="H7" s="701">
        <f>SUM(I7:L7)</f>
        <v>1246623.0564721255</v>
      </c>
      <c r="I7" s="680">
        <v>350620.62558031752</v>
      </c>
      <c r="J7" s="680">
        <v>24846.096623163357</v>
      </c>
      <c r="K7" s="680">
        <v>871156.33426864445</v>
      </c>
      <c r="L7" s="680">
        <v>0</v>
      </c>
    </row>
    <row r="8" spans="1:12">
      <c r="A8" s="493">
        <v>2</v>
      </c>
      <c r="B8" s="508" t="s">
        <v>404</v>
      </c>
      <c r="C8" s="701">
        <f t="shared" ref="C8:C32" si="0">SUM(D8:G8)</f>
        <v>109961252.36689979</v>
      </c>
      <c r="D8" s="680">
        <v>108209425.05519979</v>
      </c>
      <c r="E8" s="680">
        <v>482414.67489999998</v>
      </c>
      <c r="F8" s="681">
        <v>1269412.6368</v>
      </c>
      <c r="G8" s="681">
        <v>0</v>
      </c>
      <c r="H8" s="701">
        <f t="shared" ref="H8:H32" si="1">SUM(I8:L8)</f>
        <v>763892.12669039355</v>
      </c>
      <c r="I8" s="681">
        <v>335750.2151325515</v>
      </c>
      <c r="J8" s="681">
        <v>8317.8791489657415</v>
      </c>
      <c r="K8" s="681">
        <v>419824.03240887634</v>
      </c>
      <c r="L8" s="681">
        <v>0</v>
      </c>
    </row>
    <row r="9" spans="1:12">
      <c r="A9" s="493">
        <v>3</v>
      </c>
      <c r="B9" s="508" t="s">
        <v>643</v>
      </c>
      <c r="C9" s="701">
        <f t="shared" si="0"/>
        <v>131421.8107</v>
      </c>
      <c r="D9" s="680">
        <v>131421.8107</v>
      </c>
      <c r="E9" s="680">
        <v>0</v>
      </c>
      <c r="F9" s="682">
        <v>0</v>
      </c>
      <c r="G9" s="682">
        <v>0</v>
      </c>
      <c r="H9" s="701">
        <f t="shared" si="1"/>
        <v>24.314620924033541</v>
      </c>
      <c r="I9" s="682">
        <v>24.314620924033541</v>
      </c>
      <c r="J9" s="682">
        <v>0</v>
      </c>
      <c r="K9" s="682">
        <v>0</v>
      </c>
      <c r="L9" s="682">
        <v>0</v>
      </c>
    </row>
    <row r="10" spans="1:12">
      <c r="A10" s="493">
        <v>4</v>
      </c>
      <c r="B10" s="508" t="s">
        <v>405</v>
      </c>
      <c r="C10" s="701">
        <f t="shared" si="0"/>
        <v>112479098.76819988</v>
      </c>
      <c r="D10" s="680">
        <v>106856449.61429989</v>
      </c>
      <c r="E10" s="680">
        <v>2754250.1627999898</v>
      </c>
      <c r="F10" s="682">
        <v>2868398.9911000002</v>
      </c>
      <c r="G10" s="682">
        <v>0</v>
      </c>
      <c r="H10" s="701">
        <f t="shared" si="1"/>
        <v>437704.15230996453</v>
      </c>
      <c r="I10" s="682">
        <v>149077.59858413163</v>
      </c>
      <c r="J10" s="682">
        <v>24032.798444472162</v>
      </c>
      <c r="K10" s="682">
        <v>264593.75528136076</v>
      </c>
      <c r="L10" s="682">
        <v>0</v>
      </c>
    </row>
    <row r="11" spans="1:12">
      <c r="A11" s="493">
        <v>5</v>
      </c>
      <c r="B11" s="508" t="s">
        <v>406</v>
      </c>
      <c r="C11" s="701">
        <f t="shared" si="0"/>
        <v>190678230.91169968</v>
      </c>
      <c r="D11" s="680">
        <v>167638796.12729979</v>
      </c>
      <c r="E11" s="680">
        <v>21356709.580199901</v>
      </c>
      <c r="F11" s="682">
        <v>1682725.2042</v>
      </c>
      <c r="G11" s="682">
        <v>0</v>
      </c>
      <c r="H11" s="701">
        <f t="shared" si="1"/>
        <v>714293.00345767033</v>
      </c>
      <c r="I11" s="682">
        <v>256521.91646026596</v>
      </c>
      <c r="J11" s="682">
        <v>146182.01177038832</v>
      </c>
      <c r="K11" s="682">
        <v>311589.075227016</v>
      </c>
      <c r="L11" s="682">
        <v>0</v>
      </c>
    </row>
    <row r="12" spans="1:12">
      <c r="A12" s="493">
        <v>6</v>
      </c>
      <c r="B12" s="508" t="s">
        <v>407</v>
      </c>
      <c r="C12" s="701">
        <f t="shared" si="0"/>
        <v>100642439.83559985</v>
      </c>
      <c r="D12" s="680">
        <v>95312265.741999865</v>
      </c>
      <c r="E12" s="680">
        <v>1772754.176</v>
      </c>
      <c r="F12" s="682">
        <v>3557419.91759999</v>
      </c>
      <c r="G12" s="682">
        <v>0</v>
      </c>
      <c r="H12" s="701">
        <f t="shared" si="1"/>
        <v>669211.59854811244</v>
      </c>
      <c r="I12" s="682">
        <v>141980.34822753962</v>
      </c>
      <c r="J12" s="682">
        <v>16081.109817647628</v>
      </c>
      <c r="K12" s="682">
        <v>511150.14050292515</v>
      </c>
      <c r="L12" s="682">
        <v>0</v>
      </c>
    </row>
    <row r="13" spans="1:12">
      <c r="A13" s="493">
        <v>7</v>
      </c>
      <c r="B13" s="508" t="s">
        <v>408</v>
      </c>
      <c r="C13" s="701">
        <f t="shared" si="0"/>
        <v>55470190.321299776</v>
      </c>
      <c r="D13" s="680">
        <v>51925439.241199784</v>
      </c>
      <c r="E13" s="680">
        <v>2800680.5778999897</v>
      </c>
      <c r="F13" s="682">
        <v>744070.50219999999</v>
      </c>
      <c r="G13" s="682">
        <v>0</v>
      </c>
      <c r="H13" s="701">
        <f t="shared" si="1"/>
        <v>321218.4684957494</v>
      </c>
      <c r="I13" s="682">
        <v>83566.098020930513</v>
      </c>
      <c r="J13" s="682">
        <v>19894.482816308162</v>
      </c>
      <c r="K13" s="682">
        <v>217757.88765851071</v>
      </c>
      <c r="L13" s="682">
        <v>0</v>
      </c>
    </row>
    <row r="14" spans="1:12">
      <c r="A14" s="493">
        <v>8</v>
      </c>
      <c r="B14" s="508" t="s">
        <v>409</v>
      </c>
      <c r="C14" s="701">
        <f t="shared" si="0"/>
        <v>56283688.815099895</v>
      </c>
      <c r="D14" s="680">
        <v>53242840.845899895</v>
      </c>
      <c r="E14" s="680">
        <v>2833392.2463000002</v>
      </c>
      <c r="F14" s="682">
        <v>207455.72289999999</v>
      </c>
      <c r="G14" s="682">
        <v>0</v>
      </c>
      <c r="H14" s="701">
        <f t="shared" si="1"/>
        <v>202508.42331456998</v>
      </c>
      <c r="I14" s="682">
        <v>98752.514645769203</v>
      </c>
      <c r="J14" s="682">
        <v>22817.455011872975</v>
      </c>
      <c r="K14" s="682">
        <v>80938.453656927784</v>
      </c>
      <c r="L14" s="682">
        <v>0</v>
      </c>
    </row>
    <row r="15" spans="1:12">
      <c r="A15" s="493">
        <v>9</v>
      </c>
      <c r="B15" s="508" t="s">
        <v>410</v>
      </c>
      <c r="C15" s="701">
        <f t="shared" si="0"/>
        <v>84068141.742399991</v>
      </c>
      <c r="D15" s="680">
        <v>76548252.561999992</v>
      </c>
      <c r="E15" s="680">
        <v>6911603.2943999907</v>
      </c>
      <c r="F15" s="682">
        <v>608285.88599999994</v>
      </c>
      <c r="G15" s="682">
        <v>0</v>
      </c>
      <c r="H15" s="701">
        <f t="shared" si="1"/>
        <v>435525.51461300952</v>
      </c>
      <c r="I15" s="682">
        <v>76580.987928757313</v>
      </c>
      <c r="J15" s="682">
        <v>151785.1955730698</v>
      </c>
      <c r="K15" s="682">
        <v>207159.33111118243</v>
      </c>
      <c r="L15" s="682">
        <v>0</v>
      </c>
    </row>
    <row r="16" spans="1:12">
      <c r="A16" s="493">
        <v>10</v>
      </c>
      <c r="B16" s="508" t="s">
        <v>411</v>
      </c>
      <c r="C16" s="701">
        <f t="shared" si="0"/>
        <v>14224037.392699957</v>
      </c>
      <c r="D16" s="680">
        <v>14065828.656099958</v>
      </c>
      <c r="E16" s="680">
        <v>27055.792099999999</v>
      </c>
      <c r="F16" s="682">
        <v>131152.94449999998</v>
      </c>
      <c r="G16" s="682">
        <v>0</v>
      </c>
      <c r="H16" s="701">
        <f t="shared" si="1"/>
        <v>28683.552807449345</v>
      </c>
      <c r="I16" s="682">
        <v>12730.886821438095</v>
      </c>
      <c r="J16" s="682">
        <v>317.52229976311594</v>
      </c>
      <c r="K16" s="682">
        <v>15635.143686248135</v>
      </c>
      <c r="L16" s="682">
        <v>0</v>
      </c>
    </row>
    <row r="17" spans="1:12">
      <c r="A17" s="493">
        <v>11</v>
      </c>
      <c r="B17" s="508" t="s">
        <v>412</v>
      </c>
      <c r="C17" s="701">
        <f t="shared" si="0"/>
        <v>1946132.9027</v>
      </c>
      <c r="D17" s="680">
        <v>1925359.4778</v>
      </c>
      <c r="E17" s="680">
        <v>0</v>
      </c>
      <c r="F17" s="682">
        <v>20773.424900000002</v>
      </c>
      <c r="G17" s="682">
        <v>0</v>
      </c>
      <c r="H17" s="701">
        <f t="shared" si="1"/>
        <v>5194.4179282616187</v>
      </c>
      <c r="I17" s="682">
        <v>2501.6867112602295</v>
      </c>
      <c r="J17" s="682">
        <v>0</v>
      </c>
      <c r="K17" s="682">
        <v>2692.7312170013893</v>
      </c>
      <c r="L17" s="682">
        <v>0</v>
      </c>
    </row>
    <row r="18" spans="1:12">
      <c r="A18" s="493">
        <v>12</v>
      </c>
      <c r="B18" s="508" t="s">
        <v>413</v>
      </c>
      <c r="C18" s="701">
        <f t="shared" si="0"/>
        <v>79858186.497299984</v>
      </c>
      <c r="D18" s="680">
        <v>78409471.097799987</v>
      </c>
      <c r="E18" s="680">
        <v>499274.7807</v>
      </c>
      <c r="F18" s="682">
        <v>949440.61880000005</v>
      </c>
      <c r="G18" s="682">
        <v>0</v>
      </c>
      <c r="H18" s="701">
        <f t="shared" si="1"/>
        <v>628559.50003588665</v>
      </c>
      <c r="I18" s="682">
        <v>309057.39803695813</v>
      </c>
      <c r="J18" s="682">
        <v>3949.2292977159768</v>
      </c>
      <c r="K18" s="682">
        <v>315552.87270121247</v>
      </c>
      <c r="L18" s="682">
        <v>0</v>
      </c>
    </row>
    <row r="19" spans="1:12">
      <c r="A19" s="493">
        <v>13</v>
      </c>
      <c r="B19" s="508" t="s">
        <v>414</v>
      </c>
      <c r="C19" s="701">
        <f t="shared" si="0"/>
        <v>18530984.154899999</v>
      </c>
      <c r="D19" s="680">
        <v>17292753.354699999</v>
      </c>
      <c r="E19" s="680">
        <v>150950.62</v>
      </c>
      <c r="F19" s="682">
        <v>1087280.1802000001</v>
      </c>
      <c r="G19" s="682">
        <v>0</v>
      </c>
      <c r="H19" s="701">
        <f t="shared" si="1"/>
        <v>481812.40641956648</v>
      </c>
      <c r="I19" s="682">
        <v>73059.134568467605</v>
      </c>
      <c r="J19" s="682">
        <v>2122.3997354169155</v>
      </c>
      <c r="K19" s="682">
        <v>406630.872115682</v>
      </c>
      <c r="L19" s="682">
        <v>0</v>
      </c>
    </row>
    <row r="20" spans="1:12">
      <c r="A20" s="493">
        <v>14</v>
      </c>
      <c r="B20" s="508" t="s">
        <v>415</v>
      </c>
      <c r="C20" s="701">
        <f t="shared" si="0"/>
        <v>123634722.61939979</v>
      </c>
      <c r="D20" s="680">
        <v>94914173.442799807</v>
      </c>
      <c r="E20" s="680">
        <v>12142718.963300001</v>
      </c>
      <c r="F20" s="682">
        <v>16577830.21329998</v>
      </c>
      <c r="G20" s="682">
        <v>0</v>
      </c>
      <c r="H20" s="701">
        <f t="shared" si="1"/>
        <v>5556287.2547803819</v>
      </c>
      <c r="I20" s="682">
        <v>153170.50943848622</v>
      </c>
      <c r="J20" s="682">
        <v>70077.376288809886</v>
      </c>
      <c r="K20" s="682">
        <v>5333039.3690530863</v>
      </c>
      <c r="L20" s="682">
        <v>0</v>
      </c>
    </row>
    <row r="21" spans="1:12">
      <c r="A21" s="493">
        <v>15</v>
      </c>
      <c r="B21" s="508" t="s">
        <v>416</v>
      </c>
      <c r="C21" s="701">
        <f t="shared" si="0"/>
        <v>32945097.517099895</v>
      </c>
      <c r="D21" s="680">
        <v>29293267.587499894</v>
      </c>
      <c r="E21" s="680">
        <v>501568.5882</v>
      </c>
      <c r="F21" s="682">
        <v>3150261.3414000003</v>
      </c>
      <c r="G21" s="682">
        <v>0</v>
      </c>
      <c r="H21" s="701">
        <f t="shared" si="1"/>
        <v>1507746.3899342802</v>
      </c>
      <c r="I21" s="682">
        <v>224656.125211251</v>
      </c>
      <c r="J21" s="682">
        <v>354.59282344895473</v>
      </c>
      <c r="K21" s="682">
        <v>1282735.6718995802</v>
      </c>
      <c r="L21" s="682">
        <v>0</v>
      </c>
    </row>
    <row r="22" spans="1:12">
      <c r="A22" s="493">
        <v>16</v>
      </c>
      <c r="B22" s="508" t="s">
        <v>417</v>
      </c>
      <c r="C22" s="701">
        <f t="shared" si="0"/>
        <v>16340558.345000001</v>
      </c>
      <c r="D22" s="680">
        <v>4193763.1879000003</v>
      </c>
      <c r="E22" s="680">
        <v>12085691.046500001</v>
      </c>
      <c r="F22" s="682">
        <v>61104.1106</v>
      </c>
      <c r="G22" s="682">
        <v>0</v>
      </c>
      <c r="H22" s="701">
        <f t="shared" si="1"/>
        <v>109994.1735044494</v>
      </c>
      <c r="I22" s="682">
        <v>3009.387365201389</v>
      </c>
      <c r="J22" s="682">
        <v>86752.022027235289</v>
      </c>
      <c r="K22" s="682">
        <v>20232.764112012719</v>
      </c>
      <c r="L22" s="682">
        <v>0</v>
      </c>
    </row>
    <row r="23" spans="1:12">
      <c r="A23" s="493">
        <v>17</v>
      </c>
      <c r="B23" s="508" t="s">
        <v>418</v>
      </c>
      <c r="C23" s="701">
        <f t="shared" si="0"/>
        <v>16683683.687899999</v>
      </c>
      <c r="D23" s="680">
        <v>16336509.401999999</v>
      </c>
      <c r="E23" s="680">
        <v>0</v>
      </c>
      <c r="F23" s="682">
        <v>347174.28590000002</v>
      </c>
      <c r="G23" s="682">
        <v>0</v>
      </c>
      <c r="H23" s="701">
        <f t="shared" si="1"/>
        <v>152903.66742600547</v>
      </c>
      <c r="I23" s="682">
        <v>32872.818259705702</v>
      </c>
      <c r="J23" s="682">
        <v>0</v>
      </c>
      <c r="K23" s="682">
        <v>120030.84916629975</v>
      </c>
      <c r="L23" s="682">
        <v>0</v>
      </c>
    </row>
    <row r="24" spans="1:12">
      <c r="A24" s="493">
        <v>18</v>
      </c>
      <c r="B24" s="508" t="s">
        <v>419</v>
      </c>
      <c r="C24" s="701">
        <f t="shared" si="0"/>
        <v>118404998.33129978</v>
      </c>
      <c r="D24" s="680">
        <v>117251852.90669978</v>
      </c>
      <c r="E24" s="680">
        <v>505371.9374</v>
      </c>
      <c r="F24" s="682">
        <v>647773.48719999997</v>
      </c>
      <c r="G24" s="682">
        <v>0</v>
      </c>
      <c r="H24" s="701">
        <f t="shared" si="1"/>
        <v>726471.89906815626</v>
      </c>
      <c r="I24" s="682">
        <v>403630.50391725032</v>
      </c>
      <c r="J24" s="682">
        <v>33658.475711976433</v>
      </c>
      <c r="K24" s="682">
        <v>289182.91943892953</v>
      </c>
      <c r="L24" s="682">
        <v>0</v>
      </c>
    </row>
    <row r="25" spans="1:12">
      <c r="A25" s="493">
        <v>19</v>
      </c>
      <c r="B25" s="508" t="s">
        <v>420</v>
      </c>
      <c r="C25" s="701">
        <f t="shared" si="0"/>
        <v>14946144.8661</v>
      </c>
      <c r="D25" s="680">
        <v>14946144.8661</v>
      </c>
      <c r="E25" s="680">
        <v>0</v>
      </c>
      <c r="F25" s="682">
        <v>0</v>
      </c>
      <c r="G25" s="682">
        <v>0</v>
      </c>
      <c r="H25" s="701">
        <f t="shared" si="1"/>
        <v>33496.467630513725</v>
      </c>
      <c r="I25" s="682">
        <v>33496.467630513725</v>
      </c>
      <c r="J25" s="682">
        <v>0</v>
      </c>
      <c r="K25" s="682">
        <v>0</v>
      </c>
      <c r="L25" s="682">
        <v>0</v>
      </c>
    </row>
    <row r="26" spans="1:12">
      <c r="A26" s="493">
        <v>20</v>
      </c>
      <c r="B26" s="508" t="s">
        <v>421</v>
      </c>
      <c r="C26" s="701">
        <f t="shared" si="0"/>
        <v>109978361.36179993</v>
      </c>
      <c r="D26" s="680">
        <v>108319746.37009992</v>
      </c>
      <c r="E26" s="680">
        <v>342998.44209999999</v>
      </c>
      <c r="F26" s="682">
        <v>1315616.5496</v>
      </c>
      <c r="G26" s="682">
        <v>0</v>
      </c>
      <c r="H26" s="701">
        <f t="shared" si="1"/>
        <v>690925.27885992813</v>
      </c>
      <c r="I26" s="682">
        <v>232893.80188334739</v>
      </c>
      <c r="J26" s="682">
        <v>5743.8072824165702</v>
      </c>
      <c r="K26" s="682">
        <v>452287.66969416419</v>
      </c>
      <c r="L26" s="682">
        <v>0</v>
      </c>
    </row>
    <row r="27" spans="1:12">
      <c r="A27" s="493">
        <v>21</v>
      </c>
      <c r="B27" s="508" t="s">
        <v>422</v>
      </c>
      <c r="C27" s="701">
        <f t="shared" si="0"/>
        <v>28203828.052500002</v>
      </c>
      <c r="D27" s="680">
        <v>27407288.642300002</v>
      </c>
      <c r="E27" s="680">
        <v>137360.0748</v>
      </c>
      <c r="F27" s="682">
        <v>659179.33539999998</v>
      </c>
      <c r="G27" s="682">
        <v>0</v>
      </c>
      <c r="H27" s="701">
        <f t="shared" si="1"/>
        <v>290539.52888983744</v>
      </c>
      <c r="I27" s="682">
        <v>39894.896313325386</v>
      </c>
      <c r="J27" s="682">
        <v>1097.3964379965209</v>
      </c>
      <c r="K27" s="682">
        <v>249547.23613851555</v>
      </c>
      <c r="L27" s="682">
        <v>0</v>
      </c>
    </row>
    <row r="28" spans="1:12">
      <c r="A28" s="493">
        <v>22</v>
      </c>
      <c r="B28" s="508" t="s">
        <v>423</v>
      </c>
      <c r="C28" s="701">
        <f t="shared" si="0"/>
        <v>6216188.7719999999</v>
      </c>
      <c r="D28" s="680">
        <v>5711645.165</v>
      </c>
      <c r="E28" s="680">
        <v>156832.98130000001</v>
      </c>
      <c r="F28" s="682">
        <v>347710.62569999998</v>
      </c>
      <c r="G28" s="682">
        <v>0</v>
      </c>
      <c r="H28" s="701">
        <f t="shared" si="1"/>
        <v>131754.09379321849</v>
      </c>
      <c r="I28" s="682">
        <v>23136.84005680988</v>
      </c>
      <c r="J28" s="682">
        <v>2669.1306531485602</v>
      </c>
      <c r="K28" s="682">
        <v>105948.12308326006</v>
      </c>
      <c r="L28" s="682">
        <v>0</v>
      </c>
    </row>
    <row r="29" spans="1:12">
      <c r="A29" s="493">
        <v>23</v>
      </c>
      <c r="B29" s="508" t="s">
        <v>424</v>
      </c>
      <c r="C29" s="701">
        <f t="shared" si="0"/>
        <v>252567663.24269989</v>
      </c>
      <c r="D29" s="680">
        <v>242583952.74779987</v>
      </c>
      <c r="E29" s="680">
        <v>4492026.5851999996</v>
      </c>
      <c r="F29" s="682">
        <v>5491683.9096999997</v>
      </c>
      <c r="G29" s="682">
        <v>0</v>
      </c>
      <c r="H29" s="701">
        <f t="shared" si="1"/>
        <v>2760170.7786361245</v>
      </c>
      <c r="I29" s="682">
        <v>928111.85154462128</v>
      </c>
      <c r="J29" s="682">
        <v>74606.445028190559</v>
      </c>
      <c r="K29" s="682">
        <v>1757452.4820633125</v>
      </c>
      <c r="L29" s="682">
        <v>0</v>
      </c>
    </row>
    <row r="30" spans="1:12">
      <c r="A30" s="493">
        <v>24</v>
      </c>
      <c r="B30" s="508" t="s">
        <v>425</v>
      </c>
      <c r="C30" s="701">
        <f t="shared" si="0"/>
        <v>109590959.2442999</v>
      </c>
      <c r="D30" s="680">
        <v>101286454.9334999</v>
      </c>
      <c r="E30" s="680">
        <v>4049066.2103999993</v>
      </c>
      <c r="F30" s="682">
        <v>4255438.1003999999</v>
      </c>
      <c r="G30" s="682">
        <v>0</v>
      </c>
      <c r="H30" s="701">
        <f t="shared" si="1"/>
        <v>813169.85500752588</v>
      </c>
      <c r="I30" s="682">
        <v>83763.9234176381</v>
      </c>
      <c r="J30" s="682">
        <v>24607.949237177269</v>
      </c>
      <c r="K30" s="682">
        <v>704797.98235271056</v>
      </c>
      <c r="L30" s="682">
        <v>0</v>
      </c>
    </row>
    <row r="31" spans="1:12">
      <c r="A31" s="493">
        <v>25</v>
      </c>
      <c r="B31" s="508" t="s">
        <v>426</v>
      </c>
      <c r="C31" s="701">
        <f t="shared" si="0"/>
        <v>107982481.0279004</v>
      </c>
      <c r="D31" s="680">
        <v>97395999.020700395</v>
      </c>
      <c r="E31" s="680">
        <v>3632735.7466000002</v>
      </c>
      <c r="F31" s="682">
        <v>6953746.2606000006</v>
      </c>
      <c r="G31" s="682">
        <v>0</v>
      </c>
      <c r="H31" s="701">
        <f t="shared" si="1"/>
        <v>2620891.7770248875</v>
      </c>
      <c r="I31" s="682">
        <v>346470.51701265387</v>
      </c>
      <c r="J31" s="682">
        <v>59298.727448153106</v>
      </c>
      <c r="K31" s="682">
        <v>2215122.5325640803</v>
      </c>
      <c r="L31" s="682">
        <v>0</v>
      </c>
    </row>
    <row r="32" spans="1:12">
      <c r="A32" s="493">
        <v>26</v>
      </c>
      <c r="B32" s="508" t="s">
        <v>482</v>
      </c>
      <c r="C32" s="701">
        <f t="shared" si="0"/>
        <v>230074346.22435397</v>
      </c>
      <c r="D32" s="680">
        <v>186426053.64885396</v>
      </c>
      <c r="E32" s="680">
        <v>18932823.4208</v>
      </c>
      <c r="F32" s="682">
        <v>24715469.154700004</v>
      </c>
      <c r="G32" s="682">
        <v>0</v>
      </c>
      <c r="H32" s="701">
        <f t="shared" si="1"/>
        <v>12339723.219907586</v>
      </c>
      <c r="I32" s="682">
        <v>2362438.3948868602</v>
      </c>
      <c r="J32" s="682">
        <v>709438.72255484725</v>
      </c>
      <c r="K32" s="682">
        <v>9267846.1024658792</v>
      </c>
      <c r="L32" s="682">
        <v>0</v>
      </c>
    </row>
    <row r="33" spans="1:12">
      <c r="A33" s="493">
        <v>27</v>
      </c>
      <c r="B33" s="559" t="s">
        <v>66</v>
      </c>
      <c r="C33" s="683">
        <f t="shared" ref="C33:H33" si="2">SUM(C7:C32)</f>
        <v>2068903727.4154525</v>
      </c>
      <c r="D33" s="683">
        <f t="shared" si="2"/>
        <v>1891008818.7742524</v>
      </c>
      <c r="E33" s="683">
        <f t="shared" si="2"/>
        <v>98070875.262199864</v>
      </c>
      <c r="F33" s="683">
        <f t="shared" si="2"/>
        <v>79824033.378999963</v>
      </c>
      <c r="G33" s="683">
        <f t="shared" si="2"/>
        <v>0</v>
      </c>
      <c r="H33" s="683">
        <f t="shared" si="2"/>
        <v>33669324.920176581</v>
      </c>
      <c r="I33" s="683">
        <f t="shared" ref="I33:L33" si="3">SUM(I7:I32)</f>
        <v>6757769.7622769773</v>
      </c>
      <c r="J33" s="683">
        <f t="shared" si="3"/>
        <v>1488650.8260321845</v>
      </c>
      <c r="K33" s="683">
        <f t="shared" si="3"/>
        <v>25422904.331867419</v>
      </c>
      <c r="L33" s="683">
        <f t="shared" si="3"/>
        <v>0</v>
      </c>
    </row>
    <row r="34" spans="1:12">
      <c r="A34" s="521"/>
      <c r="B34" s="521"/>
      <c r="C34" s="521"/>
      <c r="D34" s="521"/>
      <c r="E34" s="521"/>
      <c r="H34" s="521"/>
    </row>
    <row r="35" spans="1:12">
      <c r="A35" s="521"/>
      <c r="B35" s="558"/>
      <c r="C35" s="558"/>
      <c r="D35" s="521"/>
      <c r="E35" s="521"/>
      <c r="H35" s="521"/>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election activeCell="D31" sqref="D31"/>
    </sheetView>
  </sheetViews>
  <sheetFormatPr defaultColWidth="8.7109375" defaultRowHeight="12"/>
  <cols>
    <col min="1" max="1" width="11.85546875" style="407" bestFit="1" customWidth="1"/>
    <col min="2" max="2" width="68.85546875" style="407" customWidth="1"/>
    <col min="3" max="11" width="28.28515625" style="407" customWidth="1"/>
    <col min="12" max="12" width="9.85546875" style="407" bestFit="1" customWidth="1"/>
    <col min="13" max="16384" width="8.7109375" style="407"/>
  </cols>
  <sheetData>
    <row r="1" spans="1:13" s="397" customFormat="1" ht="13.5">
      <c r="A1" s="753" t="s">
        <v>108</v>
      </c>
      <c r="B1" s="754" t="str">
        <f>Info!C2</f>
        <v>სს "ბაზისბანკი"</v>
      </c>
    </row>
    <row r="2" spans="1:13" s="397" customFormat="1" ht="12.75">
      <c r="A2" s="755" t="s">
        <v>109</v>
      </c>
      <c r="B2" s="400">
        <f>'1. key ratios'!B2</f>
        <v>45016</v>
      </c>
    </row>
    <row r="3" spans="1:13" s="397" customFormat="1" ht="12.75">
      <c r="A3" s="756" t="s">
        <v>483</v>
      </c>
    </row>
    <row r="4" spans="1:13">
      <c r="A4" s="757"/>
      <c r="B4" s="757"/>
      <c r="C4" s="758" t="s">
        <v>387</v>
      </c>
      <c r="D4" s="758" t="s">
        <v>388</v>
      </c>
      <c r="E4" s="758" t="s">
        <v>389</v>
      </c>
      <c r="F4" s="758" t="s">
        <v>390</v>
      </c>
      <c r="G4" s="758" t="s">
        <v>391</v>
      </c>
      <c r="H4" s="758" t="s">
        <v>392</v>
      </c>
      <c r="I4" s="758" t="s">
        <v>393</v>
      </c>
      <c r="J4" s="758" t="s">
        <v>394</v>
      </c>
      <c r="K4" s="758" t="s">
        <v>395</v>
      </c>
    </row>
    <row r="5" spans="1:13" ht="104.1" customHeight="1">
      <c r="A5" s="882" t="s">
        <v>681</v>
      </c>
      <c r="B5" s="883"/>
      <c r="C5" s="491" t="s">
        <v>484</v>
      </c>
      <c r="D5" s="491" t="s">
        <v>477</v>
      </c>
      <c r="E5" s="491" t="s">
        <v>478</v>
      </c>
      <c r="F5" s="491" t="s">
        <v>680</v>
      </c>
      <c r="G5" s="491" t="s">
        <v>485</v>
      </c>
      <c r="H5" s="491" t="s">
        <v>486</v>
      </c>
      <c r="I5" s="491" t="s">
        <v>487</v>
      </c>
      <c r="J5" s="491" t="s">
        <v>488</v>
      </c>
      <c r="K5" s="491" t="s">
        <v>489</v>
      </c>
    </row>
    <row r="6" spans="1:13" ht="12.75">
      <c r="A6" s="759">
        <v>1</v>
      </c>
      <c r="B6" s="759" t="s">
        <v>490</v>
      </c>
      <c r="C6" s="750">
        <v>58873764.408255994</v>
      </c>
      <c r="D6" s="750">
        <v>12865470.047868015</v>
      </c>
      <c r="E6" s="750">
        <v>640180.10242800007</v>
      </c>
      <c r="F6" s="750">
        <v>0</v>
      </c>
      <c r="G6" s="750">
        <v>1479181256.167351</v>
      </c>
      <c r="H6" s="750">
        <v>16085974.026060998</v>
      </c>
      <c r="I6" s="750">
        <v>119191680.48155488</v>
      </c>
      <c r="J6" s="750">
        <v>65898143.497433953</v>
      </c>
      <c r="K6" s="750">
        <v>316167258.68501627</v>
      </c>
    </row>
    <row r="7" spans="1:13" ht="12.75">
      <c r="A7" s="759">
        <v>2</v>
      </c>
      <c r="B7" s="760" t="s">
        <v>491</v>
      </c>
      <c r="C7" s="750">
        <v>0</v>
      </c>
      <c r="D7" s="750">
        <v>0</v>
      </c>
      <c r="E7" s="750">
        <v>0</v>
      </c>
      <c r="F7" s="750">
        <v>0</v>
      </c>
      <c r="G7" s="750">
        <v>0</v>
      </c>
      <c r="H7" s="750">
        <v>0</v>
      </c>
      <c r="I7" s="750">
        <v>0</v>
      </c>
      <c r="J7" s="750">
        <v>0</v>
      </c>
      <c r="K7" s="750">
        <v>53338055.349999994</v>
      </c>
    </row>
    <row r="8" spans="1:13" ht="13.5" thickBot="1">
      <c r="A8" s="759">
        <v>3</v>
      </c>
      <c r="B8" s="760" t="s">
        <v>455</v>
      </c>
      <c r="C8" s="750">
        <v>22132774.573386997</v>
      </c>
      <c r="D8" s="750">
        <v>0</v>
      </c>
      <c r="E8" s="750">
        <v>0</v>
      </c>
      <c r="F8" s="750">
        <v>0</v>
      </c>
      <c r="G8" s="750">
        <v>292101822.01602495</v>
      </c>
      <c r="H8" s="750">
        <v>258.901768</v>
      </c>
      <c r="I8" s="750">
        <v>51534797.492691129</v>
      </c>
      <c r="J8" s="750">
        <v>53717855.83264599</v>
      </c>
      <c r="K8" s="750">
        <v>78439068.745382994</v>
      </c>
    </row>
    <row r="9" spans="1:13" ht="15" thickTop="1" thickBot="1">
      <c r="A9" s="759">
        <v>4</v>
      </c>
      <c r="B9" s="761" t="s">
        <v>679</v>
      </c>
      <c r="C9" s="752">
        <v>597382.22460000007</v>
      </c>
      <c r="D9" s="752">
        <v>536056.24657000008</v>
      </c>
      <c r="E9" s="752">
        <v>0</v>
      </c>
      <c r="F9" s="752">
        <v>0</v>
      </c>
      <c r="G9" s="752">
        <v>69330722.234331071</v>
      </c>
      <c r="H9" s="752">
        <v>0</v>
      </c>
      <c r="I9" s="752">
        <v>2603430.8556000008</v>
      </c>
      <c r="J9" s="752">
        <v>100176.575898</v>
      </c>
      <c r="K9" s="752">
        <v>6656047.8620010018</v>
      </c>
      <c r="L9" s="749">
        <f>SUM(C9:K9)</f>
        <v>79823815.999000072</v>
      </c>
      <c r="M9" s="762">
        <f>L9-'22. Quality'!L8-'22. Quality'!M8-'22. Quality'!N8-'22. Quality'!O8-'22. Quality'!P8-'22. Quality'!Q8-'22. Quality'!R8-'22. Quality'!S8</f>
        <v>-56811792.501699984</v>
      </c>
    </row>
    <row r="10" spans="1:13" ht="13.5" thickTop="1">
      <c r="A10" s="759">
        <v>5</v>
      </c>
      <c r="B10" s="763" t="s">
        <v>678</v>
      </c>
      <c r="C10" s="752">
        <v>0</v>
      </c>
      <c r="D10" s="752">
        <v>0</v>
      </c>
      <c r="E10" s="752">
        <v>0</v>
      </c>
      <c r="F10" s="752">
        <v>0</v>
      </c>
      <c r="G10" s="752">
        <v>0</v>
      </c>
      <c r="H10" s="752">
        <v>0</v>
      </c>
      <c r="I10" s="752">
        <v>0</v>
      </c>
      <c r="J10" s="752">
        <v>0</v>
      </c>
      <c r="K10" s="752">
        <v>0</v>
      </c>
    </row>
    <row r="11" spans="1:13" ht="12.75">
      <c r="A11" s="759">
        <v>6</v>
      </c>
      <c r="B11" s="763" t="s">
        <v>677</v>
      </c>
      <c r="C11" s="752">
        <v>0</v>
      </c>
      <c r="D11" s="752">
        <v>0</v>
      </c>
      <c r="E11" s="752">
        <v>0</v>
      </c>
      <c r="F11" s="752">
        <v>0</v>
      </c>
      <c r="G11" s="752">
        <v>405099.15</v>
      </c>
      <c r="H11" s="752">
        <v>0</v>
      </c>
      <c r="I11" s="752">
        <v>0</v>
      </c>
      <c r="J11" s="752">
        <v>0</v>
      </c>
      <c r="K11" s="752">
        <v>91816</v>
      </c>
    </row>
    <row r="13" spans="1:13" ht="15">
      <c r="B13" s="764"/>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election activeCell="I25" sqref="I25"/>
    </sheetView>
  </sheetViews>
  <sheetFormatPr defaultColWidth="8.7109375" defaultRowHeight="15"/>
  <cols>
    <col min="1" max="1" width="10" style="561" bestFit="1" customWidth="1"/>
    <col min="2" max="2" width="71.7109375" style="561" customWidth="1"/>
    <col min="3" max="3" width="10.5703125" style="561" bestFit="1" customWidth="1"/>
    <col min="4" max="5" width="15.140625" style="561" bestFit="1" customWidth="1"/>
    <col min="6" max="6" width="20" style="561" bestFit="1" customWidth="1"/>
    <col min="7" max="7" width="13.28515625" style="561" customWidth="1"/>
    <col min="8" max="8" width="10.5703125" style="561" bestFit="1" customWidth="1"/>
    <col min="9" max="10" width="15.140625" style="561" bestFit="1" customWidth="1"/>
    <col min="11" max="11" width="20" style="561" bestFit="1" customWidth="1"/>
    <col min="12" max="12" width="37.5703125" style="561" bestFit="1" customWidth="1"/>
    <col min="13" max="13" width="10.5703125" style="561" bestFit="1" customWidth="1"/>
    <col min="14" max="15" width="15.140625" style="561" bestFit="1" customWidth="1"/>
    <col min="16" max="16" width="20" style="561" bestFit="1" customWidth="1"/>
    <col min="17" max="17" width="20.42578125" style="561" customWidth="1"/>
    <col min="18" max="18" width="18" style="561" bestFit="1" customWidth="1"/>
    <col min="19" max="20" width="24.5703125" style="561" customWidth="1"/>
    <col min="21" max="22" width="19.85546875" style="561" customWidth="1"/>
    <col min="23" max="16384" width="8.7109375" style="561"/>
  </cols>
  <sheetData>
    <row r="1" spans="1:22">
      <c r="A1" s="396" t="s">
        <v>108</v>
      </c>
      <c r="B1" s="319" t="str">
        <f>Info!C2</f>
        <v>სს "ბაზისბანკი"</v>
      </c>
    </row>
    <row r="2" spans="1:22">
      <c r="A2" s="398" t="s">
        <v>109</v>
      </c>
      <c r="B2" s="400">
        <f>'1. key ratios'!B2</f>
        <v>45016</v>
      </c>
    </row>
    <row r="3" spans="1:22">
      <c r="A3" s="399" t="s">
        <v>497</v>
      </c>
      <c r="B3" s="504"/>
    </row>
    <row r="4" spans="1:22">
      <c r="A4" s="399"/>
      <c r="B4" s="504"/>
    </row>
    <row r="5" spans="1:22" ht="24" customHeight="1">
      <c r="A5" s="884" t="s">
        <v>511</v>
      </c>
      <c r="B5" s="884"/>
      <c r="C5" s="886" t="s">
        <v>683</v>
      </c>
      <c r="D5" s="886"/>
      <c r="E5" s="886"/>
      <c r="F5" s="886"/>
      <c r="G5" s="886"/>
      <c r="H5" s="886" t="s">
        <v>481</v>
      </c>
      <c r="I5" s="886"/>
      <c r="J5" s="886"/>
      <c r="K5" s="886"/>
      <c r="L5" s="886"/>
      <c r="M5" s="886" t="s">
        <v>682</v>
      </c>
      <c r="N5" s="886"/>
      <c r="O5" s="886"/>
      <c r="P5" s="886"/>
      <c r="Q5" s="886"/>
      <c r="R5" s="885" t="s">
        <v>510</v>
      </c>
      <c r="S5" s="885" t="s">
        <v>514</v>
      </c>
      <c r="T5" s="885" t="s">
        <v>513</v>
      </c>
      <c r="U5" s="885" t="s">
        <v>696</v>
      </c>
      <c r="V5" s="885" t="s">
        <v>697</v>
      </c>
    </row>
    <row r="6" spans="1:22" ht="108.75" customHeight="1">
      <c r="A6" s="884"/>
      <c r="B6" s="884"/>
      <c r="C6" s="570"/>
      <c r="D6" s="502" t="s">
        <v>667</v>
      </c>
      <c r="E6" s="502" t="s">
        <v>666</v>
      </c>
      <c r="F6" s="502" t="s">
        <v>665</v>
      </c>
      <c r="G6" s="502" t="s">
        <v>664</v>
      </c>
      <c r="H6" s="570"/>
      <c r="I6" s="502" t="s">
        <v>667</v>
      </c>
      <c r="J6" s="502" t="s">
        <v>666</v>
      </c>
      <c r="K6" s="502" t="s">
        <v>665</v>
      </c>
      <c r="L6" s="502" t="s">
        <v>664</v>
      </c>
      <c r="M6" s="570"/>
      <c r="N6" s="502" t="s">
        <v>667</v>
      </c>
      <c r="O6" s="502" t="s">
        <v>666</v>
      </c>
      <c r="P6" s="502" t="s">
        <v>665</v>
      </c>
      <c r="Q6" s="502" t="s">
        <v>664</v>
      </c>
      <c r="R6" s="885"/>
      <c r="S6" s="885"/>
      <c r="T6" s="885"/>
      <c r="U6" s="885"/>
      <c r="V6" s="885"/>
    </row>
    <row r="7" spans="1:22">
      <c r="A7" s="568">
        <v>1</v>
      </c>
      <c r="B7" s="569" t="s">
        <v>498</v>
      </c>
      <c r="C7" s="702">
        <f>SUM(D7:G7)</f>
        <v>7962565.1119999997</v>
      </c>
      <c r="D7" s="684">
        <v>5330037.2478999998</v>
      </c>
      <c r="E7" s="684">
        <v>759274.36829999997</v>
      </c>
      <c r="F7" s="684">
        <v>1873253.4958000001</v>
      </c>
      <c r="G7" s="684">
        <v>0</v>
      </c>
      <c r="H7" s="684">
        <f>SUM(I7:L7)</f>
        <v>8849439.7669000011</v>
      </c>
      <c r="I7" s="684">
        <v>5408902.8481000001</v>
      </c>
      <c r="J7" s="684">
        <v>797764.25150000001</v>
      </c>
      <c r="K7" s="684">
        <v>2642772.6673000003</v>
      </c>
      <c r="L7" s="684">
        <v>0</v>
      </c>
      <c r="M7" s="684">
        <f>SUM(N7:Q7)</f>
        <v>1900368.5959772696</v>
      </c>
      <c r="N7" s="684">
        <v>85796.236084983495</v>
      </c>
      <c r="O7" s="684">
        <v>51985.034795780433</v>
      </c>
      <c r="P7" s="684">
        <v>1762587.3250965057</v>
      </c>
      <c r="Q7" s="684">
        <v>0</v>
      </c>
      <c r="R7" s="684">
        <v>595</v>
      </c>
      <c r="S7" s="685">
        <v>0.42733839999999995</v>
      </c>
      <c r="T7" s="685">
        <v>0.36</v>
      </c>
      <c r="U7" s="685">
        <v>0.2327938</v>
      </c>
      <c r="V7" s="686">
        <v>36.241698300000003</v>
      </c>
    </row>
    <row r="8" spans="1:22">
      <c r="A8" s="568">
        <v>2</v>
      </c>
      <c r="B8" s="567" t="s">
        <v>499</v>
      </c>
      <c r="C8" s="702">
        <f t="shared" ref="C8:C20" si="0">SUM(D8:G8)</f>
        <v>212648216.34090003</v>
      </c>
      <c r="D8" s="684">
        <v>196389014.57470003</v>
      </c>
      <c r="E8" s="684">
        <v>7611731.6580000008</v>
      </c>
      <c r="F8" s="684">
        <v>8647470.1082000006</v>
      </c>
      <c r="G8" s="684">
        <v>0</v>
      </c>
      <c r="H8" s="684">
        <f t="shared" ref="H8:H20" si="1">SUM(I8:L8)</f>
        <v>216112863.3314999</v>
      </c>
      <c r="I8" s="684">
        <v>198903838.58409992</v>
      </c>
      <c r="J8" s="684">
        <v>7855721.7875000006</v>
      </c>
      <c r="K8" s="684">
        <v>9353302.9599000011</v>
      </c>
      <c r="L8" s="684">
        <v>0</v>
      </c>
      <c r="M8" s="684">
        <f t="shared" ref="M8:M20" si="2">SUM(N8:Q8)</f>
        <v>5786140.0735945087</v>
      </c>
      <c r="N8" s="684">
        <v>1495161.5715839353</v>
      </c>
      <c r="O8" s="684">
        <v>276673.02391968877</v>
      </c>
      <c r="P8" s="684">
        <v>4014305.4780908851</v>
      </c>
      <c r="Q8" s="684">
        <v>0</v>
      </c>
      <c r="R8" s="684">
        <v>22773</v>
      </c>
      <c r="S8" s="685">
        <v>0.13045810144092529</v>
      </c>
      <c r="T8" s="685">
        <v>0.13023688287144297</v>
      </c>
      <c r="U8" s="685">
        <v>0.14752270000000001</v>
      </c>
      <c r="V8" s="686">
        <v>52.172086700000001</v>
      </c>
    </row>
    <row r="9" spans="1:22">
      <c r="A9" s="568">
        <v>3</v>
      </c>
      <c r="B9" s="567" t="s">
        <v>500</v>
      </c>
      <c r="C9" s="702">
        <f t="shared" si="0"/>
        <v>0</v>
      </c>
      <c r="D9" s="684">
        <v>0</v>
      </c>
      <c r="E9" s="684">
        <v>0</v>
      </c>
      <c r="F9" s="684">
        <v>0</v>
      </c>
      <c r="G9" s="684">
        <v>0</v>
      </c>
      <c r="H9" s="684">
        <f t="shared" si="1"/>
        <v>0</v>
      </c>
      <c r="I9" s="684">
        <v>0</v>
      </c>
      <c r="J9" s="684">
        <v>0</v>
      </c>
      <c r="K9" s="684">
        <v>0</v>
      </c>
      <c r="L9" s="684">
        <v>0</v>
      </c>
      <c r="M9" s="684">
        <f t="shared" si="2"/>
        <v>0</v>
      </c>
      <c r="N9" s="684">
        <v>0</v>
      </c>
      <c r="O9" s="684">
        <v>0</v>
      </c>
      <c r="P9" s="684">
        <v>0</v>
      </c>
      <c r="Q9" s="684">
        <v>0</v>
      </c>
      <c r="R9" s="684">
        <v>0</v>
      </c>
      <c r="S9" s="685">
        <v>0</v>
      </c>
      <c r="T9" s="685">
        <v>0</v>
      </c>
      <c r="U9" s="685">
        <v>0</v>
      </c>
      <c r="V9" s="686">
        <v>0</v>
      </c>
    </row>
    <row r="10" spans="1:22">
      <c r="A10" s="568">
        <v>4</v>
      </c>
      <c r="B10" s="567" t="s">
        <v>501</v>
      </c>
      <c r="C10" s="702">
        <f t="shared" si="0"/>
        <v>170620.41999999998</v>
      </c>
      <c r="D10" s="684">
        <v>168206.46</v>
      </c>
      <c r="E10" s="684">
        <v>2413.96</v>
      </c>
      <c r="F10" s="684">
        <v>0</v>
      </c>
      <c r="G10" s="684">
        <v>0</v>
      </c>
      <c r="H10" s="684">
        <f t="shared" si="1"/>
        <v>170668.91399999999</v>
      </c>
      <c r="I10" s="684">
        <v>168254.954</v>
      </c>
      <c r="J10" s="684">
        <v>2413.96</v>
      </c>
      <c r="K10" s="684">
        <v>0</v>
      </c>
      <c r="L10" s="684">
        <v>0</v>
      </c>
      <c r="M10" s="684">
        <f t="shared" si="2"/>
        <v>1277.2355987172871</v>
      </c>
      <c r="N10" s="684">
        <v>1241.6522368036658</v>
      </c>
      <c r="O10" s="684">
        <v>35.583361913621175</v>
      </c>
      <c r="P10" s="684">
        <v>0</v>
      </c>
      <c r="Q10" s="684">
        <v>0</v>
      </c>
      <c r="R10" s="684">
        <v>78</v>
      </c>
      <c r="S10" s="685">
        <v>2.8076792274446604E-2</v>
      </c>
      <c r="T10" s="685">
        <v>2.7288300000000001E-2</v>
      </c>
      <c r="U10" s="685">
        <v>1.0255800000000001E-2</v>
      </c>
      <c r="V10" s="686">
        <v>16.394489499999999</v>
      </c>
    </row>
    <row r="11" spans="1:22">
      <c r="A11" s="568">
        <v>5</v>
      </c>
      <c r="B11" s="567" t="s">
        <v>502</v>
      </c>
      <c r="C11" s="702">
        <f t="shared" si="0"/>
        <v>1527241.2749999999</v>
      </c>
      <c r="D11" s="684">
        <v>1451137.1924000001</v>
      </c>
      <c r="E11" s="684">
        <v>47557.382600000004</v>
      </c>
      <c r="F11" s="684">
        <v>28546.7</v>
      </c>
      <c r="G11" s="684">
        <v>0</v>
      </c>
      <c r="H11" s="684">
        <f t="shared" si="1"/>
        <v>1538146.0906</v>
      </c>
      <c r="I11" s="684">
        <v>1458291.3788000001</v>
      </c>
      <c r="J11" s="684">
        <v>48835.1823</v>
      </c>
      <c r="K11" s="684">
        <v>31019.529500000001</v>
      </c>
      <c r="L11" s="684">
        <v>0</v>
      </c>
      <c r="M11" s="684">
        <f t="shared" si="2"/>
        <v>106534.23141378385</v>
      </c>
      <c r="N11" s="684">
        <v>82083.196735747872</v>
      </c>
      <c r="O11" s="684">
        <v>7958.628283848986</v>
      </c>
      <c r="P11" s="684">
        <v>16492.406394187004</v>
      </c>
      <c r="Q11" s="684">
        <v>0</v>
      </c>
      <c r="R11" s="684">
        <v>3281</v>
      </c>
      <c r="S11" s="685">
        <v>0.18772885092850292</v>
      </c>
      <c r="T11" s="685">
        <v>0.18814819999999999</v>
      </c>
      <c r="U11" s="685">
        <v>0.1793717</v>
      </c>
      <c r="V11" s="686">
        <v>8.8638583000000004</v>
      </c>
    </row>
    <row r="12" spans="1:22">
      <c r="A12" s="568">
        <v>6</v>
      </c>
      <c r="B12" s="567" t="s">
        <v>503</v>
      </c>
      <c r="C12" s="702">
        <f t="shared" si="0"/>
        <v>27345644.1098</v>
      </c>
      <c r="D12" s="684">
        <v>25119415.305500001</v>
      </c>
      <c r="E12" s="684">
        <v>1537546.3921000001</v>
      </c>
      <c r="F12" s="684">
        <v>688682.41220000002</v>
      </c>
      <c r="G12" s="684">
        <v>0</v>
      </c>
      <c r="H12" s="684">
        <f t="shared" si="1"/>
        <v>27844339.086354755</v>
      </c>
      <c r="I12" s="684">
        <v>25500261.939654756</v>
      </c>
      <c r="J12" s="684">
        <v>1576877.0402000002</v>
      </c>
      <c r="K12" s="684">
        <v>767200.10649999988</v>
      </c>
      <c r="L12" s="684">
        <v>0</v>
      </c>
      <c r="M12" s="684">
        <f t="shared" si="2"/>
        <v>2528465.1180208619</v>
      </c>
      <c r="N12" s="684">
        <v>1805141.6027832874</v>
      </c>
      <c r="O12" s="684">
        <v>350094.97889728897</v>
      </c>
      <c r="P12" s="684">
        <v>373228.53634028562</v>
      </c>
      <c r="Q12" s="684">
        <v>0</v>
      </c>
      <c r="R12" s="684">
        <v>25314</v>
      </c>
      <c r="S12" s="685">
        <v>0.18110879794892579</v>
      </c>
      <c r="T12" s="685">
        <v>0.18481500000000001</v>
      </c>
      <c r="U12" s="685">
        <v>0.1799704</v>
      </c>
      <c r="V12" s="686">
        <v>16.4469873</v>
      </c>
    </row>
    <row r="13" spans="1:22">
      <c r="A13" s="568">
        <v>7</v>
      </c>
      <c r="B13" s="567" t="s">
        <v>504</v>
      </c>
      <c r="C13" s="702">
        <f t="shared" si="0"/>
        <v>487066738.18470001</v>
      </c>
      <c r="D13" s="684">
        <v>435533815.68900001</v>
      </c>
      <c r="E13" s="684">
        <v>20914560.812400002</v>
      </c>
      <c r="F13" s="684">
        <v>30618361.6833</v>
      </c>
      <c r="G13" s="684">
        <v>0</v>
      </c>
      <c r="H13" s="684">
        <f t="shared" si="1"/>
        <v>497346238.62329882</v>
      </c>
      <c r="I13" s="684">
        <v>442111360.28859884</v>
      </c>
      <c r="J13" s="684">
        <v>21463983.742799997</v>
      </c>
      <c r="K13" s="684">
        <v>33770894.591899998</v>
      </c>
      <c r="L13" s="684">
        <v>0</v>
      </c>
      <c r="M13" s="684">
        <f t="shared" si="2"/>
        <v>12226236.025954017</v>
      </c>
      <c r="N13" s="684">
        <v>1113451.7545225322</v>
      </c>
      <c r="O13" s="684">
        <v>262020.19941419351</v>
      </c>
      <c r="P13" s="684">
        <v>10850764.072017292</v>
      </c>
      <c r="Q13" s="684">
        <v>0</v>
      </c>
      <c r="R13" s="684">
        <v>7943</v>
      </c>
      <c r="S13" s="685">
        <v>0.12163990737382771</v>
      </c>
      <c r="T13" s="685">
        <v>0.1221942</v>
      </c>
      <c r="U13" s="685">
        <v>0.1149063</v>
      </c>
      <c r="V13" s="686">
        <v>108.5521797</v>
      </c>
    </row>
    <row r="14" spans="1:22">
      <c r="A14" s="563">
        <v>7.1</v>
      </c>
      <c r="B14" s="562" t="s">
        <v>505</v>
      </c>
      <c r="C14" s="702">
        <f t="shared" si="0"/>
        <v>388520312.75</v>
      </c>
      <c r="D14" s="684">
        <v>344339144.35820001</v>
      </c>
      <c r="E14" s="684">
        <v>17578108.914000001</v>
      </c>
      <c r="F14" s="684">
        <v>26603059.4778</v>
      </c>
      <c r="G14" s="684">
        <v>0</v>
      </c>
      <c r="H14" s="684">
        <f t="shared" si="1"/>
        <v>396923677.19619894</v>
      </c>
      <c r="I14" s="684">
        <v>349578437.70899892</v>
      </c>
      <c r="J14" s="684">
        <v>18050959.7095</v>
      </c>
      <c r="K14" s="684">
        <v>29294279.7777</v>
      </c>
      <c r="L14" s="684">
        <v>0</v>
      </c>
      <c r="M14" s="684">
        <f t="shared" si="2"/>
        <v>10612771.952396167</v>
      </c>
      <c r="N14" s="684">
        <v>944737.5434145513</v>
      </c>
      <c r="O14" s="684">
        <v>221437.90782834776</v>
      </c>
      <c r="P14" s="684">
        <v>9446596.5011532679</v>
      </c>
      <c r="Q14" s="684">
        <v>0</v>
      </c>
      <c r="R14" s="684">
        <v>6260</v>
      </c>
      <c r="S14" s="685">
        <v>0.12117000759169598</v>
      </c>
      <c r="T14" s="685">
        <v>0.1239001</v>
      </c>
      <c r="U14" s="685">
        <v>0.11249439999999999</v>
      </c>
      <c r="V14" s="686">
        <v>109.44375239999999</v>
      </c>
    </row>
    <row r="15" spans="1:22" ht="25.5">
      <c r="A15" s="563">
        <v>7.2</v>
      </c>
      <c r="B15" s="562" t="s">
        <v>506</v>
      </c>
      <c r="C15" s="702">
        <f t="shared" si="0"/>
        <v>79228713.575699985</v>
      </c>
      <c r="D15" s="684">
        <v>72723097.116599992</v>
      </c>
      <c r="E15" s="684">
        <v>2867386.4936000002</v>
      </c>
      <c r="F15" s="684">
        <v>3638229.9654999999</v>
      </c>
      <c r="G15" s="684">
        <v>0</v>
      </c>
      <c r="H15" s="684">
        <f t="shared" si="1"/>
        <v>80852978.568399981</v>
      </c>
      <c r="I15" s="684">
        <v>73822950.572999984</v>
      </c>
      <c r="J15" s="684">
        <v>2949837.0838000001</v>
      </c>
      <c r="K15" s="684">
        <v>4080190.9116000002</v>
      </c>
      <c r="L15" s="684">
        <v>0</v>
      </c>
      <c r="M15" s="684">
        <f t="shared" si="2"/>
        <v>1523994.4053105996</v>
      </c>
      <c r="N15" s="684">
        <v>139636.75488697359</v>
      </c>
      <c r="O15" s="684">
        <v>33354.360203192613</v>
      </c>
      <c r="P15" s="684">
        <v>1351003.2902204334</v>
      </c>
      <c r="Q15" s="684">
        <v>0</v>
      </c>
      <c r="R15" s="684">
        <v>1192</v>
      </c>
      <c r="S15" s="685">
        <v>0.12788592515212552</v>
      </c>
      <c r="T15" s="685">
        <v>0.1298667</v>
      </c>
      <c r="U15" s="685">
        <v>0.1266014</v>
      </c>
      <c r="V15" s="686">
        <v>108.6331192</v>
      </c>
    </row>
    <row r="16" spans="1:22">
      <c r="A16" s="563">
        <v>7.3</v>
      </c>
      <c r="B16" s="562" t="s">
        <v>507</v>
      </c>
      <c r="C16" s="702">
        <f t="shared" si="0"/>
        <v>19317711.859000001</v>
      </c>
      <c r="D16" s="684">
        <v>18471574.214200001</v>
      </c>
      <c r="E16" s="684">
        <v>469065.40480000002</v>
      </c>
      <c r="F16" s="684">
        <v>377072.24</v>
      </c>
      <c r="G16" s="684">
        <v>0</v>
      </c>
      <c r="H16" s="684">
        <f t="shared" si="1"/>
        <v>19569582.858700003</v>
      </c>
      <c r="I16" s="684">
        <v>18709972.006600004</v>
      </c>
      <c r="J16" s="684">
        <v>463186.94949999999</v>
      </c>
      <c r="K16" s="684">
        <v>396423.90259999997</v>
      </c>
      <c r="L16" s="684">
        <v>0</v>
      </c>
      <c r="M16" s="684">
        <f t="shared" si="2"/>
        <v>89469.668247250054</v>
      </c>
      <c r="N16" s="684">
        <v>29077.456221007225</v>
      </c>
      <c r="O16" s="684">
        <v>7227.9313826531279</v>
      </c>
      <c r="P16" s="684">
        <v>53164.2806435897</v>
      </c>
      <c r="Q16" s="684">
        <v>0</v>
      </c>
      <c r="R16" s="684">
        <v>491</v>
      </c>
      <c r="S16" s="685">
        <v>0.1127254719629103</v>
      </c>
      <c r="T16" s="685">
        <v>0.10605630000000001</v>
      </c>
      <c r="U16" s="685">
        <v>0.11544889999999999</v>
      </c>
      <c r="V16" s="686">
        <v>90.288792700000002</v>
      </c>
    </row>
    <row r="17" spans="1:22">
      <c r="A17" s="568">
        <v>8</v>
      </c>
      <c r="B17" s="567" t="s">
        <v>508</v>
      </c>
      <c r="C17" s="702">
        <f t="shared" si="0"/>
        <v>0</v>
      </c>
      <c r="D17" s="684">
        <v>0</v>
      </c>
      <c r="E17" s="684">
        <v>0</v>
      </c>
      <c r="F17" s="684">
        <v>0</v>
      </c>
      <c r="G17" s="684">
        <v>0</v>
      </c>
      <c r="H17" s="684">
        <f t="shared" si="1"/>
        <v>0</v>
      </c>
      <c r="I17" s="684">
        <v>0</v>
      </c>
      <c r="J17" s="684">
        <v>0</v>
      </c>
      <c r="K17" s="684">
        <v>0</v>
      </c>
      <c r="L17" s="684">
        <v>0</v>
      </c>
      <c r="M17" s="684">
        <f t="shared" si="2"/>
        <v>0</v>
      </c>
      <c r="N17" s="684">
        <v>0</v>
      </c>
      <c r="O17" s="684">
        <v>0</v>
      </c>
      <c r="P17" s="684">
        <v>0</v>
      </c>
      <c r="Q17" s="684">
        <v>0</v>
      </c>
      <c r="R17" s="684">
        <v>0</v>
      </c>
      <c r="S17" s="685">
        <v>0</v>
      </c>
      <c r="T17" s="685">
        <v>0</v>
      </c>
      <c r="U17" s="685">
        <v>0</v>
      </c>
      <c r="V17" s="686">
        <v>0</v>
      </c>
    </row>
    <row r="18" spans="1:22">
      <c r="A18" s="566">
        <v>9</v>
      </c>
      <c r="B18" s="565" t="s">
        <v>509</v>
      </c>
      <c r="C18" s="702">
        <f t="shared" si="0"/>
        <v>0</v>
      </c>
      <c r="D18" s="687">
        <v>0</v>
      </c>
      <c r="E18" s="687">
        <v>0</v>
      </c>
      <c r="F18" s="687">
        <v>0</v>
      </c>
      <c r="G18" s="687">
        <v>0</v>
      </c>
      <c r="H18" s="684">
        <f t="shared" si="1"/>
        <v>65.856399999999994</v>
      </c>
      <c r="I18" s="684">
        <v>65.856399999999994</v>
      </c>
      <c r="J18" s="684">
        <v>0</v>
      </c>
      <c r="K18" s="684">
        <v>0</v>
      </c>
      <c r="L18" s="684">
        <v>0</v>
      </c>
      <c r="M18" s="684">
        <f t="shared" si="2"/>
        <v>1.6861028885572962E-2</v>
      </c>
      <c r="N18" s="684">
        <v>1.6861028885572962E-2</v>
      </c>
      <c r="O18" s="684">
        <v>0</v>
      </c>
      <c r="P18" s="684">
        <v>0</v>
      </c>
      <c r="Q18" s="684">
        <v>0</v>
      </c>
      <c r="R18" s="687">
        <v>0</v>
      </c>
      <c r="S18" s="685">
        <v>0</v>
      </c>
      <c r="T18" s="685">
        <v>0</v>
      </c>
      <c r="U18" s="685">
        <v>0</v>
      </c>
      <c r="V18" s="686">
        <v>0</v>
      </c>
    </row>
    <row r="19" spans="1:22" s="708" customFormat="1">
      <c r="A19" s="703">
        <v>10</v>
      </c>
      <c r="B19" s="564" t="s">
        <v>512</v>
      </c>
      <c r="C19" s="704">
        <f t="shared" si="0"/>
        <v>736721025.4424001</v>
      </c>
      <c r="D19" s="705">
        <v>663991626.46950006</v>
      </c>
      <c r="E19" s="705">
        <v>30873084.573400002</v>
      </c>
      <c r="F19" s="705">
        <v>41856314.399499997</v>
      </c>
      <c r="G19" s="705">
        <v>0</v>
      </c>
      <c r="H19" s="705">
        <f t="shared" si="1"/>
        <v>751861761.66905355</v>
      </c>
      <c r="I19" s="705">
        <v>673550975.84965348</v>
      </c>
      <c r="J19" s="705">
        <v>31745595.964299999</v>
      </c>
      <c r="K19" s="705">
        <v>46565189.855100006</v>
      </c>
      <c r="L19" s="705">
        <v>0</v>
      </c>
      <c r="M19" s="705">
        <f t="shared" si="2"/>
        <v>22549021.297420189</v>
      </c>
      <c r="N19" s="705">
        <v>4582876.0308083184</v>
      </c>
      <c r="O19" s="705">
        <v>948767.44867271429</v>
      </c>
      <c r="P19" s="705">
        <v>17017377.817939155</v>
      </c>
      <c r="Q19" s="705">
        <v>0</v>
      </c>
      <c r="R19" s="705">
        <v>59984</v>
      </c>
      <c r="S19" s="706">
        <v>0.13971080167141747</v>
      </c>
      <c r="T19" s="706">
        <v>0.13735589684085794</v>
      </c>
      <c r="U19" s="706">
        <v>0.12811939999999999</v>
      </c>
      <c r="V19" s="707">
        <v>87.850244399999994</v>
      </c>
    </row>
    <row r="20" spans="1:22" ht="25.5">
      <c r="A20" s="563">
        <v>10.1</v>
      </c>
      <c r="B20" s="562" t="s">
        <v>515</v>
      </c>
      <c r="C20" s="702">
        <f t="shared" si="0"/>
        <v>0</v>
      </c>
      <c r="D20" s="684">
        <v>0</v>
      </c>
      <c r="E20" s="684">
        <v>0</v>
      </c>
      <c r="F20" s="684">
        <v>0</v>
      </c>
      <c r="G20" s="684">
        <v>0</v>
      </c>
      <c r="H20" s="684">
        <f t="shared" si="1"/>
        <v>0</v>
      </c>
      <c r="I20" s="684">
        <v>0</v>
      </c>
      <c r="J20" s="684">
        <v>0</v>
      </c>
      <c r="K20" s="684">
        <v>0</v>
      </c>
      <c r="L20" s="684">
        <v>0</v>
      </c>
      <c r="M20" s="684">
        <f t="shared" si="2"/>
        <v>0</v>
      </c>
      <c r="N20" s="684">
        <v>0</v>
      </c>
      <c r="O20" s="684">
        <v>0</v>
      </c>
      <c r="P20" s="684">
        <v>0</v>
      </c>
      <c r="Q20" s="684">
        <v>0</v>
      </c>
      <c r="R20" s="684">
        <v>0</v>
      </c>
      <c r="S20" s="685">
        <v>0</v>
      </c>
      <c r="T20" s="685">
        <v>0</v>
      </c>
      <c r="U20" s="685">
        <v>0</v>
      </c>
      <c r="V20" s="686">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opLeftCell="A58" zoomScale="98" zoomScaleNormal="98" workbookViewId="0">
      <selection activeCell="B41" sqref="B41"/>
    </sheetView>
  </sheetViews>
  <sheetFormatPr defaultRowHeight="15"/>
  <cols>
    <col min="1" max="1" width="8.7109375" style="467"/>
    <col min="2" max="2" width="69.28515625" style="439" customWidth="1"/>
    <col min="3" max="3" width="14.28515625" bestFit="1" customWidth="1"/>
    <col min="4" max="4" width="14.42578125" customWidth="1"/>
    <col min="5" max="8" width="14.28515625" bestFit="1" customWidth="1"/>
  </cols>
  <sheetData>
    <row r="1" spans="1:8" ht="15.75">
      <c r="A1" s="16" t="s">
        <v>108</v>
      </c>
      <c r="B1" s="319" t="str">
        <f>Info!C2</f>
        <v>სს "ბაზისბანკი"</v>
      </c>
      <c r="C1" s="15"/>
      <c r="D1" s="234"/>
      <c r="E1" s="234"/>
      <c r="F1" s="234"/>
      <c r="G1" s="234"/>
    </row>
    <row r="2" spans="1:8" ht="15.75">
      <c r="A2" s="16" t="s">
        <v>109</v>
      </c>
      <c r="B2" s="354">
        <f>'1. key ratios'!B2</f>
        <v>45016</v>
      </c>
      <c r="C2" s="28"/>
      <c r="D2" s="17"/>
      <c r="E2" s="17"/>
      <c r="F2" s="17"/>
      <c r="G2" s="17"/>
      <c r="H2" s="1"/>
    </row>
    <row r="3" spans="1:8" ht="16.5" thickBot="1">
      <c r="A3" s="16"/>
      <c r="B3" s="15"/>
      <c r="C3" s="28"/>
      <c r="D3" s="17"/>
      <c r="E3" s="17"/>
      <c r="F3" s="17"/>
      <c r="G3" s="17"/>
      <c r="H3" s="1"/>
    </row>
    <row r="4" spans="1:8" ht="21" customHeight="1">
      <c r="A4" s="776" t="s">
        <v>25</v>
      </c>
      <c r="B4" s="777" t="s">
        <v>521</v>
      </c>
      <c r="C4" s="779" t="s">
        <v>114</v>
      </c>
      <c r="D4" s="779"/>
      <c r="E4" s="779"/>
      <c r="F4" s="779" t="s">
        <v>115</v>
      </c>
      <c r="G4" s="779"/>
      <c r="H4" s="780"/>
    </row>
    <row r="5" spans="1:8" ht="21" customHeight="1">
      <c r="A5" s="776"/>
      <c r="B5" s="778"/>
      <c r="C5" s="410" t="s">
        <v>26</v>
      </c>
      <c r="D5" s="410" t="s">
        <v>88</v>
      </c>
      <c r="E5" s="410" t="s">
        <v>66</v>
      </c>
      <c r="F5" s="410" t="s">
        <v>26</v>
      </c>
      <c r="G5" s="410" t="s">
        <v>88</v>
      </c>
      <c r="H5" s="410" t="s">
        <v>66</v>
      </c>
    </row>
    <row r="6" spans="1:8" ht="26.45" customHeight="1">
      <c r="A6" s="776"/>
      <c r="B6" s="411" t="s">
        <v>95</v>
      </c>
      <c r="C6" s="773"/>
      <c r="D6" s="774"/>
      <c r="E6" s="774"/>
      <c r="F6" s="774"/>
      <c r="G6" s="774"/>
      <c r="H6" s="775"/>
    </row>
    <row r="7" spans="1:8" ht="23.1" customHeight="1">
      <c r="A7" s="455">
        <v>1</v>
      </c>
      <c r="B7" s="412" t="s">
        <v>633</v>
      </c>
      <c r="C7" s="587">
        <f>SUM(C8:C10)</f>
        <v>85933123.662499994</v>
      </c>
      <c r="D7" s="587">
        <f>SUM(D8:D10)</f>
        <v>378553753.44619799</v>
      </c>
      <c r="E7" s="590">
        <f>C7+D7</f>
        <v>464486877.10869801</v>
      </c>
      <c r="F7" s="587">
        <f>SUM(F8:F10)</f>
        <v>107138692.0314537</v>
      </c>
      <c r="G7" s="587">
        <f>SUM(G8:G10)</f>
        <v>111975551.02416059</v>
      </c>
      <c r="H7" s="590">
        <f>F7+G7</f>
        <v>219114243.05561429</v>
      </c>
    </row>
    <row r="8" spans="1:8">
      <c r="A8" s="455">
        <v>1.1000000000000001</v>
      </c>
      <c r="B8" s="413" t="s">
        <v>96</v>
      </c>
      <c r="C8" s="588">
        <v>38518695</v>
      </c>
      <c r="D8" s="588">
        <v>32680805</v>
      </c>
      <c r="E8" s="591">
        <f t="shared" ref="E8:E36" si="0">C8+D8</f>
        <v>71199500</v>
      </c>
      <c r="F8" s="588">
        <v>49068537</v>
      </c>
      <c r="G8" s="588">
        <v>40380216</v>
      </c>
      <c r="H8" s="591">
        <f t="shared" ref="H8:H36" si="1">F8+G8</f>
        <v>89448753</v>
      </c>
    </row>
    <row r="9" spans="1:8">
      <c r="A9" s="455">
        <v>1.2</v>
      </c>
      <c r="B9" s="413" t="s">
        <v>97</v>
      </c>
      <c r="C9" s="588">
        <v>45466718.732199997</v>
      </c>
      <c r="D9" s="588">
        <v>211462598.45389801</v>
      </c>
      <c r="E9" s="591">
        <f t="shared" si="0"/>
        <v>256929317.18609801</v>
      </c>
      <c r="F9" s="588">
        <v>57957409.031453699</v>
      </c>
      <c r="G9" s="588">
        <v>0</v>
      </c>
      <c r="H9" s="591">
        <f t="shared" si="1"/>
        <v>57957409.031453699</v>
      </c>
    </row>
    <row r="10" spans="1:8">
      <c r="A10" s="455">
        <v>1.3</v>
      </c>
      <c r="B10" s="413" t="s">
        <v>98</v>
      </c>
      <c r="C10" s="588">
        <v>1947709.9303000001</v>
      </c>
      <c r="D10" s="588">
        <v>134410349.9923</v>
      </c>
      <c r="E10" s="591">
        <f t="shared" si="0"/>
        <v>136358059.9226</v>
      </c>
      <c r="F10" s="588">
        <v>112746</v>
      </c>
      <c r="G10" s="588">
        <v>71595335.024160594</v>
      </c>
      <c r="H10" s="591">
        <f t="shared" si="1"/>
        <v>71708081.024160594</v>
      </c>
    </row>
    <row r="11" spans="1:8">
      <c r="A11" s="455">
        <v>2</v>
      </c>
      <c r="B11" s="414" t="s">
        <v>522</v>
      </c>
      <c r="C11" s="588"/>
      <c r="D11" s="588"/>
      <c r="E11" s="591">
        <f t="shared" si="0"/>
        <v>0</v>
      </c>
      <c r="F11" s="588"/>
      <c r="G11" s="588"/>
      <c r="H11" s="591">
        <f t="shared" si="1"/>
        <v>0</v>
      </c>
    </row>
    <row r="12" spans="1:8">
      <c r="A12" s="455">
        <v>2.1</v>
      </c>
      <c r="B12" s="415" t="s">
        <v>523</v>
      </c>
      <c r="C12" s="588"/>
      <c r="D12" s="588"/>
      <c r="E12" s="591">
        <f t="shared" si="0"/>
        <v>0</v>
      </c>
      <c r="F12" s="588"/>
      <c r="G12" s="588"/>
      <c r="H12" s="591">
        <f t="shared" si="1"/>
        <v>0</v>
      </c>
    </row>
    <row r="13" spans="1:8" ht="26.45" customHeight="1">
      <c r="A13" s="455">
        <v>3</v>
      </c>
      <c r="B13" s="416" t="s">
        <v>524</v>
      </c>
      <c r="C13" s="588"/>
      <c r="D13" s="588"/>
      <c r="E13" s="591">
        <f t="shared" si="0"/>
        <v>0</v>
      </c>
      <c r="F13" s="588"/>
      <c r="G13" s="588"/>
      <c r="H13" s="591">
        <f t="shared" si="1"/>
        <v>0</v>
      </c>
    </row>
    <row r="14" spans="1:8" ht="26.45" customHeight="1">
      <c r="A14" s="455">
        <v>4</v>
      </c>
      <c r="B14" s="417" t="s">
        <v>525</v>
      </c>
      <c r="C14" s="588"/>
      <c r="D14" s="588"/>
      <c r="E14" s="591">
        <f t="shared" si="0"/>
        <v>0</v>
      </c>
      <c r="F14" s="588"/>
      <c r="G14" s="588"/>
      <c r="H14" s="591">
        <f t="shared" si="1"/>
        <v>0</v>
      </c>
    </row>
    <row r="15" spans="1:8" ht="24.6" customHeight="1">
      <c r="A15" s="455">
        <v>5</v>
      </c>
      <c r="B15" s="417" t="s">
        <v>526</v>
      </c>
      <c r="C15" s="589">
        <f>SUM(C16:C18)</f>
        <v>221030052</v>
      </c>
      <c r="D15" s="589">
        <f>SUM(D16:D18)</f>
        <v>0</v>
      </c>
      <c r="E15" s="592">
        <f t="shared" si="0"/>
        <v>221030052</v>
      </c>
      <c r="F15" s="589">
        <f>SUM(F16:F18)</f>
        <v>52624447.896935754</v>
      </c>
      <c r="G15" s="589">
        <f>SUM(G16:G18)</f>
        <v>0</v>
      </c>
      <c r="H15" s="592">
        <f t="shared" si="1"/>
        <v>52624447.896935754</v>
      </c>
    </row>
    <row r="16" spans="1:8">
      <c r="A16" s="455">
        <v>5.0999999999999996</v>
      </c>
      <c r="B16" s="418" t="s">
        <v>527</v>
      </c>
      <c r="C16" s="588"/>
      <c r="D16" s="588"/>
      <c r="E16" s="591">
        <f t="shared" si="0"/>
        <v>0</v>
      </c>
      <c r="F16" s="588"/>
      <c r="G16" s="588"/>
      <c r="H16" s="591">
        <f t="shared" si="1"/>
        <v>0</v>
      </c>
    </row>
    <row r="17" spans="1:8">
      <c r="A17" s="455">
        <v>5.2</v>
      </c>
      <c r="B17" s="418" t="s">
        <v>454</v>
      </c>
      <c r="C17" s="588">
        <v>221030052</v>
      </c>
      <c r="D17" s="588">
        <v>0</v>
      </c>
      <c r="E17" s="591">
        <f t="shared" si="0"/>
        <v>221030052</v>
      </c>
      <c r="F17" s="588">
        <v>52624447.896935754</v>
      </c>
      <c r="G17" s="588">
        <v>0</v>
      </c>
      <c r="H17" s="591">
        <f t="shared" si="1"/>
        <v>52624447.896935754</v>
      </c>
    </row>
    <row r="18" spans="1:8">
      <c r="A18" s="455">
        <v>5.3</v>
      </c>
      <c r="B18" s="418" t="s">
        <v>528</v>
      </c>
      <c r="C18" s="588"/>
      <c r="D18" s="588"/>
      <c r="E18" s="591">
        <f t="shared" si="0"/>
        <v>0</v>
      </c>
      <c r="F18" s="588"/>
      <c r="G18" s="588"/>
      <c r="H18" s="591">
        <f t="shared" si="1"/>
        <v>0</v>
      </c>
    </row>
    <row r="19" spans="1:8">
      <c r="A19" s="455">
        <v>6</v>
      </c>
      <c r="B19" s="416" t="s">
        <v>529</v>
      </c>
      <c r="C19" s="587">
        <f>SUM(C20:C21)</f>
        <v>1288395257.2010701</v>
      </c>
      <c r="D19" s="587">
        <f>SUM(D20:D21)</f>
        <v>959375826.66219211</v>
      </c>
      <c r="E19" s="590">
        <f t="shared" si="0"/>
        <v>2247771083.8632622</v>
      </c>
      <c r="F19" s="587">
        <f>SUM(F20:F21)</f>
        <v>1159230939.8729105</v>
      </c>
      <c r="G19" s="587">
        <f>SUM(G20:G21)</f>
        <v>1320308445.0732651</v>
      </c>
      <c r="H19" s="590">
        <f t="shared" si="1"/>
        <v>2479539384.9461756</v>
      </c>
    </row>
    <row r="20" spans="1:8">
      <c r="A20" s="455">
        <v>6.1</v>
      </c>
      <c r="B20" s="418" t="s">
        <v>454</v>
      </c>
      <c r="C20" s="588">
        <v>205031670</v>
      </c>
      <c r="D20" s="588">
        <v>0</v>
      </c>
      <c r="E20" s="591">
        <f t="shared" si="0"/>
        <v>205031670</v>
      </c>
      <c r="F20" s="588">
        <v>161008930.17961085</v>
      </c>
      <c r="G20" s="588">
        <v>4624406.4043720448</v>
      </c>
      <c r="H20" s="591">
        <f t="shared" si="1"/>
        <v>165633336.58398288</v>
      </c>
    </row>
    <row r="21" spans="1:8">
      <c r="A21" s="455">
        <v>6.2</v>
      </c>
      <c r="B21" s="418" t="s">
        <v>528</v>
      </c>
      <c r="C21" s="588">
        <v>1083363587.2010701</v>
      </c>
      <c r="D21" s="588">
        <v>959375826.66219211</v>
      </c>
      <c r="E21" s="591">
        <f t="shared" si="0"/>
        <v>2042739413.8632622</v>
      </c>
      <c r="F21" s="588">
        <v>998222009.69329977</v>
      </c>
      <c r="G21" s="588">
        <v>1315684038.6688931</v>
      </c>
      <c r="H21" s="591">
        <f t="shared" si="1"/>
        <v>2313906048.3621931</v>
      </c>
    </row>
    <row r="22" spans="1:8">
      <c r="A22" s="455">
        <v>7</v>
      </c>
      <c r="B22" s="419" t="s">
        <v>530</v>
      </c>
      <c r="C22" s="588">
        <v>20796650</v>
      </c>
      <c r="D22" s="588">
        <v>0</v>
      </c>
      <c r="E22" s="591">
        <f t="shared" si="0"/>
        <v>20796650</v>
      </c>
      <c r="F22" s="588">
        <v>20796650</v>
      </c>
      <c r="G22" s="588">
        <v>0</v>
      </c>
      <c r="H22" s="591">
        <f t="shared" si="1"/>
        <v>20796650</v>
      </c>
    </row>
    <row r="23" spans="1:8" ht="21">
      <c r="A23" s="455">
        <v>8</v>
      </c>
      <c r="B23" s="420" t="s">
        <v>531</v>
      </c>
      <c r="C23" s="588">
        <v>490281.31999999989</v>
      </c>
      <c r="D23" s="588">
        <v>0</v>
      </c>
      <c r="E23" s="591">
        <f t="shared" si="0"/>
        <v>490281.31999999989</v>
      </c>
      <c r="F23" s="588">
        <v>109093</v>
      </c>
      <c r="G23" s="588">
        <v>0</v>
      </c>
      <c r="H23" s="591">
        <f t="shared" si="1"/>
        <v>109093</v>
      </c>
    </row>
    <row r="24" spans="1:8">
      <c r="A24" s="455">
        <v>9</v>
      </c>
      <c r="B24" s="417" t="s">
        <v>532</v>
      </c>
      <c r="C24" s="587">
        <f>SUM(C25:C26)</f>
        <v>116500084.80298384</v>
      </c>
      <c r="D24" s="587">
        <f>SUM(D25:D26)</f>
        <v>0</v>
      </c>
      <c r="E24" s="590">
        <f t="shared" si="0"/>
        <v>116500084.80298384</v>
      </c>
      <c r="F24" s="587">
        <f>SUM(F25:F26)</f>
        <v>53704040</v>
      </c>
      <c r="G24" s="587">
        <f>SUM(G25:G26)</f>
        <v>0</v>
      </c>
      <c r="H24" s="590">
        <f t="shared" si="1"/>
        <v>53704040</v>
      </c>
    </row>
    <row r="25" spans="1:8">
      <c r="A25" s="455">
        <v>9.1</v>
      </c>
      <c r="B25" s="421" t="s">
        <v>533</v>
      </c>
      <c r="C25" s="588">
        <v>116500084.80298384</v>
      </c>
      <c r="D25" s="588">
        <v>0</v>
      </c>
      <c r="E25" s="591">
        <f t="shared" si="0"/>
        <v>116500084.80298384</v>
      </c>
      <c r="F25" s="588">
        <v>53704040</v>
      </c>
      <c r="G25" s="588">
        <v>0</v>
      </c>
      <c r="H25" s="591">
        <f t="shared" si="1"/>
        <v>53704040</v>
      </c>
    </row>
    <row r="26" spans="1:8">
      <c r="A26" s="455">
        <v>9.1999999999999993</v>
      </c>
      <c r="B26" s="421" t="s">
        <v>534</v>
      </c>
      <c r="C26" s="588">
        <v>0</v>
      </c>
      <c r="D26" s="588">
        <v>0</v>
      </c>
      <c r="E26" s="591">
        <f t="shared" si="0"/>
        <v>0</v>
      </c>
      <c r="F26" s="588"/>
      <c r="G26" s="588"/>
      <c r="H26" s="591">
        <f t="shared" si="1"/>
        <v>0</v>
      </c>
    </row>
    <row r="27" spans="1:8">
      <c r="A27" s="455">
        <v>10</v>
      </c>
      <c r="B27" s="417" t="s">
        <v>36</v>
      </c>
      <c r="C27" s="587">
        <f>SUM(C28:C29)</f>
        <v>9391401</v>
      </c>
      <c r="D27" s="587">
        <f>SUM(D28:D29)</f>
        <v>0</v>
      </c>
      <c r="E27" s="590">
        <f t="shared" si="0"/>
        <v>9391401</v>
      </c>
      <c r="F27" s="587">
        <f>SUM(F28:F29)</f>
        <v>7155385</v>
      </c>
      <c r="G27" s="587">
        <f>SUM(G28:G29)</f>
        <v>0</v>
      </c>
      <c r="H27" s="590">
        <f t="shared" si="1"/>
        <v>7155385</v>
      </c>
    </row>
    <row r="28" spans="1:8">
      <c r="A28" s="455">
        <v>10.1</v>
      </c>
      <c r="B28" s="421" t="s">
        <v>535</v>
      </c>
      <c r="C28" s="588"/>
      <c r="D28" s="588"/>
      <c r="E28" s="591">
        <f t="shared" si="0"/>
        <v>0</v>
      </c>
      <c r="F28" s="588"/>
      <c r="G28" s="588"/>
      <c r="H28" s="591">
        <f t="shared" si="1"/>
        <v>0</v>
      </c>
    </row>
    <row r="29" spans="1:8">
      <c r="A29" s="455">
        <v>10.199999999999999</v>
      </c>
      <c r="B29" s="421" t="s">
        <v>536</v>
      </c>
      <c r="C29" s="588">
        <v>9391401</v>
      </c>
      <c r="D29" s="588">
        <v>0</v>
      </c>
      <c r="E29" s="591">
        <f t="shared" si="0"/>
        <v>9391401</v>
      </c>
      <c r="F29" s="588">
        <v>7155385</v>
      </c>
      <c r="G29" s="588">
        <v>0</v>
      </c>
      <c r="H29" s="591">
        <f t="shared" si="1"/>
        <v>7155385</v>
      </c>
    </row>
    <row r="30" spans="1:8">
      <c r="A30" s="455">
        <v>11</v>
      </c>
      <c r="B30" s="417" t="s">
        <v>537</v>
      </c>
      <c r="C30" s="587">
        <f>SUM(C31:C32)</f>
        <v>49336</v>
      </c>
      <c r="D30" s="587">
        <f>SUM(D31:D32)</f>
        <v>0</v>
      </c>
      <c r="E30" s="590">
        <f t="shared" si="0"/>
        <v>49336</v>
      </c>
      <c r="F30" s="587">
        <f>SUM(F31:F32)</f>
        <v>0</v>
      </c>
      <c r="G30" s="587">
        <f>SUM(G31:G32)</f>
        <v>0</v>
      </c>
      <c r="H30" s="590">
        <f t="shared" si="1"/>
        <v>0</v>
      </c>
    </row>
    <row r="31" spans="1:8">
      <c r="A31" s="455">
        <v>11.1</v>
      </c>
      <c r="B31" s="421" t="s">
        <v>538</v>
      </c>
      <c r="C31" s="588">
        <v>49336</v>
      </c>
      <c r="D31" s="588">
        <v>0</v>
      </c>
      <c r="E31" s="591">
        <f t="shared" si="0"/>
        <v>49336</v>
      </c>
      <c r="F31" s="588">
        <v>0</v>
      </c>
      <c r="G31" s="588">
        <v>0</v>
      </c>
      <c r="H31" s="591">
        <f t="shared" si="1"/>
        <v>0</v>
      </c>
    </row>
    <row r="32" spans="1:8">
      <c r="A32" s="455">
        <v>11.2</v>
      </c>
      <c r="B32" s="421" t="s">
        <v>539</v>
      </c>
      <c r="C32" s="588"/>
      <c r="D32" s="588"/>
      <c r="E32" s="591">
        <f t="shared" si="0"/>
        <v>0</v>
      </c>
      <c r="F32" s="588"/>
      <c r="G32" s="588"/>
      <c r="H32" s="591">
        <f t="shared" si="1"/>
        <v>0</v>
      </c>
    </row>
    <row r="33" spans="1:8">
      <c r="A33" s="455">
        <v>13</v>
      </c>
      <c r="B33" s="417" t="s">
        <v>99</v>
      </c>
      <c r="C33" s="588">
        <v>28569895.398382999</v>
      </c>
      <c r="D33" s="588">
        <v>171622</v>
      </c>
      <c r="E33" s="591">
        <f t="shared" si="0"/>
        <v>28741517.398382999</v>
      </c>
      <c r="F33" s="588">
        <v>31909286.116982199</v>
      </c>
      <c r="G33" s="588">
        <v>2438747</v>
      </c>
      <c r="H33" s="591">
        <f t="shared" si="1"/>
        <v>34348033.116982199</v>
      </c>
    </row>
    <row r="34" spans="1:8">
      <c r="A34" s="455">
        <v>13.1</v>
      </c>
      <c r="B34" s="422" t="s">
        <v>540</v>
      </c>
      <c r="C34" s="588">
        <v>23492653.640000001</v>
      </c>
      <c r="D34" s="588"/>
      <c r="E34" s="591">
        <f t="shared" si="0"/>
        <v>23492653.640000001</v>
      </c>
      <c r="F34" s="588">
        <v>24967470.444532759</v>
      </c>
      <c r="G34" s="588"/>
      <c r="H34" s="591">
        <f t="shared" si="1"/>
        <v>24967470.444532759</v>
      </c>
    </row>
    <row r="35" spans="1:8">
      <c r="A35" s="455">
        <v>13.2</v>
      </c>
      <c r="B35" s="422" t="s">
        <v>541</v>
      </c>
      <c r="C35" s="588"/>
      <c r="D35" s="588"/>
      <c r="E35" s="591">
        <f t="shared" si="0"/>
        <v>0</v>
      </c>
      <c r="F35" s="588"/>
      <c r="G35" s="588"/>
      <c r="H35" s="591">
        <f t="shared" si="1"/>
        <v>0</v>
      </c>
    </row>
    <row r="36" spans="1:8">
      <c r="A36" s="455">
        <v>14</v>
      </c>
      <c r="B36" s="423" t="s">
        <v>542</v>
      </c>
      <c r="C36" s="587">
        <f>SUM(C7,C11,C13,C14,C15,C19,C22,C23,C24,C27,C30,C33)</f>
        <v>1771156081.3849368</v>
      </c>
      <c r="D36" s="587">
        <f>SUM(D7,D11,D13,D14,D15,D19,D22,D23,D24,D27,D30,D33)</f>
        <v>1338101202.1083901</v>
      </c>
      <c r="E36" s="590">
        <f t="shared" si="0"/>
        <v>3109257283.4933271</v>
      </c>
      <c r="F36" s="587">
        <f>SUM(F7,F11,F13,F14,F15,F19,F22,F23,F24,F27,F30,F33)</f>
        <v>1432668533.9182823</v>
      </c>
      <c r="G36" s="587">
        <f>SUM(G7,G11,G13,G14,G15,G19,G22,G23,G24,G27,G30,G33)</f>
        <v>1434722743.0974257</v>
      </c>
      <c r="H36" s="590">
        <f t="shared" si="1"/>
        <v>2867391277.015708</v>
      </c>
    </row>
    <row r="37" spans="1:8" ht="22.5" customHeight="1">
      <c r="A37" s="455"/>
      <c r="B37" s="424" t="s">
        <v>104</v>
      </c>
      <c r="C37" s="773"/>
      <c r="D37" s="774"/>
      <c r="E37" s="774"/>
      <c r="F37" s="774"/>
      <c r="G37" s="774"/>
      <c r="H37" s="775"/>
    </row>
    <row r="38" spans="1:8">
      <c r="A38" s="455">
        <v>15</v>
      </c>
      <c r="B38" s="425" t="s">
        <v>543</v>
      </c>
      <c r="C38" s="588">
        <v>0</v>
      </c>
      <c r="D38" s="588">
        <v>0</v>
      </c>
      <c r="E38" s="591">
        <f>C38+D38</f>
        <v>0</v>
      </c>
      <c r="F38" s="588">
        <v>0</v>
      </c>
      <c r="G38" s="588">
        <v>0</v>
      </c>
      <c r="H38" s="591">
        <f>F38+G38</f>
        <v>0</v>
      </c>
    </row>
    <row r="39" spans="1:8">
      <c r="A39" s="455">
        <v>15.1</v>
      </c>
      <c r="B39" s="426" t="s">
        <v>523</v>
      </c>
      <c r="C39" s="588"/>
      <c r="D39" s="588"/>
      <c r="E39" s="591">
        <f t="shared" ref="E39:E53" si="2">C39+D39</f>
        <v>0</v>
      </c>
      <c r="F39" s="588"/>
      <c r="G39" s="588"/>
      <c r="H39" s="591">
        <f t="shared" ref="H39:H53" si="3">F39+G39</f>
        <v>0</v>
      </c>
    </row>
    <row r="40" spans="1:8" ht="24" customHeight="1">
      <c r="A40" s="455">
        <v>16</v>
      </c>
      <c r="B40" s="419" t="s">
        <v>544</v>
      </c>
      <c r="C40" s="588"/>
      <c r="D40" s="588"/>
      <c r="E40" s="591">
        <f t="shared" si="2"/>
        <v>0</v>
      </c>
      <c r="F40" s="588"/>
      <c r="G40" s="588"/>
      <c r="H40" s="591">
        <f t="shared" si="3"/>
        <v>0</v>
      </c>
    </row>
    <row r="41" spans="1:8" ht="21">
      <c r="A41" s="455">
        <v>17</v>
      </c>
      <c r="B41" s="419" t="s">
        <v>545</v>
      </c>
      <c r="C41" s="587">
        <f>SUM(C42:C45)</f>
        <v>1235949798.8175781</v>
      </c>
      <c r="D41" s="587">
        <f>SUM(D42:D45)</f>
        <v>1331750587.1768935</v>
      </c>
      <c r="E41" s="591">
        <f t="shared" si="2"/>
        <v>2567700385.9944715</v>
      </c>
      <c r="F41" s="587">
        <f>SUM(F42:F45)</f>
        <v>1031874139.0702976</v>
      </c>
      <c r="G41" s="587">
        <f>SUM(G42:G45)</f>
        <v>1433451430.7299998</v>
      </c>
      <c r="H41" s="591">
        <f t="shared" si="3"/>
        <v>2465325569.8002973</v>
      </c>
    </row>
    <row r="42" spans="1:8">
      <c r="A42" s="455">
        <v>17.100000000000001</v>
      </c>
      <c r="B42" s="427" t="s">
        <v>546</v>
      </c>
      <c r="C42" s="588">
        <v>1195300535</v>
      </c>
      <c r="D42" s="588">
        <v>984551893</v>
      </c>
      <c r="E42" s="591">
        <f t="shared" si="2"/>
        <v>2179852428</v>
      </c>
      <c r="F42" s="588">
        <v>967792655</v>
      </c>
      <c r="G42" s="588">
        <v>1040932232.3899999</v>
      </c>
      <c r="H42" s="591">
        <f t="shared" si="3"/>
        <v>2008724887.3899999</v>
      </c>
    </row>
    <row r="43" spans="1:8">
      <c r="A43" s="455">
        <v>17.2</v>
      </c>
      <c r="B43" s="428" t="s">
        <v>100</v>
      </c>
      <c r="C43" s="588">
        <v>32431935</v>
      </c>
      <c r="D43" s="588">
        <v>303762351.03999996</v>
      </c>
      <c r="E43" s="591">
        <f t="shared" si="2"/>
        <v>336194286.03999996</v>
      </c>
      <c r="F43" s="588">
        <v>58229545</v>
      </c>
      <c r="G43" s="588">
        <v>372611554.73000002</v>
      </c>
      <c r="H43" s="591">
        <f t="shared" si="3"/>
        <v>430841099.73000002</v>
      </c>
    </row>
    <row r="44" spans="1:8">
      <c r="A44" s="455">
        <v>17.3</v>
      </c>
      <c r="B44" s="427" t="s">
        <v>547</v>
      </c>
      <c r="C44" s="588">
        <v>0</v>
      </c>
      <c r="D44" s="588">
        <v>25902713</v>
      </c>
      <c r="E44" s="591">
        <f t="shared" si="2"/>
        <v>25902713</v>
      </c>
      <c r="F44" s="588">
        <v>0</v>
      </c>
      <c r="G44" s="588">
        <v>0</v>
      </c>
      <c r="H44" s="591">
        <f t="shared" si="3"/>
        <v>0</v>
      </c>
    </row>
    <row r="45" spans="1:8">
      <c r="A45" s="455">
        <v>17.399999999999999</v>
      </c>
      <c r="B45" s="427" t="s">
        <v>548</v>
      </c>
      <c r="C45" s="588">
        <v>8217328.8175780494</v>
      </c>
      <c r="D45" s="588">
        <v>17533630.136893418</v>
      </c>
      <c r="E45" s="591">
        <f t="shared" si="2"/>
        <v>25750958.954471469</v>
      </c>
      <c r="F45" s="588">
        <v>5851939.0702976547</v>
      </c>
      <c r="G45" s="588">
        <v>19907643.609999999</v>
      </c>
      <c r="H45" s="591">
        <f t="shared" si="3"/>
        <v>25759582.680297654</v>
      </c>
    </row>
    <row r="46" spans="1:8">
      <c r="A46" s="455">
        <v>18</v>
      </c>
      <c r="B46" s="429" t="s">
        <v>549</v>
      </c>
      <c r="C46" s="588">
        <v>1626200.22</v>
      </c>
      <c r="D46" s="588">
        <v>0</v>
      </c>
      <c r="E46" s="591">
        <f t="shared" si="2"/>
        <v>1626200.22</v>
      </c>
      <c r="F46" s="588">
        <v>1432973.9</v>
      </c>
      <c r="G46" s="588">
        <v>0</v>
      </c>
      <c r="H46" s="591">
        <f t="shared" si="3"/>
        <v>1432973.9</v>
      </c>
    </row>
    <row r="47" spans="1:8">
      <c r="A47" s="455">
        <v>19</v>
      </c>
      <c r="B47" s="429" t="s">
        <v>550</v>
      </c>
      <c r="C47" s="587">
        <f>SUM(C48:C49)</f>
        <v>13305546.144164845</v>
      </c>
      <c r="D47" s="587">
        <f>SUM(D48:D49)</f>
        <v>0</v>
      </c>
      <c r="E47" s="591">
        <f t="shared" si="2"/>
        <v>13305546.144164845</v>
      </c>
      <c r="F47" s="587">
        <f>SUM(F48:F49)</f>
        <v>5948286.3564535175</v>
      </c>
      <c r="G47" s="587">
        <f>SUM(G48:G49)</f>
        <v>0</v>
      </c>
      <c r="H47" s="591">
        <f t="shared" si="3"/>
        <v>5948286.3564535175</v>
      </c>
    </row>
    <row r="48" spans="1:8">
      <c r="A48" s="455">
        <v>19.100000000000001</v>
      </c>
      <c r="B48" s="430" t="s">
        <v>551</v>
      </c>
      <c r="C48" s="588">
        <v>10209701.983920956</v>
      </c>
      <c r="D48" s="588">
        <v>0</v>
      </c>
      <c r="E48" s="591">
        <f t="shared" si="2"/>
        <v>10209701.983920956</v>
      </c>
      <c r="F48" s="588">
        <v>2164551.9908097275</v>
      </c>
      <c r="G48" s="588">
        <v>0</v>
      </c>
      <c r="H48" s="591">
        <f t="shared" si="3"/>
        <v>2164551.9908097275</v>
      </c>
    </row>
    <row r="49" spans="1:8">
      <c r="A49" s="455">
        <v>19.2</v>
      </c>
      <c r="B49" s="431" t="s">
        <v>552</v>
      </c>
      <c r="C49" s="588">
        <v>3095844.1602438893</v>
      </c>
      <c r="D49" s="588">
        <v>0</v>
      </c>
      <c r="E49" s="591">
        <f t="shared" si="2"/>
        <v>3095844.1602438893</v>
      </c>
      <c r="F49" s="588">
        <v>3783734.36564379</v>
      </c>
      <c r="G49" s="588">
        <v>0</v>
      </c>
      <c r="H49" s="591">
        <f t="shared" si="3"/>
        <v>3783734.36564379</v>
      </c>
    </row>
    <row r="50" spans="1:8">
      <c r="A50" s="455">
        <v>20</v>
      </c>
      <c r="B50" s="432" t="s">
        <v>101</v>
      </c>
      <c r="C50" s="588">
        <v>0</v>
      </c>
      <c r="D50" s="588">
        <v>55897836.859999999</v>
      </c>
      <c r="E50" s="591">
        <f t="shared" si="2"/>
        <v>55897836.859999999</v>
      </c>
      <c r="F50" s="588">
        <v>0</v>
      </c>
      <c r="G50" s="588">
        <v>15846437</v>
      </c>
      <c r="H50" s="591">
        <f t="shared" si="3"/>
        <v>15846437</v>
      </c>
    </row>
    <row r="51" spans="1:8">
      <c r="A51" s="455">
        <v>21</v>
      </c>
      <c r="B51" s="433" t="s">
        <v>89</v>
      </c>
      <c r="C51" s="588">
        <v>11614315.907018399</v>
      </c>
      <c r="D51" s="588">
        <v>1510741</v>
      </c>
      <c r="E51" s="591">
        <f t="shared" si="2"/>
        <v>13125056.907018399</v>
      </c>
      <c r="F51" s="588">
        <v>5722275.2918105572</v>
      </c>
      <c r="G51" s="588">
        <v>210459</v>
      </c>
      <c r="H51" s="591">
        <f t="shared" si="3"/>
        <v>5932734.2918105572</v>
      </c>
    </row>
    <row r="52" spans="1:8">
      <c r="A52" s="455">
        <v>21.1</v>
      </c>
      <c r="B52" s="428" t="s">
        <v>553</v>
      </c>
      <c r="C52" s="588"/>
      <c r="D52" s="588"/>
      <c r="E52" s="591">
        <f t="shared" si="2"/>
        <v>0</v>
      </c>
      <c r="F52" s="588"/>
      <c r="G52" s="588"/>
      <c r="H52" s="591">
        <f t="shared" si="3"/>
        <v>0</v>
      </c>
    </row>
    <row r="53" spans="1:8">
      <c r="A53" s="455">
        <v>22</v>
      </c>
      <c r="B53" s="432" t="s">
        <v>554</v>
      </c>
      <c r="C53" s="587">
        <f>SUM(C38,C40,C41,C46,C47,C50,C51)</f>
        <v>1262495861.0887613</v>
      </c>
      <c r="D53" s="587">
        <f>SUM(D38,D40,D41,D46,D47,D50,D51)</f>
        <v>1389159165.0368934</v>
      </c>
      <c r="E53" s="590">
        <f t="shared" si="2"/>
        <v>2651655026.1256547</v>
      </c>
      <c r="F53" s="587">
        <f>SUM(F38,F40,F41,F46,F47,F50,F51)</f>
        <v>1044977674.6185616</v>
      </c>
      <c r="G53" s="587">
        <f>SUM(G38,G40,G41,G46,G47,G50,G51)</f>
        <v>1449508326.7299998</v>
      </c>
      <c r="H53" s="590">
        <f t="shared" si="3"/>
        <v>2494486001.3485613</v>
      </c>
    </row>
    <row r="54" spans="1:8" ht="24" customHeight="1">
      <c r="A54" s="455"/>
      <c r="B54" s="434" t="s">
        <v>555</v>
      </c>
      <c r="C54" s="773"/>
      <c r="D54" s="774"/>
      <c r="E54" s="774"/>
      <c r="F54" s="774"/>
      <c r="G54" s="774"/>
      <c r="H54" s="775"/>
    </row>
    <row r="55" spans="1:8">
      <c r="A55" s="455">
        <v>23</v>
      </c>
      <c r="B55" s="432" t="s">
        <v>105</v>
      </c>
      <c r="C55" s="593">
        <v>17091531</v>
      </c>
      <c r="D55" s="588">
        <v>0</v>
      </c>
      <c r="E55" s="591">
        <f>C55+D55</f>
        <v>17091531</v>
      </c>
      <c r="F55" s="593">
        <v>16057277</v>
      </c>
      <c r="G55" s="588">
        <v>0</v>
      </c>
      <c r="H55" s="591">
        <f>F55+G55</f>
        <v>16057277</v>
      </c>
    </row>
    <row r="56" spans="1:8">
      <c r="A56" s="455">
        <v>24</v>
      </c>
      <c r="B56" s="432" t="s">
        <v>556</v>
      </c>
      <c r="C56" s="588"/>
      <c r="D56" s="588"/>
      <c r="E56" s="591">
        <f t="shared" ref="E56:E69" si="4">C56+D56</f>
        <v>0</v>
      </c>
      <c r="F56" s="588"/>
      <c r="G56" s="588"/>
      <c r="H56" s="591">
        <f t="shared" ref="H56:H69" si="5">F56+G56</f>
        <v>0</v>
      </c>
    </row>
    <row r="57" spans="1:8">
      <c r="A57" s="455">
        <v>25</v>
      </c>
      <c r="B57" s="435" t="s">
        <v>102</v>
      </c>
      <c r="C57" s="593">
        <v>101066232.035</v>
      </c>
      <c r="D57" s="588">
        <v>0</v>
      </c>
      <c r="E57" s="591">
        <f t="shared" si="4"/>
        <v>101066232.035</v>
      </c>
      <c r="F57" s="593">
        <v>74923497.034999996</v>
      </c>
      <c r="G57" s="588">
        <v>0</v>
      </c>
      <c r="H57" s="591">
        <f t="shared" si="5"/>
        <v>74923497.034999996</v>
      </c>
    </row>
    <row r="58" spans="1:8">
      <c r="A58" s="455">
        <v>26</v>
      </c>
      <c r="B58" s="429" t="s">
        <v>557</v>
      </c>
      <c r="C58" s="588"/>
      <c r="D58" s="588"/>
      <c r="E58" s="591">
        <f t="shared" si="4"/>
        <v>0</v>
      </c>
      <c r="F58" s="588"/>
      <c r="G58" s="588"/>
      <c r="H58" s="591">
        <f t="shared" si="5"/>
        <v>0</v>
      </c>
    </row>
    <row r="59" spans="1:8" ht="21">
      <c r="A59" s="455">
        <v>27</v>
      </c>
      <c r="B59" s="429" t="s">
        <v>558</v>
      </c>
      <c r="C59" s="588">
        <f>SUM(C60:C61)</f>
        <v>0</v>
      </c>
      <c r="D59" s="588">
        <f>SUM(D60:D61)</f>
        <v>0</v>
      </c>
      <c r="E59" s="591">
        <f t="shared" si="4"/>
        <v>0</v>
      </c>
      <c r="F59" s="588"/>
      <c r="G59" s="588">
        <f>SUM(G60:G61)</f>
        <v>0</v>
      </c>
      <c r="H59" s="591">
        <f t="shared" si="5"/>
        <v>0</v>
      </c>
    </row>
    <row r="60" spans="1:8">
      <c r="A60" s="455">
        <v>27.1</v>
      </c>
      <c r="B60" s="436" t="s">
        <v>559</v>
      </c>
      <c r="C60" s="588"/>
      <c r="D60" s="588"/>
      <c r="E60" s="591">
        <f t="shared" si="4"/>
        <v>0</v>
      </c>
      <c r="F60" s="588"/>
      <c r="G60" s="588"/>
      <c r="H60" s="591">
        <f t="shared" si="5"/>
        <v>0</v>
      </c>
    </row>
    <row r="61" spans="1:8">
      <c r="A61" s="455">
        <v>27.2</v>
      </c>
      <c r="B61" s="427" t="s">
        <v>560</v>
      </c>
      <c r="C61" s="588"/>
      <c r="D61" s="588"/>
      <c r="E61" s="591">
        <f t="shared" si="4"/>
        <v>0</v>
      </c>
      <c r="F61" s="588"/>
      <c r="G61" s="588"/>
      <c r="H61" s="591">
        <f t="shared" si="5"/>
        <v>0</v>
      </c>
    </row>
    <row r="62" spans="1:8">
      <c r="A62" s="455">
        <v>28</v>
      </c>
      <c r="B62" s="433" t="s">
        <v>561</v>
      </c>
      <c r="C62" s="593">
        <v>2606149.3548835898</v>
      </c>
      <c r="D62" s="588">
        <v>0</v>
      </c>
      <c r="E62" s="591">
        <f t="shared" si="4"/>
        <v>2606149.3548835898</v>
      </c>
      <c r="F62" s="593">
        <v>2474984.8777764114</v>
      </c>
      <c r="G62" s="588">
        <v>0</v>
      </c>
      <c r="H62" s="591">
        <f t="shared" si="5"/>
        <v>2474984.8777764114</v>
      </c>
    </row>
    <row r="63" spans="1:8">
      <c r="A63" s="455">
        <v>29</v>
      </c>
      <c r="B63" s="429" t="s">
        <v>562</v>
      </c>
      <c r="C63" s="587">
        <f>SUM(C64:C66)</f>
        <v>15141309.386399999</v>
      </c>
      <c r="D63" s="587">
        <f>SUM(D64:D66)</f>
        <v>0</v>
      </c>
      <c r="E63" s="590">
        <f t="shared" si="4"/>
        <v>15141309.386399999</v>
      </c>
      <c r="F63" s="587">
        <f>SUM(F64:F66)</f>
        <v>11836799.820500001</v>
      </c>
      <c r="G63" s="587">
        <f>SUM(G64:G66)</f>
        <v>0</v>
      </c>
      <c r="H63" s="590">
        <f t="shared" si="5"/>
        <v>11836799.820500001</v>
      </c>
    </row>
    <row r="64" spans="1:8">
      <c r="A64" s="455">
        <v>29.1</v>
      </c>
      <c r="B64" s="418" t="s">
        <v>563</v>
      </c>
      <c r="C64" s="588">
        <v>10870260.656400001</v>
      </c>
      <c r="D64" s="588">
        <v>0</v>
      </c>
      <c r="E64" s="591">
        <f t="shared" si="4"/>
        <v>10870260.656400001</v>
      </c>
      <c r="F64" s="588">
        <v>13587825.820500001</v>
      </c>
      <c r="G64" s="588">
        <v>0</v>
      </c>
      <c r="H64" s="591">
        <f t="shared" si="5"/>
        <v>13587825.820500001</v>
      </c>
    </row>
    <row r="65" spans="1:8" ht="24.95" customHeight="1">
      <c r="A65" s="455">
        <v>29.2</v>
      </c>
      <c r="B65" s="436" t="s">
        <v>564</v>
      </c>
      <c r="C65" s="588"/>
      <c r="D65" s="588"/>
      <c r="E65" s="591">
        <f t="shared" si="4"/>
        <v>0</v>
      </c>
      <c r="F65" s="588"/>
      <c r="G65" s="588"/>
      <c r="H65" s="591">
        <f t="shared" si="5"/>
        <v>0</v>
      </c>
    </row>
    <row r="66" spans="1:8" ht="22.5" customHeight="1">
      <c r="A66" s="455">
        <v>29.3</v>
      </c>
      <c r="B66" s="421" t="s">
        <v>565</v>
      </c>
      <c r="C66" s="588">
        <v>4271048.7299999995</v>
      </c>
      <c r="D66" s="588">
        <v>0</v>
      </c>
      <c r="E66" s="591">
        <f t="shared" si="4"/>
        <v>4271048.7299999995</v>
      </c>
      <c r="F66" s="588">
        <v>-1751026</v>
      </c>
      <c r="G66" s="588">
        <v>0</v>
      </c>
      <c r="H66" s="591">
        <f t="shared" si="5"/>
        <v>-1751026</v>
      </c>
    </row>
    <row r="67" spans="1:8">
      <c r="A67" s="455">
        <v>30</v>
      </c>
      <c r="B67" s="417" t="s">
        <v>103</v>
      </c>
      <c r="C67" s="593">
        <v>321697035.59167314</v>
      </c>
      <c r="D67" s="588">
        <v>0</v>
      </c>
      <c r="E67" s="591">
        <f t="shared" si="4"/>
        <v>321697035.59167314</v>
      </c>
      <c r="F67" s="593">
        <v>267612716.93553451</v>
      </c>
      <c r="G67" s="588">
        <v>0</v>
      </c>
      <c r="H67" s="591">
        <f t="shared" si="5"/>
        <v>267612716.93553451</v>
      </c>
    </row>
    <row r="68" spans="1:8">
      <c r="A68" s="455">
        <v>31</v>
      </c>
      <c r="B68" s="437" t="s">
        <v>566</v>
      </c>
      <c r="C68" s="587">
        <f>SUM(C55,C56,C57,C58,C59,C62,C63,C67)</f>
        <v>457602257.36795676</v>
      </c>
      <c r="D68" s="587">
        <f>SUM(D55,D56,D57,D58,D59,D62,D63,D67)</f>
        <v>0</v>
      </c>
      <c r="E68" s="590">
        <f t="shared" si="4"/>
        <v>457602257.36795676</v>
      </c>
      <c r="F68" s="587">
        <f>SUM(F55,F56,F57,F58,F59,F62,F63,F67)</f>
        <v>372905275.6688109</v>
      </c>
      <c r="G68" s="587">
        <f>SUM(G55,G56,G57,G58,G59,G62,G63,G67)</f>
        <v>0</v>
      </c>
      <c r="H68" s="590">
        <f t="shared" si="5"/>
        <v>372905275.6688109</v>
      </c>
    </row>
    <row r="69" spans="1:8">
      <c r="A69" s="455">
        <v>32</v>
      </c>
      <c r="B69" s="438" t="s">
        <v>567</v>
      </c>
      <c r="C69" s="587">
        <f>SUM(C53,C68)</f>
        <v>1720098118.456718</v>
      </c>
      <c r="D69" s="587">
        <f>SUM(D53,D68)</f>
        <v>1389159165.0368934</v>
      </c>
      <c r="E69" s="590">
        <f t="shared" si="4"/>
        <v>3109257283.4936113</v>
      </c>
      <c r="F69" s="587">
        <f>SUM(F53,F68)</f>
        <v>1417882950.2873726</v>
      </c>
      <c r="G69" s="587">
        <f>SUM(G53,G68)</f>
        <v>1449508326.7299998</v>
      </c>
      <c r="H69" s="590">
        <f t="shared" si="5"/>
        <v>2867391277.0173721</v>
      </c>
    </row>
    <row r="70" spans="1:8">
      <c r="E70" s="594"/>
      <c r="H70" s="594"/>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89" zoomScaleNormal="89" workbookViewId="0">
      <selection activeCell="D39" sqref="D39"/>
    </sheetView>
  </sheetViews>
  <sheetFormatPr defaultRowHeight="15"/>
  <cols>
    <col min="2" max="2" width="66.5703125" customWidth="1"/>
    <col min="3" max="8" width="17.85546875" customWidth="1"/>
  </cols>
  <sheetData>
    <row r="1" spans="1:8" ht="15.75">
      <c r="A1" s="16" t="s">
        <v>108</v>
      </c>
      <c r="B1" s="319" t="str">
        <f>Info!C2</f>
        <v>სს "ბაზისბანკი"</v>
      </c>
      <c r="C1" s="15"/>
      <c r="D1" s="234"/>
      <c r="E1" s="234"/>
      <c r="F1" s="234"/>
      <c r="G1" s="234"/>
    </row>
    <row r="2" spans="1:8" ht="15.75">
      <c r="A2" s="16" t="s">
        <v>109</v>
      </c>
      <c r="B2" s="354">
        <f>'1. key ratios'!B2</f>
        <v>45016</v>
      </c>
      <c r="C2" s="28"/>
      <c r="D2" s="17"/>
      <c r="E2" s="17"/>
      <c r="F2" s="17"/>
      <c r="G2" s="17"/>
      <c r="H2" s="1"/>
    </row>
    <row r="3" spans="1:8" ht="16.5" thickBot="1">
      <c r="A3" s="16"/>
      <c r="B3" s="15"/>
      <c r="C3" s="28"/>
      <c r="D3" s="17"/>
      <c r="E3" s="17"/>
      <c r="F3" s="17"/>
      <c r="G3" s="17"/>
      <c r="H3" s="1"/>
    </row>
    <row r="4" spans="1:8">
      <c r="A4" s="783" t="s">
        <v>25</v>
      </c>
      <c r="B4" s="781" t="s">
        <v>166</v>
      </c>
      <c r="C4" s="779" t="s">
        <v>114</v>
      </c>
      <c r="D4" s="779"/>
      <c r="E4" s="779"/>
      <c r="F4" s="779" t="s">
        <v>115</v>
      </c>
      <c r="G4" s="779"/>
      <c r="H4" s="780"/>
    </row>
    <row r="5" spans="1:8" ht="15.6" customHeight="1">
      <c r="A5" s="784"/>
      <c r="B5" s="782"/>
      <c r="C5" s="440" t="s">
        <v>26</v>
      </c>
      <c r="D5" s="440" t="s">
        <v>88</v>
      </c>
      <c r="E5" s="440" t="s">
        <v>66</v>
      </c>
      <c r="F5" s="440" t="s">
        <v>26</v>
      </c>
      <c r="G5" s="440" t="s">
        <v>88</v>
      </c>
      <c r="H5" s="440" t="s">
        <v>66</v>
      </c>
    </row>
    <row r="6" spans="1:8">
      <c r="A6" s="469">
        <v>1</v>
      </c>
      <c r="B6" s="441" t="s">
        <v>568</v>
      </c>
      <c r="C6" s="587">
        <f>SUM(C7:C12)</f>
        <v>52633203.426200055</v>
      </c>
      <c r="D6" s="587">
        <f>SUM(D7:D12)</f>
        <v>23307322.090499997</v>
      </c>
      <c r="E6" s="590">
        <f>C6+D6</f>
        <v>75940525.516700059</v>
      </c>
      <c r="F6" s="587">
        <f>SUM(F7:F12)</f>
        <v>33125322.489099998</v>
      </c>
      <c r="G6" s="587">
        <f>SUM(G7:G12)</f>
        <v>14530011.603700001</v>
      </c>
      <c r="H6" s="590">
        <f>F6+G6</f>
        <v>47655334.092799999</v>
      </c>
    </row>
    <row r="7" spans="1:8">
      <c r="A7" s="469">
        <v>1.1000000000000001</v>
      </c>
      <c r="B7" s="442" t="s">
        <v>522</v>
      </c>
      <c r="C7" s="588"/>
      <c r="D7" s="588"/>
      <c r="E7" s="591">
        <f t="shared" ref="E7:E45" si="0">C7+D7</f>
        <v>0</v>
      </c>
      <c r="F7" s="588"/>
      <c r="G7" s="588"/>
      <c r="H7" s="591">
        <f t="shared" ref="H7:H45" si="1">F7+G7</f>
        <v>0</v>
      </c>
    </row>
    <row r="8" spans="1:8" ht="21">
      <c r="A8" s="469">
        <v>1.2</v>
      </c>
      <c r="B8" s="442" t="s">
        <v>569</v>
      </c>
      <c r="C8" s="588"/>
      <c r="D8" s="588"/>
      <c r="E8" s="591">
        <f t="shared" si="0"/>
        <v>0</v>
      </c>
      <c r="F8" s="588"/>
      <c r="G8" s="588"/>
      <c r="H8" s="591">
        <f t="shared" si="1"/>
        <v>0</v>
      </c>
    </row>
    <row r="9" spans="1:8" ht="21.6" customHeight="1">
      <c r="A9" s="469">
        <v>1.3</v>
      </c>
      <c r="B9" s="436" t="s">
        <v>570</v>
      </c>
      <c r="C9" s="588"/>
      <c r="D9" s="588"/>
      <c r="E9" s="591">
        <f t="shared" si="0"/>
        <v>0</v>
      </c>
      <c r="F9" s="588"/>
      <c r="G9" s="588"/>
      <c r="H9" s="591">
        <f t="shared" si="1"/>
        <v>0</v>
      </c>
    </row>
    <row r="10" spans="1:8" ht="21">
      <c r="A10" s="469">
        <v>1.4</v>
      </c>
      <c r="B10" s="436" t="s">
        <v>526</v>
      </c>
      <c r="C10" s="588"/>
      <c r="D10" s="588"/>
      <c r="E10" s="591">
        <f t="shared" si="0"/>
        <v>0</v>
      </c>
      <c r="F10" s="588"/>
      <c r="G10" s="588"/>
      <c r="H10" s="591">
        <f t="shared" si="1"/>
        <v>0</v>
      </c>
    </row>
    <row r="11" spans="1:8">
      <c r="A11" s="469">
        <v>1.5</v>
      </c>
      <c r="B11" s="436" t="s">
        <v>529</v>
      </c>
      <c r="C11" s="588">
        <v>52633203.426200055</v>
      </c>
      <c r="D11" s="588">
        <v>23307322.090499997</v>
      </c>
      <c r="E11" s="591">
        <f t="shared" si="0"/>
        <v>75940525.516700059</v>
      </c>
      <c r="F11" s="588">
        <v>33125322.489099998</v>
      </c>
      <c r="G11" s="588">
        <v>14530011.603700001</v>
      </c>
      <c r="H11" s="591">
        <f t="shared" si="1"/>
        <v>47655334.092799999</v>
      </c>
    </row>
    <row r="12" spans="1:8">
      <c r="A12" s="469">
        <v>1.6</v>
      </c>
      <c r="B12" s="443" t="s">
        <v>99</v>
      </c>
      <c r="C12" s="588"/>
      <c r="D12" s="588"/>
      <c r="E12" s="591">
        <f t="shared" si="0"/>
        <v>0</v>
      </c>
      <c r="F12" s="588"/>
      <c r="G12" s="588"/>
      <c r="H12" s="591">
        <f t="shared" si="1"/>
        <v>0</v>
      </c>
    </row>
    <row r="13" spans="1:8">
      <c r="A13" s="469">
        <v>2</v>
      </c>
      <c r="B13" s="444" t="s">
        <v>571</v>
      </c>
      <c r="C13" s="587">
        <f>SUM(C14:C17)</f>
        <v>-32193143.494907901</v>
      </c>
      <c r="D13" s="587">
        <f>SUM(D14:D17)</f>
        <v>-9716049.3910999987</v>
      </c>
      <c r="E13" s="590">
        <f t="shared" si="0"/>
        <v>-41909192.886007898</v>
      </c>
      <c r="F13" s="587">
        <f>SUM(F14:F17)</f>
        <v>-15351989</v>
      </c>
      <c r="G13" s="587">
        <f>SUM(G14:G17)</f>
        <v>-5667783.4366079392</v>
      </c>
      <c r="H13" s="590">
        <f t="shared" si="1"/>
        <v>-21019772.436607938</v>
      </c>
    </row>
    <row r="14" spans="1:8">
      <c r="A14" s="469">
        <v>2.1</v>
      </c>
      <c r="B14" s="436" t="s">
        <v>572</v>
      </c>
      <c r="C14" s="588"/>
      <c r="D14" s="588"/>
      <c r="E14" s="591">
        <f t="shared" si="0"/>
        <v>0</v>
      </c>
      <c r="F14" s="588"/>
      <c r="G14" s="588"/>
      <c r="H14" s="591">
        <f t="shared" si="1"/>
        <v>0</v>
      </c>
    </row>
    <row r="15" spans="1:8" ht="24.6" customHeight="1">
      <c r="A15" s="469">
        <v>2.2000000000000002</v>
      </c>
      <c r="B15" s="436" t="s">
        <v>573</v>
      </c>
      <c r="C15" s="588"/>
      <c r="D15" s="588"/>
      <c r="E15" s="591">
        <f t="shared" si="0"/>
        <v>0</v>
      </c>
      <c r="F15" s="588"/>
      <c r="G15" s="588"/>
      <c r="H15" s="591">
        <f t="shared" si="1"/>
        <v>0</v>
      </c>
    </row>
    <row r="16" spans="1:8" ht="20.45" customHeight="1">
      <c r="A16" s="469">
        <v>2.2999999999999998</v>
      </c>
      <c r="B16" s="436" t="s">
        <v>574</v>
      </c>
      <c r="C16" s="588">
        <v>-32193143.494907901</v>
      </c>
      <c r="D16" s="588">
        <v>-9716049.3910999987</v>
      </c>
      <c r="E16" s="591">
        <f t="shared" si="0"/>
        <v>-41909192.886007898</v>
      </c>
      <c r="F16" s="588">
        <v>-15351989</v>
      </c>
      <c r="G16" s="588">
        <v>-5667783.4366079392</v>
      </c>
      <c r="H16" s="591">
        <f t="shared" si="1"/>
        <v>-21019772.436607938</v>
      </c>
    </row>
    <row r="17" spans="1:8">
      <c r="A17" s="469">
        <v>2.4</v>
      </c>
      <c r="B17" s="436" t="s">
        <v>575</v>
      </c>
      <c r="C17" s="588">
        <v>0</v>
      </c>
      <c r="D17" s="588">
        <v>0</v>
      </c>
      <c r="E17" s="591">
        <f t="shared" si="0"/>
        <v>0</v>
      </c>
      <c r="F17" s="588"/>
      <c r="G17" s="588"/>
      <c r="H17" s="591">
        <f t="shared" si="1"/>
        <v>0</v>
      </c>
    </row>
    <row r="18" spans="1:8">
      <c r="A18" s="469">
        <v>3</v>
      </c>
      <c r="B18" s="444" t="s">
        <v>576</v>
      </c>
      <c r="C18" s="588">
        <v>0</v>
      </c>
      <c r="D18" s="588">
        <v>0</v>
      </c>
      <c r="E18" s="591">
        <f t="shared" si="0"/>
        <v>0</v>
      </c>
      <c r="F18" s="588"/>
      <c r="G18" s="588"/>
      <c r="H18" s="591">
        <f t="shared" si="1"/>
        <v>0</v>
      </c>
    </row>
    <row r="19" spans="1:8">
      <c r="A19" s="469">
        <v>4</v>
      </c>
      <c r="B19" s="444" t="s">
        <v>577</v>
      </c>
      <c r="C19" s="588">
        <v>2767300.8499999996</v>
      </c>
      <c r="D19" s="588">
        <v>1451140.1826999998</v>
      </c>
      <c r="E19" s="591">
        <f t="shared" si="0"/>
        <v>4218441.0326999994</v>
      </c>
      <c r="F19" s="588">
        <v>1605685.13</v>
      </c>
      <c r="G19" s="588">
        <v>854449.36410000001</v>
      </c>
      <c r="H19" s="591">
        <f t="shared" si="1"/>
        <v>2460134.4940999998</v>
      </c>
    </row>
    <row r="20" spans="1:8">
      <c r="A20" s="469">
        <v>5</v>
      </c>
      <c r="B20" s="444" t="s">
        <v>578</v>
      </c>
      <c r="C20" s="588">
        <v>-313303.81</v>
      </c>
      <c r="D20" s="588">
        <v>-944424.6399999999</v>
      </c>
      <c r="E20" s="591">
        <f t="shared" si="0"/>
        <v>-1257728.45</v>
      </c>
      <c r="F20" s="588">
        <v>-390179.92</v>
      </c>
      <c r="G20" s="588">
        <v>-969949.97</v>
      </c>
      <c r="H20" s="591">
        <f t="shared" si="1"/>
        <v>-1360129.89</v>
      </c>
    </row>
    <row r="21" spans="1:8" ht="38.450000000000003" customHeight="1">
      <c r="A21" s="469">
        <v>6</v>
      </c>
      <c r="B21" s="444" t="s">
        <v>579</v>
      </c>
      <c r="C21" s="588">
        <v>0</v>
      </c>
      <c r="D21" s="588">
        <v>0</v>
      </c>
      <c r="E21" s="591">
        <f t="shared" si="0"/>
        <v>0</v>
      </c>
      <c r="F21" s="588"/>
      <c r="G21" s="588"/>
      <c r="H21" s="591">
        <f t="shared" si="1"/>
        <v>0</v>
      </c>
    </row>
    <row r="22" spans="1:8" ht="27.6" customHeight="1">
      <c r="A22" s="469">
        <v>7</v>
      </c>
      <c r="B22" s="444" t="s">
        <v>580</v>
      </c>
      <c r="C22" s="588">
        <v>0</v>
      </c>
      <c r="D22" s="588">
        <v>0</v>
      </c>
      <c r="E22" s="591">
        <f t="shared" si="0"/>
        <v>0</v>
      </c>
      <c r="F22" s="588"/>
      <c r="G22" s="588"/>
      <c r="H22" s="591">
        <f t="shared" si="1"/>
        <v>0</v>
      </c>
    </row>
    <row r="23" spans="1:8" ht="36.950000000000003" customHeight="1">
      <c r="A23" s="469">
        <v>8</v>
      </c>
      <c r="B23" s="445" t="s">
        <v>581</v>
      </c>
      <c r="C23" s="588">
        <v>0</v>
      </c>
      <c r="D23" s="588">
        <v>0</v>
      </c>
      <c r="E23" s="591">
        <f t="shared" si="0"/>
        <v>0</v>
      </c>
      <c r="F23" s="588"/>
      <c r="G23" s="588"/>
      <c r="H23" s="591">
        <f t="shared" si="1"/>
        <v>0</v>
      </c>
    </row>
    <row r="24" spans="1:8" ht="34.5" customHeight="1">
      <c r="A24" s="469">
        <v>9</v>
      </c>
      <c r="B24" s="445" t="s">
        <v>582</v>
      </c>
      <c r="C24" s="588">
        <v>0</v>
      </c>
      <c r="D24" s="588">
        <v>0</v>
      </c>
      <c r="E24" s="591">
        <f t="shared" si="0"/>
        <v>0</v>
      </c>
      <c r="F24" s="588"/>
      <c r="G24" s="588"/>
      <c r="H24" s="591">
        <f t="shared" si="1"/>
        <v>0</v>
      </c>
    </row>
    <row r="25" spans="1:8">
      <c r="A25" s="469">
        <v>10</v>
      </c>
      <c r="B25" s="444" t="s">
        <v>583</v>
      </c>
      <c r="C25" s="588">
        <v>-660276.44098704774</v>
      </c>
      <c r="D25" s="588">
        <v>0</v>
      </c>
      <c r="E25" s="591">
        <f t="shared" si="0"/>
        <v>-660276.44098704774</v>
      </c>
      <c r="F25" s="588">
        <v>2273556.2997865751</v>
      </c>
      <c r="G25" s="588">
        <v>0</v>
      </c>
      <c r="H25" s="591">
        <f t="shared" si="1"/>
        <v>2273556.2997865751</v>
      </c>
    </row>
    <row r="26" spans="1:8" ht="27" customHeight="1">
      <c r="A26" s="469">
        <v>11</v>
      </c>
      <c r="B26" s="446" t="s">
        <v>584</v>
      </c>
      <c r="C26" s="588">
        <v>0</v>
      </c>
      <c r="D26" s="588">
        <v>0</v>
      </c>
      <c r="E26" s="591">
        <f t="shared" si="0"/>
        <v>0</v>
      </c>
      <c r="F26" s="588"/>
      <c r="G26" s="588"/>
      <c r="H26" s="591">
        <f t="shared" si="1"/>
        <v>0</v>
      </c>
    </row>
    <row r="27" spans="1:8">
      <c r="A27" s="469">
        <v>12</v>
      </c>
      <c r="B27" s="444" t="s">
        <v>585</v>
      </c>
      <c r="C27" s="588">
        <v>654334.69817185833</v>
      </c>
      <c r="D27" s="588">
        <v>239092.42219999997</v>
      </c>
      <c r="E27" s="591">
        <f t="shared" si="0"/>
        <v>893427.12037185836</v>
      </c>
      <c r="F27" s="588">
        <v>57870875.65541923</v>
      </c>
      <c r="G27" s="588">
        <v>506286.75770000002</v>
      </c>
      <c r="H27" s="591">
        <f t="shared" si="1"/>
        <v>58377162.413119234</v>
      </c>
    </row>
    <row r="28" spans="1:8">
      <c r="A28" s="469">
        <v>13</v>
      </c>
      <c r="B28" s="447" t="s">
        <v>586</v>
      </c>
      <c r="C28" s="588">
        <v>-5994</v>
      </c>
      <c r="D28" s="588">
        <v>0</v>
      </c>
      <c r="E28" s="591">
        <f t="shared" si="0"/>
        <v>-5994</v>
      </c>
      <c r="F28" s="588">
        <v>-8083</v>
      </c>
      <c r="G28" s="588">
        <v>0</v>
      </c>
      <c r="H28" s="591">
        <f t="shared" si="1"/>
        <v>-8083</v>
      </c>
    </row>
    <row r="29" spans="1:8">
      <c r="A29" s="469">
        <v>14</v>
      </c>
      <c r="B29" s="448" t="s">
        <v>587</v>
      </c>
      <c r="C29" s="587">
        <f>SUM(C30:C31)</f>
        <v>-17132376.620000001</v>
      </c>
      <c r="D29" s="587">
        <f>SUM(D30:D31)</f>
        <v>-457697</v>
      </c>
      <c r="E29" s="590">
        <f t="shared" si="0"/>
        <v>-17590073.620000001</v>
      </c>
      <c r="F29" s="587">
        <f>SUM(F30:F31)</f>
        <v>-9613402.0357023925</v>
      </c>
      <c r="G29" s="587">
        <f>SUM(G30:G31)</f>
        <v>-162515</v>
      </c>
      <c r="H29" s="590">
        <f t="shared" si="1"/>
        <v>-9775917.0357023925</v>
      </c>
    </row>
    <row r="30" spans="1:8">
      <c r="A30" s="469">
        <v>14.1</v>
      </c>
      <c r="B30" s="421" t="s">
        <v>588</v>
      </c>
      <c r="C30" s="588">
        <v>-10879675</v>
      </c>
      <c r="D30" s="588">
        <v>-2502</v>
      </c>
      <c r="E30" s="591">
        <f t="shared" si="0"/>
        <v>-10882177</v>
      </c>
      <c r="F30" s="588">
        <v>-6186589.9257023931</v>
      </c>
      <c r="G30" s="588">
        <v>0</v>
      </c>
      <c r="H30" s="591">
        <f t="shared" si="1"/>
        <v>-6186589.9257023931</v>
      </c>
    </row>
    <row r="31" spans="1:8">
      <c r="A31" s="469">
        <v>14.2</v>
      </c>
      <c r="B31" s="421" t="s">
        <v>589</v>
      </c>
      <c r="C31" s="588">
        <v>-6252701.620000001</v>
      </c>
      <c r="D31" s="588">
        <v>-455195</v>
      </c>
      <c r="E31" s="591">
        <f t="shared" si="0"/>
        <v>-6707896.620000001</v>
      </c>
      <c r="F31" s="588">
        <v>-3426812.1099999989</v>
      </c>
      <c r="G31" s="588">
        <v>-162515</v>
      </c>
      <c r="H31" s="591">
        <f t="shared" si="1"/>
        <v>-3589327.1099999989</v>
      </c>
    </row>
    <row r="32" spans="1:8">
      <c r="A32" s="469">
        <v>15</v>
      </c>
      <c r="B32" s="449" t="s">
        <v>590</v>
      </c>
      <c r="C32" s="588">
        <v>-1240918.0000000002</v>
      </c>
      <c r="D32" s="588">
        <v>0</v>
      </c>
      <c r="E32" s="591">
        <f t="shared" si="0"/>
        <v>-1240918.0000000002</v>
      </c>
      <c r="F32" s="588">
        <v>-992048</v>
      </c>
      <c r="G32" s="588">
        <v>0</v>
      </c>
      <c r="H32" s="591">
        <f t="shared" si="1"/>
        <v>-992048</v>
      </c>
    </row>
    <row r="33" spans="1:8" ht="22.5" customHeight="1">
      <c r="A33" s="469">
        <v>16</v>
      </c>
      <c r="B33" s="417" t="s">
        <v>591</v>
      </c>
      <c r="C33" s="588">
        <v>0</v>
      </c>
      <c r="D33" s="588">
        <v>0</v>
      </c>
      <c r="E33" s="591">
        <f t="shared" si="0"/>
        <v>0</v>
      </c>
      <c r="F33" s="588">
        <v>0</v>
      </c>
      <c r="G33" s="588">
        <v>0</v>
      </c>
      <c r="H33" s="591">
        <f t="shared" si="1"/>
        <v>0</v>
      </c>
    </row>
    <row r="34" spans="1:8">
      <c r="A34" s="469">
        <v>17</v>
      </c>
      <c r="B34" s="444" t="s">
        <v>592</v>
      </c>
      <c r="C34" s="587">
        <f>SUM(C35:C36)</f>
        <v>-420124.63000000006</v>
      </c>
      <c r="D34" s="587">
        <f>SUM(D35:D36)</f>
        <v>90333.06</v>
      </c>
      <c r="E34" s="590">
        <f t="shared" si="0"/>
        <v>-329791.57000000007</v>
      </c>
      <c r="F34" s="587">
        <f>SUM(F35:F36)</f>
        <v>-260102.8</v>
      </c>
      <c r="G34" s="587">
        <f>SUM(G35:G36)</f>
        <v>-860.65</v>
      </c>
      <c r="H34" s="591">
        <f t="shared" si="1"/>
        <v>-260963.44999999998</v>
      </c>
    </row>
    <row r="35" spans="1:8">
      <c r="A35" s="469">
        <v>17.100000000000001</v>
      </c>
      <c r="B35" s="450" t="s">
        <v>593</v>
      </c>
      <c r="C35" s="588">
        <v>-420124.63000000006</v>
      </c>
      <c r="D35" s="588">
        <v>90333.06</v>
      </c>
      <c r="E35" s="591">
        <f t="shared" si="0"/>
        <v>-329791.57000000007</v>
      </c>
      <c r="F35" s="588">
        <v>-260102.8</v>
      </c>
      <c r="G35" s="588">
        <v>-860.65</v>
      </c>
      <c r="H35" s="591">
        <f t="shared" si="1"/>
        <v>-260963.44999999998</v>
      </c>
    </row>
    <row r="36" spans="1:8">
      <c r="A36" s="469">
        <v>17.2</v>
      </c>
      <c r="B36" s="421" t="s">
        <v>594</v>
      </c>
      <c r="C36" s="588"/>
      <c r="D36" s="588"/>
      <c r="E36" s="591">
        <f t="shared" si="0"/>
        <v>0</v>
      </c>
      <c r="F36" s="588"/>
      <c r="G36" s="588"/>
      <c r="H36" s="591">
        <f t="shared" si="1"/>
        <v>0</v>
      </c>
    </row>
    <row r="37" spans="1:8" ht="41.45" customHeight="1">
      <c r="A37" s="469">
        <v>18</v>
      </c>
      <c r="B37" s="451" t="s">
        <v>595</v>
      </c>
      <c r="C37" s="587">
        <f>SUM(C38:C39)</f>
        <v>-1264993.7193394648</v>
      </c>
      <c r="D37" s="587">
        <f>SUM(D38:D39)</f>
        <v>-417653.68000000063</v>
      </c>
      <c r="E37" s="590">
        <f t="shared" si="0"/>
        <v>-1682647.3993394654</v>
      </c>
      <c r="F37" s="587">
        <f>SUM(F38:F39)</f>
        <v>-36360059.141699433</v>
      </c>
      <c r="G37" s="587">
        <f>SUM(G38:G39)</f>
        <v>-4188828.3200000003</v>
      </c>
      <c r="H37" s="590">
        <f t="shared" si="1"/>
        <v>-40548887.461699434</v>
      </c>
    </row>
    <row r="38" spans="1:8" ht="21">
      <c r="A38" s="469">
        <v>18.100000000000001</v>
      </c>
      <c r="B38" s="436" t="s">
        <v>596</v>
      </c>
      <c r="C38" s="588"/>
      <c r="D38" s="588"/>
      <c r="E38" s="591">
        <f t="shared" si="0"/>
        <v>0</v>
      </c>
      <c r="F38" s="588"/>
      <c r="G38" s="588"/>
      <c r="H38" s="591">
        <f t="shared" si="1"/>
        <v>0</v>
      </c>
    </row>
    <row r="39" spans="1:8">
      <c r="A39" s="469">
        <v>18.2</v>
      </c>
      <c r="B39" s="436" t="s">
        <v>597</v>
      </c>
      <c r="C39" s="588">
        <v>-1264993.7193394648</v>
      </c>
      <c r="D39" s="588">
        <v>-417653.68000000063</v>
      </c>
      <c r="E39" s="591">
        <f t="shared" si="0"/>
        <v>-1682647.3993394654</v>
      </c>
      <c r="F39" s="588">
        <v>-36360059.141699433</v>
      </c>
      <c r="G39" s="588">
        <v>-4188828.3200000003</v>
      </c>
      <c r="H39" s="591">
        <f t="shared" si="1"/>
        <v>-40548887.461699434</v>
      </c>
    </row>
    <row r="40" spans="1:8" ht="24.6" customHeight="1">
      <c r="A40" s="469">
        <v>19</v>
      </c>
      <c r="B40" s="451" t="s">
        <v>598</v>
      </c>
      <c r="C40" s="588"/>
      <c r="D40" s="588"/>
      <c r="E40" s="591">
        <f t="shared" si="0"/>
        <v>0</v>
      </c>
      <c r="F40" s="588"/>
      <c r="G40" s="588"/>
      <c r="H40" s="591">
        <f t="shared" si="1"/>
        <v>0</v>
      </c>
    </row>
    <row r="41" spans="1:8" ht="24.95" customHeight="1">
      <c r="A41" s="469">
        <v>20</v>
      </c>
      <c r="B41" s="451" t="s">
        <v>599</v>
      </c>
      <c r="C41" s="588"/>
      <c r="D41" s="588"/>
      <c r="E41" s="591">
        <f t="shared" si="0"/>
        <v>0</v>
      </c>
      <c r="F41" s="588"/>
      <c r="G41" s="588"/>
      <c r="H41" s="591">
        <f t="shared" si="1"/>
        <v>0</v>
      </c>
    </row>
    <row r="42" spans="1:8" ht="33" customHeight="1">
      <c r="A42" s="469">
        <v>21</v>
      </c>
      <c r="B42" s="452" t="s">
        <v>600</v>
      </c>
      <c r="C42" s="588"/>
      <c r="D42" s="588"/>
      <c r="E42" s="591">
        <f t="shared" si="0"/>
        <v>0</v>
      </c>
      <c r="F42" s="588"/>
      <c r="G42" s="588"/>
      <c r="H42" s="591">
        <f t="shared" si="1"/>
        <v>0</v>
      </c>
    </row>
    <row r="43" spans="1:8">
      <c r="A43" s="469">
        <v>22</v>
      </c>
      <c r="B43" s="453" t="s">
        <v>601</v>
      </c>
      <c r="C43" s="587">
        <f>SUM(C6,C13,C18,C19,C20,C21,C22,C23,C24,C25,C26,C27,C28,C29,C32,C33,C34,C37,C40,C41,C42)</f>
        <v>2823708.2591375019</v>
      </c>
      <c r="D43" s="587">
        <f>SUM(D6,D13,D18,D19,D20,D21,D22,D23,D24,D25,D26,D27,D28,D29,D32,D33,D34,D37,D40,D41,D42)</f>
        <v>13552063.044299997</v>
      </c>
      <c r="E43" s="590">
        <f t="shared" si="0"/>
        <v>16375771.303437499</v>
      </c>
      <c r="F43" s="587">
        <f>SUM(F6,F13,F18,F19,F20,F21,F22,F23,F24,F25,F26,F27,F28,F29,F32,F33,F34,F37,F40,F41,F42)</f>
        <v>31899575.676903978</v>
      </c>
      <c r="G43" s="587">
        <f>SUM(G6,G13,G18,G19,G20,G21,G22,G23,G24,G25,G26,G27,G28,G29,G32,G33,G34,G37,G40,G41,G42)</f>
        <v>4900810.348892061</v>
      </c>
      <c r="H43" s="590">
        <f t="shared" si="1"/>
        <v>36800386.025796041</v>
      </c>
    </row>
    <row r="44" spans="1:8">
      <c r="A44" s="469">
        <v>23</v>
      </c>
      <c r="B44" s="453" t="s">
        <v>602</v>
      </c>
      <c r="C44" s="588">
        <v>1823744.9874095507</v>
      </c>
      <c r="D44" s="588">
        <v>0</v>
      </c>
      <c r="E44" s="591">
        <f t="shared" si="0"/>
        <v>1823744.9874095507</v>
      </c>
      <c r="F44" s="588">
        <v>6694563.1396175642</v>
      </c>
      <c r="G44" s="588">
        <v>0</v>
      </c>
      <c r="H44" s="591">
        <f t="shared" si="1"/>
        <v>6694563.1396175642</v>
      </c>
    </row>
    <row r="45" spans="1:8">
      <c r="A45" s="469">
        <v>24</v>
      </c>
      <c r="B45" s="453" t="s">
        <v>603</v>
      </c>
      <c r="C45" s="595">
        <f>C43-C44</f>
        <v>999963.27172795124</v>
      </c>
      <c r="D45" s="595">
        <f>D43-D44</f>
        <v>13552063.044299997</v>
      </c>
      <c r="E45" s="596">
        <f t="shared" si="0"/>
        <v>14552026.316027949</v>
      </c>
      <c r="F45" s="595">
        <f>F43-F44</f>
        <v>25205012.537286416</v>
      </c>
      <c r="G45" s="595">
        <f>G43-G44</f>
        <v>4900810.348892061</v>
      </c>
      <c r="H45" s="596">
        <f t="shared" si="1"/>
        <v>30105822.886178479</v>
      </c>
    </row>
  </sheetData>
  <mergeCells count="4">
    <mergeCell ref="B4:B5"/>
    <mergeCell ref="C4:E4"/>
    <mergeCell ref="F4:H4"/>
    <mergeCell ref="A4:A5"/>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P32" sqref="P32"/>
    </sheetView>
  </sheetViews>
  <sheetFormatPr defaultRowHeight="15"/>
  <cols>
    <col min="1" max="1" width="8.7109375" style="467"/>
    <col min="2" max="2" width="87.5703125" bestFit="1" customWidth="1"/>
    <col min="3" max="4" width="12.7109375" customWidth="1"/>
    <col min="5" max="5" width="13.140625" bestFit="1" customWidth="1"/>
    <col min="6" max="6" width="12.7109375" customWidth="1"/>
    <col min="7" max="8" width="13.140625" bestFit="1" customWidth="1"/>
    <col min="9" max="9" width="16.42578125" customWidth="1"/>
  </cols>
  <sheetData>
    <row r="1" spans="1:14" ht="15.75">
      <c r="A1" s="16" t="s">
        <v>108</v>
      </c>
      <c r="B1" s="319" t="str">
        <f>Info!C2</f>
        <v>სს "ბაზისბანკი"</v>
      </c>
      <c r="C1" s="15"/>
      <c r="D1" s="234"/>
      <c r="E1" s="234"/>
      <c r="F1" s="234"/>
      <c r="G1" s="234"/>
    </row>
    <row r="2" spans="1:14" ht="15.75">
      <c r="A2" s="16" t="s">
        <v>109</v>
      </c>
      <c r="B2" s="354">
        <f>'1. key ratios'!B2</f>
        <v>45016</v>
      </c>
      <c r="C2" s="28"/>
      <c r="D2" s="17"/>
      <c r="E2" s="17"/>
      <c r="F2" s="17"/>
      <c r="G2" s="17"/>
      <c r="H2" s="1"/>
    </row>
    <row r="3" spans="1:14" ht="16.5" thickBot="1">
      <c r="A3" s="16"/>
      <c r="B3" s="15"/>
      <c r="C3" s="28"/>
      <c r="D3" s="17"/>
      <c r="E3" s="17"/>
      <c r="F3" s="17"/>
      <c r="G3" s="17"/>
      <c r="H3" s="1"/>
    </row>
    <row r="4" spans="1:14" ht="15.75">
      <c r="A4" s="776" t="s">
        <v>25</v>
      </c>
      <c r="B4" s="785" t="s">
        <v>151</v>
      </c>
      <c r="C4" s="786" t="s">
        <v>114</v>
      </c>
      <c r="D4" s="786"/>
      <c r="E4" s="786"/>
      <c r="F4" s="786" t="s">
        <v>115</v>
      </c>
      <c r="G4" s="786"/>
      <c r="H4" s="787"/>
    </row>
    <row r="5" spans="1:14">
      <c r="A5" s="776"/>
      <c r="B5" s="785"/>
      <c r="C5" s="440" t="s">
        <v>26</v>
      </c>
      <c r="D5" s="440" t="s">
        <v>88</v>
      </c>
      <c r="E5" s="440" t="s">
        <v>66</v>
      </c>
      <c r="F5" s="440" t="s">
        <v>26</v>
      </c>
      <c r="G5" s="440" t="s">
        <v>88</v>
      </c>
      <c r="H5" s="454" t="s">
        <v>66</v>
      </c>
    </row>
    <row r="6" spans="1:14" ht="15.75">
      <c r="A6" s="455">
        <v>1</v>
      </c>
      <c r="B6" s="459" t="s">
        <v>604</v>
      </c>
      <c r="C6" s="456">
        <v>165000</v>
      </c>
      <c r="D6" s="456">
        <v>52180952</v>
      </c>
      <c r="E6" s="457">
        <f t="shared" ref="E6:E43" si="0">C6+D6</f>
        <v>52345952</v>
      </c>
      <c r="F6" s="456">
        <v>117000</v>
      </c>
      <c r="G6" s="456"/>
      <c r="H6" s="458">
        <f t="shared" ref="H6:H43" si="1">F6+G6</f>
        <v>117000</v>
      </c>
      <c r="L6" s="633"/>
      <c r="M6" s="633"/>
      <c r="N6" s="633"/>
    </row>
    <row r="7" spans="1:14" ht="15.75">
      <c r="A7" s="455">
        <v>2</v>
      </c>
      <c r="B7" s="459" t="s">
        <v>177</v>
      </c>
      <c r="C7" s="456">
        <v>0</v>
      </c>
      <c r="D7" s="456">
        <v>36183608</v>
      </c>
      <c r="E7" s="457">
        <f t="shared" si="0"/>
        <v>36183608</v>
      </c>
      <c r="F7" s="456"/>
      <c r="G7" s="456">
        <v>48261000</v>
      </c>
      <c r="H7" s="458">
        <f t="shared" si="1"/>
        <v>48261000</v>
      </c>
      <c r="L7" s="633"/>
      <c r="M7" s="633"/>
      <c r="N7" s="633"/>
    </row>
    <row r="8" spans="1:14" ht="15.75">
      <c r="A8" s="455">
        <v>3</v>
      </c>
      <c r="B8" s="459" t="s">
        <v>179</v>
      </c>
      <c r="C8" s="456">
        <f>C9+C10</f>
        <v>56539127.189860001</v>
      </c>
      <c r="D8" s="456">
        <f>D9+D10</f>
        <v>711161673.62294102</v>
      </c>
      <c r="E8" s="457">
        <f t="shared" si="0"/>
        <v>767700800.812801</v>
      </c>
      <c r="F8" s="456">
        <v>32733404.720887002</v>
      </c>
      <c r="G8" s="456">
        <v>627253706.51822996</v>
      </c>
      <c r="H8" s="458">
        <f t="shared" si="1"/>
        <v>659987111.23911691</v>
      </c>
      <c r="L8" s="633"/>
      <c r="M8" s="633"/>
      <c r="N8" s="633"/>
    </row>
    <row r="9" spans="1:14" ht="15.75">
      <c r="A9" s="455">
        <v>3.1</v>
      </c>
      <c r="B9" s="460" t="s">
        <v>605</v>
      </c>
      <c r="C9" s="456">
        <v>39981058.049860001</v>
      </c>
      <c r="D9" s="456">
        <v>710635459.12294102</v>
      </c>
      <c r="E9" s="457">
        <f t="shared" si="0"/>
        <v>750616517.17280102</v>
      </c>
      <c r="F9" s="456">
        <v>30675904.720887002</v>
      </c>
      <c r="G9" s="456">
        <v>625614858.64752996</v>
      </c>
      <c r="H9" s="458">
        <f t="shared" si="1"/>
        <v>656290763.36841691</v>
      </c>
      <c r="L9" s="633"/>
      <c r="M9" s="633"/>
      <c r="N9" s="633"/>
    </row>
    <row r="10" spans="1:14" ht="15.75">
      <c r="A10" s="455">
        <v>3.2</v>
      </c>
      <c r="B10" s="460" t="s">
        <v>606</v>
      </c>
      <c r="C10" s="456">
        <v>16558069.140000001</v>
      </c>
      <c r="D10" s="456">
        <v>526214.5</v>
      </c>
      <c r="E10" s="457">
        <f t="shared" si="0"/>
        <v>17084283.640000001</v>
      </c>
      <c r="F10" s="456">
        <v>2057500</v>
      </c>
      <c r="G10" s="456">
        <v>1638847.8707000001</v>
      </c>
      <c r="H10" s="458">
        <f t="shared" si="1"/>
        <v>3696347.8706999999</v>
      </c>
      <c r="L10" s="633"/>
      <c r="M10" s="633"/>
      <c r="N10" s="633"/>
    </row>
    <row r="11" spans="1:14" ht="15.75">
      <c r="A11" s="455">
        <v>4</v>
      </c>
      <c r="B11" s="459" t="s">
        <v>178</v>
      </c>
      <c r="C11" s="456">
        <f>C12+C13</f>
        <v>293321111</v>
      </c>
      <c r="D11" s="456">
        <f>D12+D13</f>
        <v>0</v>
      </c>
      <c r="E11" s="457">
        <f t="shared" si="0"/>
        <v>293321111</v>
      </c>
      <c r="F11" s="456">
        <v>370236123</v>
      </c>
      <c r="G11" s="456">
        <v>0</v>
      </c>
      <c r="H11" s="458">
        <f t="shared" si="1"/>
        <v>370236123</v>
      </c>
      <c r="L11" s="633"/>
      <c r="M11" s="633"/>
      <c r="N11" s="633"/>
    </row>
    <row r="12" spans="1:14" ht="15.75">
      <c r="A12" s="455">
        <v>4.0999999999999996</v>
      </c>
      <c r="B12" s="460" t="s">
        <v>607</v>
      </c>
      <c r="C12" s="456">
        <v>293321111</v>
      </c>
      <c r="D12" s="456"/>
      <c r="E12" s="457">
        <f t="shared" si="0"/>
        <v>293321111</v>
      </c>
      <c r="F12" s="456">
        <v>370236123</v>
      </c>
      <c r="G12" s="456"/>
      <c r="H12" s="458">
        <f t="shared" si="1"/>
        <v>370236123</v>
      </c>
      <c r="L12" s="633"/>
      <c r="M12" s="633"/>
      <c r="N12" s="633"/>
    </row>
    <row r="13" spans="1:14" ht="15.75">
      <c r="A13" s="455">
        <v>4.2</v>
      </c>
      <c r="B13" s="460" t="s">
        <v>608</v>
      </c>
      <c r="C13" s="456"/>
      <c r="D13" s="456"/>
      <c r="E13" s="457">
        <f t="shared" si="0"/>
        <v>0</v>
      </c>
      <c r="F13" s="456"/>
      <c r="G13" s="456"/>
      <c r="H13" s="458">
        <f t="shared" si="1"/>
        <v>0</v>
      </c>
      <c r="L13" s="633"/>
      <c r="M13" s="633"/>
      <c r="N13" s="633"/>
    </row>
    <row r="14" spans="1:14" ht="15.75">
      <c r="A14" s="455">
        <v>5</v>
      </c>
      <c r="B14" s="461" t="s">
        <v>609</v>
      </c>
      <c r="C14" s="456">
        <f>C15+C16+C17+C23+C24+C25+C26</f>
        <v>95187766.929999992</v>
      </c>
      <c r="D14" s="456">
        <f>D15+D16+D17+D23+D24+D25+D26</f>
        <v>3831776102.0688</v>
      </c>
      <c r="E14" s="457">
        <f t="shared" si="0"/>
        <v>3926963868.9987998</v>
      </c>
      <c r="F14" s="456">
        <v>107570093.73</v>
      </c>
      <c r="G14" s="456">
        <v>4069551814.1530995</v>
      </c>
      <c r="H14" s="458">
        <f t="shared" si="1"/>
        <v>4177121907.8830996</v>
      </c>
      <c r="L14" s="633"/>
      <c r="M14" s="633"/>
      <c r="N14" s="633"/>
    </row>
    <row r="15" spans="1:14" ht="15.75">
      <c r="A15" s="455">
        <v>5.0999999999999996</v>
      </c>
      <c r="B15" s="462" t="s">
        <v>610</v>
      </c>
      <c r="C15" s="456">
        <v>26846792.239999998</v>
      </c>
      <c r="D15" s="456">
        <v>58837893.764700003</v>
      </c>
      <c r="E15" s="457">
        <f t="shared" si="0"/>
        <v>85684686.004700005</v>
      </c>
      <c r="F15" s="456">
        <v>13588785.210000001</v>
      </c>
      <c r="G15" s="456">
        <v>64681539.672399998</v>
      </c>
      <c r="H15" s="458">
        <f t="shared" si="1"/>
        <v>78270324.882400006</v>
      </c>
      <c r="L15" s="633"/>
      <c r="M15" s="633"/>
      <c r="N15" s="633"/>
    </row>
    <row r="16" spans="1:14" ht="15.75">
      <c r="A16" s="455">
        <v>5.2</v>
      </c>
      <c r="B16" s="462" t="s">
        <v>611</v>
      </c>
      <c r="C16" s="456">
        <v>0</v>
      </c>
      <c r="D16" s="456">
        <v>0</v>
      </c>
      <c r="E16" s="457">
        <f t="shared" si="0"/>
        <v>0</v>
      </c>
      <c r="F16" s="456">
        <v>0</v>
      </c>
      <c r="G16" s="456">
        <v>0</v>
      </c>
      <c r="H16" s="458">
        <f t="shared" si="1"/>
        <v>0</v>
      </c>
      <c r="L16" s="633"/>
      <c r="M16" s="633"/>
      <c r="N16" s="633"/>
    </row>
    <row r="17" spans="1:14" ht="15.75">
      <c r="A17" s="455">
        <v>5.3</v>
      </c>
      <c r="B17" s="462" t="s">
        <v>612</v>
      </c>
      <c r="C17" s="456">
        <f>C18+C19+C20+C21+C22</f>
        <v>23763814.66</v>
      </c>
      <c r="D17" s="456">
        <f>D18+D19+D20+D21+D22</f>
        <v>3419943257.5924001</v>
      </c>
      <c r="E17" s="457">
        <f t="shared" si="0"/>
        <v>3443707072.2523999</v>
      </c>
      <c r="F17" s="456">
        <v>28354206.300000001</v>
      </c>
      <c r="G17" s="456">
        <v>3648976556.6167998</v>
      </c>
      <c r="H17" s="458">
        <f t="shared" si="1"/>
        <v>3677330762.9168</v>
      </c>
      <c r="L17" s="633"/>
      <c r="M17" s="633"/>
      <c r="N17" s="633"/>
    </row>
    <row r="18" spans="1:14" ht="15.75">
      <c r="A18" s="455" t="s">
        <v>180</v>
      </c>
      <c r="B18" s="463" t="s">
        <v>613</v>
      </c>
      <c r="C18" s="456">
        <v>2621584.2400000002</v>
      </c>
      <c r="D18" s="456">
        <v>1183739875.8840001</v>
      </c>
      <c r="E18" s="457">
        <f t="shared" si="0"/>
        <v>1186361460.1240001</v>
      </c>
      <c r="F18" s="456">
        <v>2627863.7000000002</v>
      </c>
      <c r="G18" s="456">
        <v>1219500796.5895</v>
      </c>
      <c r="H18" s="458">
        <f t="shared" si="1"/>
        <v>1222128660.2895</v>
      </c>
      <c r="L18" s="633"/>
      <c r="M18" s="633"/>
      <c r="N18" s="633"/>
    </row>
    <row r="19" spans="1:14" ht="15.75">
      <c r="A19" s="455" t="s">
        <v>181</v>
      </c>
      <c r="B19" s="464" t="s">
        <v>614</v>
      </c>
      <c r="C19" s="456">
        <v>316862.40000000002</v>
      </c>
      <c r="D19" s="456">
        <v>1032658076.0585001</v>
      </c>
      <c r="E19" s="457">
        <f t="shared" si="0"/>
        <v>1032974938.4585</v>
      </c>
      <c r="F19" s="456">
        <v>316862.40000000002</v>
      </c>
      <c r="G19" s="456">
        <v>974660140.69410002</v>
      </c>
      <c r="H19" s="458">
        <f t="shared" si="1"/>
        <v>974977003.0941</v>
      </c>
      <c r="L19" s="633"/>
      <c r="M19" s="633"/>
      <c r="N19" s="633"/>
    </row>
    <row r="20" spans="1:14" ht="15.75">
      <c r="A20" s="455" t="s">
        <v>182</v>
      </c>
      <c r="B20" s="464" t="s">
        <v>615</v>
      </c>
      <c r="C20" s="456">
        <v>0</v>
      </c>
      <c r="D20" s="456">
        <v>0</v>
      </c>
      <c r="E20" s="457">
        <f t="shared" si="0"/>
        <v>0</v>
      </c>
      <c r="F20" s="456">
        <v>0</v>
      </c>
      <c r="G20" s="456">
        <v>0</v>
      </c>
      <c r="H20" s="458">
        <f t="shared" si="1"/>
        <v>0</v>
      </c>
      <c r="L20" s="633"/>
      <c r="M20" s="633"/>
      <c r="N20" s="633"/>
    </row>
    <row r="21" spans="1:14" ht="15.75">
      <c r="A21" s="455" t="s">
        <v>183</v>
      </c>
      <c r="B21" s="464" t="s">
        <v>616</v>
      </c>
      <c r="C21" s="456">
        <v>349246.71999999997</v>
      </c>
      <c r="D21" s="456">
        <v>711057884.51540005</v>
      </c>
      <c r="E21" s="457">
        <f t="shared" si="0"/>
        <v>711407131.23540008</v>
      </c>
      <c r="F21" s="456">
        <v>497702.41</v>
      </c>
      <c r="G21" s="456">
        <v>724632764.67519999</v>
      </c>
      <c r="H21" s="458">
        <f t="shared" si="1"/>
        <v>725130467.08519995</v>
      </c>
      <c r="L21" s="633"/>
      <c r="M21" s="633"/>
      <c r="N21" s="633"/>
    </row>
    <row r="22" spans="1:14" ht="15.75">
      <c r="A22" s="455" t="s">
        <v>184</v>
      </c>
      <c r="B22" s="464" t="s">
        <v>426</v>
      </c>
      <c r="C22" s="456">
        <v>20476121.300000001</v>
      </c>
      <c r="D22" s="456">
        <v>492487421.13450003</v>
      </c>
      <c r="E22" s="457">
        <f t="shared" si="0"/>
        <v>512963542.43450004</v>
      </c>
      <c r="F22" s="456">
        <v>24911777.789999999</v>
      </c>
      <c r="G22" s="456">
        <v>730182854.65799999</v>
      </c>
      <c r="H22" s="458">
        <f t="shared" si="1"/>
        <v>755094632.44799995</v>
      </c>
      <c r="L22" s="633"/>
      <c r="M22" s="633"/>
      <c r="N22" s="633"/>
    </row>
    <row r="23" spans="1:14" ht="15.75">
      <c r="A23" s="455">
        <v>5.4</v>
      </c>
      <c r="B23" s="462" t="s">
        <v>617</v>
      </c>
      <c r="C23" s="456">
        <v>17058113.309999999</v>
      </c>
      <c r="D23" s="456">
        <v>72024052.142499998</v>
      </c>
      <c r="E23" s="457">
        <f t="shared" si="0"/>
        <v>89082165.452500001</v>
      </c>
      <c r="F23" s="456">
        <v>40785046.5</v>
      </c>
      <c r="G23" s="456">
        <v>26079369.332400002</v>
      </c>
      <c r="H23" s="458">
        <f t="shared" si="1"/>
        <v>66864415.832400002</v>
      </c>
      <c r="L23" s="633"/>
      <c r="M23" s="633"/>
      <c r="N23" s="633"/>
    </row>
    <row r="24" spans="1:14" ht="15.75">
      <c r="A24" s="455">
        <v>5.5</v>
      </c>
      <c r="B24" s="462" t="s">
        <v>618</v>
      </c>
      <c r="C24" s="456">
        <v>19219046.719999999</v>
      </c>
      <c r="D24" s="456">
        <v>280970898.56919998</v>
      </c>
      <c r="E24" s="457">
        <f t="shared" si="0"/>
        <v>300189945.28919995</v>
      </c>
      <c r="F24" s="456">
        <v>19219038.719999999</v>
      </c>
      <c r="G24" s="456">
        <v>329504218.53149998</v>
      </c>
      <c r="H24" s="458">
        <f t="shared" si="1"/>
        <v>348723257.25150001</v>
      </c>
      <c r="L24" s="633"/>
      <c r="M24" s="633"/>
      <c r="N24" s="633"/>
    </row>
    <row r="25" spans="1:14" ht="15.75">
      <c r="A25" s="455">
        <v>5.6</v>
      </c>
      <c r="B25" s="462" t="s">
        <v>619</v>
      </c>
      <c r="C25" s="456">
        <v>8300000</v>
      </c>
      <c r="D25" s="456">
        <v>0</v>
      </c>
      <c r="E25" s="457">
        <f t="shared" si="0"/>
        <v>8300000</v>
      </c>
      <c r="F25" s="456">
        <v>5623017</v>
      </c>
      <c r="G25" s="456">
        <v>310130</v>
      </c>
      <c r="H25" s="458">
        <f t="shared" si="1"/>
        <v>5933147</v>
      </c>
      <c r="L25" s="633"/>
      <c r="M25" s="633"/>
      <c r="N25" s="633"/>
    </row>
    <row r="26" spans="1:14" ht="15.75">
      <c r="A26" s="455">
        <v>5.7</v>
      </c>
      <c r="B26" s="462" t="s">
        <v>426</v>
      </c>
      <c r="C26" s="456"/>
      <c r="D26" s="456"/>
      <c r="E26" s="457">
        <f t="shared" si="0"/>
        <v>0</v>
      </c>
      <c r="F26" s="456">
        <v>0</v>
      </c>
      <c r="G26" s="456">
        <v>0</v>
      </c>
      <c r="H26" s="458">
        <f t="shared" si="1"/>
        <v>0</v>
      </c>
      <c r="L26" s="633"/>
      <c r="M26" s="633"/>
      <c r="N26" s="633"/>
    </row>
    <row r="27" spans="1:14" ht="15.75">
      <c r="A27" s="455">
        <v>6</v>
      </c>
      <c r="B27" s="461" t="s">
        <v>620</v>
      </c>
      <c r="C27" s="456">
        <v>164562515.97999999</v>
      </c>
      <c r="D27" s="456">
        <v>166039569.8369</v>
      </c>
      <c r="E27" s="457">
        <f t="shared" si="0"/>
        <v>330602085.81690001</v>
      </c>
      <c r="F27" s="456">
        <v>110080780.17</v>
      </c>
      <c r="G27" s="456">
        <v>59539223.834100001</v>
      </c>
      <c r="H27" s="458">
        <f t="shared" si="1"/>
        <v>169620004.00409999</v>
      </c>
      <c r="L27" s="633"/>
      <c r="M27" s="633"/>
      <c r="N27" s="633"/>
    </row>
    <row r="28" spans="1:14" ht="15.75">
      <c r="A28" s="455">
        <v>7</v>
      </c>
      <c r="B28" s="461" t="s">
        <v>621</v>
      </c>
      <c r="C28" s="456">
        <v>110767815.95</v>
      </c>
      <c r="D28" s="456">
        <v>53700379.739500001</v>
      </c>
      <c r="E28" s="457">
        <f t="shared" si="0"/>
        <v>164468195.6895</v>
      </c>
      <c r="F28" s="456">
        <v>83664420.290000007</v>
      </c>
      <c r="G28" s="456">
        <v>37270357.194700003</v>
      </c>
      <c r="H28" s="458">
        <f t="shared" si="1"/>
        <v>120934777.48470001</v>
      </c>
      <c r="L28" s="633"/>
      <c r="M28" s="633"/>
      <c r="N28" s="633"/>
    </row>
    <row r="29" spans="1:14" ht="15.75">
      <c r="A29" s="455">
        <v>8</v>
      </c>
      <c r="B29" s="461" t="s">
        <v>622</v>
      </c>
      <c r="C29" s="456">
        <v>0</v>
      </c>
      <c r="D29" s="456">
        <v>2856296.0555000002</v>
      </c>
      <c r="E29" s="457">
        <f t="shared" si="0"/>
        <v>2856296.0555000002</v>
      </c>
      <c r="F29" s="456"/>
      <c r="G29" s="456">
        <v>619329.61</v>
      </c>
      <c r="H29" s="458">
        <f t="shared" si="1"/>
        <v>619329.61</v>
      </c>
      <c r="L29" s="633"/>
      <c r="M29" s="633"/>
      <c r="N29" s="633"/>
    </row>
    <row r="30" spans="1:14" ht="15.75">
      <c r="A30" s="455">
        <v>9</v>
      </c>
      <c r="B30" s="459" t="s">
        <v>185</v>
      </c>
      <c r="C30" s="456">
        <f>C31+C32+C33+C34+C35+C36+C37</f>
        <v>69902000</v>
      </c>
      <c r="D30" s="456">
        <f>D31+D32+D33+D34+D35+D36+D37</f>
        <v>67397000</v>
      </c>
      <c r="E30" s="457">
        <f t="shared" si="0"/>
        <v>137299000</v>
      </c>
      <c r="F30" s="456">
        <v>0</v>
      </c>
      <c r="G30" s="456">
        <v>0</v>
      </c>
      <c r="H30" s="458">
        <f t="shared" si="1"/>
        <v>0</v>
      </c>
      <c r="L30" s="633"/>
      <c r="M30" s="633"/>
      <c r="N30" s="633"/>
    </row>
    <row r="31" spans="1:14" ht="25.5">
      <c r="A31" s="455">
        <v>9.1</v>
      </c>
      <c r="B31" s="460" t="s">
        <v>623</v>
      </c>
      <c r="C31" s="456"/>
      <c r="D31" s="456">
        <v>67397000</v>
      </c>
      <c r="E31" s="457">
        <f t="shared" si="0"/>
        <v>67397000</v>
      </c>
      <c r="F31" s="456"/>
      <c r="G31" s="456"/>
      <c r="H31" s="458">
        <f t="shared" si="1"/>
        <v>0</v>
      </c>
      <c r="L31" s="633"/>
      <c r="M31" s="633"/>
      <c r="N31" s="633"/>
    </row>
    <row r="32" spans="1:14" ht="25.5">
      <c r="A32" s="455">
        <v>9.1999999999999993</v>
      </c>
      <c r="B32" s="460" t="s">
        <v>624</v>
      </c>
      <c r="C32" s="456">
        <v>69902000</v>
      </c>
      <c r="D32" s="456">
        <v>0</v>
      </c>
      <c r="E32" s="457">
        <f t="shared" si="0"/>
        <v>69902000</v>
      </c>
      <c r="F32" s="456"/>
      <c r="G32" s="456"/>
      <c r="H32" s="458">
        <f t="shared" si="1"/>
        <v>0</v>
      </c>
      <c r="L32" s="633"/>
      <c r="M32" s="633"/>
      <c r="N32" s="633"/>
    </row>
    <row r="33" spans="1:14" ht="15.75">
      <c r="A33" s="455">
        <v>9.3000000000000007</v>
      </c>
      <c r="B33" s="460" t="s">
        <v>625</v>
      </c>
      <c r="C33" s="456"/>
      <c r="D33" s="456"/>
      <c r="E33" s="457">
        <f t="shared" si="0"/>
        <v>0</v>
      </c>
      <c r="F33" s="456"/>
      <c r="G33" s="456"/>
      <c r="H33" s="458">
        <f t="shared" si="1"/>
        <v>0</v>
      </c>
      <c r="L33" s="633"/>
      <c r="M33" s="633"/>
      <c r="N33" s="633"/>
    </row>
    <row r="34" spans="1:14" ht="15.75">
      <c r="A34" s="455">
        <v>9.4</v>
      </c>
      <c r="B34" s="460" t="s">
        <v>626</v>
      </c>
      <c r="C34" s="456"/>
      <c r="D34" s="456"/>
      <c r="E34" s="457">
        <f t="shared" si="0"/>
        <v>0</v>
      </c>
      <c r="F34" s="456"/>
      <c r="G34" s="456"/>
      <c r="H34" s="458">
        <f t="shared" si="1"/>
        <v>0</v>
      </c>
      <c r="L34" s="633"/>
      <c r="M34" s="633"/>
      <c r="N34" s="633"/>
    </row>
    <row r="35" spans="1:14" ht="15.75">
      <c r="A35" s="455">
        <v>9.5</v>
      </c>
      <c r="B35" s="460" t="s">
        <v>627</v>
      </c>
      <c r="C35" s="456"/>
      <c r="D35" s="456"/>
      <c r="E35" s="457">
        <f t="shared" si="0"/>
        <v>0</v>
      </c>
      <c r="F35" s="456"/>
      <c r="G35" s="456"/>
      <c r="H35" s="458">
        <f t="shared" si="1"/>
        <v>0</v>
      </c>
      <c r="L35" s="633"/>
      <c r="M35" s="633"/>
      <c r="N35" s="633"/>
    </row>
    <row r="36" spans="1:14" ht="25.5">
      <c r="A36" s="455">
        <v>9.6</v>
      </c>
      <c r="B36" s="460" t="s">
        <v>628</v>
      </c>
      <c r="C36" s="456"/>
      <c r="D36" s="456"/>
      <c r="E36" s="457">
        <f t="shared" si="0"/>
        <v>0</v>
      </c>
      <c r="F36" s="456"/>
      <c r="G36" s="456"/>
      <c r="H36" s="458">
        <f t="shared" si="1"/>
        <v>0</v>
      </c>
      <c r="L36" s="633"/>
      <c r="M36" s="633"/>
      <c r="N36" s="633"/>
    </row>
    <row r="37" spans="1:14" ht="25.5">
      <c r="A37" s="455">
        <v>9.6999999999999993</v>
      </c>
      <c r="B37" s="460" t="s">
        <v>629</v>
      </c>
      <c r="C37" s="456"/>
      <c r="D37" s="456"/>
      <c r="E37" s="457">
        <f t="shared" si="0"/>
        <v>0</v>
      </c>
      <c r="F37" s="456"/>
      <c r="G37" s="456"/>
      <c r="H37" s="458">
        <f t="shared" si="1"/>
        <v>0</v>
      </c>
      <c r="L37" s="633"/>
      <c r="M37" s="633"/>
      <c r="N37" s="633"/>
    </row>
    <row r="38" spans="1:14" ht="15.75">
      <c r="A38" s="455">
        <v>10</v>
      </c>
      <c r="B38" s="465" t="s">
        <v>630</v>
      </c>
      <c r="C38" s="456">
        <f>C39+C40+C41+C42</f>
        <v>76026375.339999869</v>
      </c>
      <c r="D38" s="456">
        <f>D39+D40+D41+D42</f>
        <v>15010828.456742994</v>
      </c>
      <c r="E38" s="457">
        <f t="shared" si="0"/>
        <v>91037203.796742857</v>
      </c>
      <c r="F38" s="456">
        <v>41980323.579999998</v>
      </c>
      <c r="G38" s="456">
        <v>2015563.9979429999</v>
      </c>
      <c r="H38" s="458">
        <f t="shared" si="1"/>
        <v>43995887.577942997</v>
      </c>
      <c r="L38" s="633"/>
      <c r="M38" s="633"/>
      <c r="N38" s="633"/>
    </row>
    <row r="39" spans="1:14" ht="15.75">
      <c r="A39" s="455">
        <v>10.1</v>
      </c>
      <c r="B39" s="460" t="s">
        <v>631</v>
      </c>
      <c r="C39" s="456">
        <v>3942121.89</v>
      </c>
      <c r="D39" s="456">
        <v>0</v>
      </c>
      <c r="E39" s="457">
        <f t="shared" si="0"/>
        <v>3942121.89</v>
      </c>
      <c r="F39" s="456">
        <v>17956977.789999999</v>
      </c>
      <c r="G39" s="456">
        <v>397139.09</v>
      </c>
      <c r="H39" s="458">
        <f t="shared" si="1"/>
        <v>18354116.879999999</v>
      </c>
      <c r="L39" s="633"/>
      <c r="M39" s="633"/>
      <c r="N39" s="633"/>
    </row>
    <row r="40" spans="1:14" ht="25.5">
      <c r="A40" s="455">
        <v>10.199999999999999</v>
      </c>
      <c r="B40" s="460" t="s">
        <v>738</v>
      </c>
      <c r="C40" s="456">
        <v>2915040.8299999996</v>
      </c>
      <c r="D40" s="456">
        <v>935948.20100000047</v>
      </c>
      <c r="E40" s="457">
        <f t="shared" si="0"/>
        <v>3850989.031</v>
      </c>
      <c r="F40" s="456">
        <v>10974664.769999953</v>
      </c>
      <c r="G40" s="456">
        <v>952184.37819999992</v>
      </c>
      <c r="H40" s="458">
        <f t="shared" si="1"/>
        <v>11926849.148199953</v>
      </c>
      <c r="I40" s="634"/>
      <c r="L40" s="633"/>
      <c r="M40" s="633"/>
      <c r="N40" s="633"/>
    </row>
    <row r="41" spans="1:14" ht="25.5">
      <c r="A41" s="455">
        <v>10.3</v>
      </c>
      <c r="B41" s="460" t="s">
        <v>632</v>
      </c>
      <c r="C41" s="456">
        <v>46441688.730000004</v>
      </c>
      <c r="D41" s="456">
        <v>6704086.1441430012</v>
      </c>
      <c r="E41" s="457">
        <f t="shared" si="0"/>
        <v>53145774.874143004</v>
      </c>
      <c r="F41" s="456">
        <v>24023345.789999999</v>
      </c>
      <c r="G41" s="456">
        <v>1618424.9079429999</v>
      </c>
      <c r="H41" s="458">
        <f t="shared" si="1"/>
        <v>25641770.697942998</v>
      </c>
      <c r="L41" s="633"/>
      <c r="M41" s="633"/>
      <c r="N41" s="633"/>
    </row>
    <row r="42" spans="1:14" ht="25.5">
      <c r="A42" s="455">
        <v>10.4</v>
      </c>
      <c r="B42" s="460" t="s">
        <v>739</v>
      </c>
      <c r="C42" s="456">
        <v>22727523.889999866</v>
      </c>
      <c r="D42" s="456">
        <v>7370794.111599993</v>
      </c>
      <c r="E42" s="457">
        <f t="shared" si="0"/>
        <v>30098318.001599859</v>
      </c>
      <c r="F42" s="456">
        <v>13602149.279999962</v>
      </c>
      <c r="G42" s="456">
        <v>7100412.5667999974</v>
      </c>
      <c r="H42" s="458">
        <f t="shared" si="1"/>
        <v>20702561.846799958</v>
      </c>
      <c r="L42" s="633"/>
      <c r="M42" s="633"/>
      <c r="N42" s="633"/>
    </row>
    <row r="43" spans="1:14" ht="15.75">
      <c r="A43" s="455">
        <v>11</v>
      </c>
      <c r="B43" s="466" t="s">
        <v>186</v>
      </c>
      <c r="C43" s="456"/>
      <c r="D43" s="456"/>
      <c r="E43" s="457">
        <f t="shared" si="0"/>
        <v>0</v>
      </c>
      <c r="F43" s="456"/>
      <c r="G43" s="456"/>
      <c r="H43" s="458">
        <f t="shared" si="1"/>
        <v>0</v>
      </c>
      <c r="L43" s="633"/>
      <c r="M43" s="633"/>
      <c r="N43" s="633"/>
    </row>
    <row r="44" spans="1:14" ht="15.75">
      <c r="C44" s="468"/>
      <c r="D44" s="468"/>
      <c r="E44" s="468"/>
      <c r="F44" s="468"/>
      <c r="G44" s="468"/>
      <c r="H44" s="468"/>
    </row>
    <row r="45" spans="1:14" ht="15.75">
      <c r="A45" s="467" t="s">
        <v>736</v>
      </c>
      <c r="B45" s="12" t="s">
        <v>740</v>
      </c>
      <c r="C45" s="468"/>
      <c r="D45" s="468"/>
      <c r="E45" s="468"/>
      <c r="F45" s="468"/>
      <c r="G45" s="468"/>
      <c r="H45" s="468"/>
    </row>
    <row r="46" spans="1:14" ht="15.75">
      <c r="C46" s="468"/>
      <c r="D46" s="468"/>
      <c r="E46" s="468"/>
      <c r="F46" s="468"/>
      <c r="G46" s="468"/>
      <c r="H46" s="468"/>
    </row>
    <row r="47" spans="1:14" ht="15.75">
      <c r="C47" s="468"/>
      <c r="D47" s="468"/>
      <c r="E47" s="468"/>
      <c r="F47" s="468"/>
      <c r="G47" s="468"/>
      <c r="H47" s="468"/>
    </row>
  </sheetData>
  <mergeCells count="4">
    <mergeCell ref="A4:A5"/>
    <mergeCell ref="B4:B5"/>
    <mergeCell ref="C4:E4"/>
    <mergeCell ref="F4:H4"/>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pane xSplit="1" ySplit="4" topLeftCell="B5" activePane="bottomRight" state="frozen"/>
      <selection activeCell="L18" sqref="L18"/>
      <selection pane="topRight" activeCell="L18" sqref="L18"/>
      <selection pane="bottomLeft" activeCell="L18" sqref="L18"/>
      <selection pane="bottomRight" activeCell="B34" sqref="B34"/>
    </sheetView>
  </sheetViews>
  <sheetFormatPr defaultColWidth="9.140625" defaultRowHeight="12.75"/>
  <cols>
    <col min="1" max="1" width="9.42578125" style="2" bestFit="1" customWidth="1"/>
    <col min="2" max="2" width="93.42578125" style="2" customWidth="1"/>
    <col min="3" max="4" width="12.7109375" style="2" customWidth="1"/>
    <col min="5" max="7" width="10.85546875" style="12" bestFit="1" customWidth="1"/>
    <col min="8" max="11" width="9.7109375" style="12" customWidth="1"/>
    <col min="12" max="16384" width="9.140625" style="12"/>
  </cols>
  <sheetData>
    <row r="1" spans="1:9" ht="15">
      <c r="A1" s="16" t="s">
        <v>108</v>
      </c>
      <c r="B1" s="15" t="str">
        <f>Info!C2</f>
        <v>სს "ბაზისბანკი"</v>
      </c>
      <c r="C1" s="15"/>
      <c r="D1" s="234"/>
    </row>
    <row r="2" spans="1:9" ht="15">
      <c r="A2" s="16" t="s">
        <v>109</v>
      </c>
      <c r="B2" s="354">
        <f>'1. key ratios'!B2</f>
        <v>45016</v>
      </c>
      <c r="C2" s="28"/>
      <c r="D2" s="17"/>
      <c r="E2" s="11"/>
      <c r="F2" s="11"/>
      <c r="G2" s="11"/>
      <c r="H2" s="11"/>
    </row>
    <row r="3" spans="1:9" ht="15">
      <c r="A3" s="16"/>
      <c r="B3" s="15"/>
      <c r="C3" s="28"/>
      <c r="D3" s="17"/>
      <c r="E3" s="11"/>
      <c r="F3" s="11"/>
      <c r="G3" s="11"/>
      <c r="H3" s="11"/>
    </row>
    <row r="4" spans="1:9" ht="15" customHeight="1" thickBot="1">
      <c r="A4" s="153" t="s">
        <v>190</v>
      </c>
      <c r="B4" s="154" t="s">
        <v>107</v>
      </c>
      <c r="C4" s="155" t="s">
        <v>87</v>
      </c>
    </row>
    <row r="5" spans="1:9" ht="15" customHeight="1">
      <c r="A5" s="744" t="s">
        <v>25</v>
      </c>
      <c r="B5" s="745"/>
      <c r="C5" s="337" t="str">
        <f>INT((MONTH($B$2))/3)&amp;"Q"&amp;"-"&amp;YEAR($B$2)</f>
        <v>1Q-2023</v>
      </c>
      <c r="D5" s="337" t="str">
        <f>IF(INT(MONTH($B$2))=3,"4"&amp;"Q"&amp;"-"&amp;YEAR($B$2)-1,IF(INT(MONTH($B$2))=6,"1"&amp;"Q"&amp;"-"&amp;YEAR($B$2),IF(INT(MONTH($B$2))=9,"2"&amp;"Q"&amp;"-"&amp;YEAR($B$2),IF(INT(MONTH($B$2))=12,"3"&amp;"Q"&amp;"-"&amp;YEAR($B$2),0))))</f>
        <v>4Q-2022</v>
      </c>
      <c r="E5" s="337" t="str">
        <f>IF(INT(MONTH($B$2))=3,"3"&amp;"Q"&amp;"-"&amp;YEAR($B$2)-1,IF(INT(MONTH($B$2))=6,"4"&amp;"Q"&amp;"-"&amp;YEAR($B$2)-1,IF(INT(MONTH($B$2))=9,"1"&amp;"Q"&amp;"-"&amp;YEAR($B$2),IF(INT(MONTH($B$2))=12,"2"&amp;"Q"&amp;"-"&amp;YEAR($B$2),0))))</f>
        <v>3Q-2022</v>
      </c>
      <c r="F5" s="337" t="str">
        <f>IF(INT(MONTH($B$2))=3,"2"&amp;"Q"&amp;"-"&amp;YEAR($B$2)-1,IF(INT(MONTH($B$2))=6,"3"&amp;"Q"&amp;"-"&amp;YEAR($B$2)-1,IF(INT(MONTH($B$2))=9,"4"&amp;"Q"&amp;"-"&amp;YEAR($B$2)-1,IF(INT(MONTH($B$2))=12,"1"&amp;"Q"&amp;"-"&amp;YEAR($B$2),0))))</f>
        <v>2Q-2022</v>
      </c>
      <c r="G5" s="338" t="s">
        <v>734</v>
      </c>
    </row>
    <row r="6" spans="1:9" ht="15" customHeight="1">
      <c r="A6" s="270">
        <v>1</v>
      </c>
      <c r="B6" s="325" t="s">
        <v>112</v>
      </c>
      <c r="C6" s="271">
        <f>C7+C9+C10</f>
        <v>2475425426.4150653</v>
      </c>
      <c r="D6" s="328">
        <f>D7+D9+D10</f>
        <v>2580309944.7976661</v>
      </c>
      <c r="E6" s="272">
        <f t="shared" ref="E6:G6" si="0">E7+E9+E10</f>
        <v>2344994830.0529413</v>
      </c>
      <c r="F6" s="271">
        <f t="shared" si="0"/>
        <v>2308643732.7965798</v>
      </c>
      <c r="G6" s="329">
        <f t="shared" si="0"/>
        <v>2267722418.8277125</v>
      </c>
      <c r="I6" s="635"/>
    </row>
    <row r="7" spans="1:9" ht="15" customHeight="1">
      <c r="A7" s="270">
        <v>1.1000000000000001</v>
      </c>
      <c r="B7" s="273" t="s">
        <v>735</v>
      </c>
      <c r="C7" s="274">
        <v>2188091245.2033315</v>
      </c>
      <c r="D7" s="716">
        <v>2342534767.9043465</v>
      </c>
      <c r="E7" s="276">
        <v>2135446210.3772979</v>
      </c>
      <c r="F7" s="276">
        <v>2101756729.5761847</v>
      </c>
      <c r="G7" s="717">
        <v>2103232531.1194913</v>
      </c>
      <c r="I7" s="635"/>
    </row>
    <row r="8" spans="1:9" ht="25.5">
      <c r="A8" s="270" t="s">
        <v>157</v>
      </c>
      <c r="B8" s="275" t="s">
        <v>187</v>
      </c>
      <c r="C8" s="274">
        <v>42500000</v>
      </c>
      <c r="D8" s="274">
        <v>42500000</v>
      </c>
      <c r="E8" s="274">
        <v>42500000</v>
      </c>
      <c r="F8" s="274">
        <v>42500000</v>
      </c>
      <c r="G8" s="746">
        <v>42500000</v>
      </c>
      <c r="I8" s="635"/>
    </row>
    <row r="9" spans="1:9" ht="15" customHeight="1">
      <c r="A9" s="270">
        <v>1.2</v>
      </c>
      <c r="B9" s="273" t="s">
        <v>21</v>
      </c>
      <c r="C9" s="274">
        <v>287334181.21173376</v>
      </c>
      <c r="D9" s="716">
        <v>236358036.8933194</v>
      </c>
      <c r="E9" s="276">
        <v>209548619.67564356</v>
      </c>
      <c r="F9" s="276">
        <v>206887003.220395</v>
      </c>
      <c r="G9" s="717">
        <v>164489887.70822111</v>
      </c>
      <c r="I9" s="635"/>
    </row>
    <row r="10" spans="1:9" ht="15" customHeight="1">
      <c r="A10" s="270">
        <v>1.3</v>
      </c>
      <c r="B10" s="326" t="s">
        <v>74</v>
      </c>
      <c r="C10" s="276">
        <v>0</v>
      </c>
      <c r="D10" s="716">
        <v>1417140</v>
      </c>
      <c r="E10" s="276">
        <v>0</v>
      </c>
      <c r="F10" s="276"/>
      <c r="G10" s="717"/>
      <c r="I10" s="635"/>
    </row>
    <row r="11" spans="1:9" ht="15" customHeight="1">
      <c r="A11" s="270">
        <v>2</v>
      </c>
      <c r="B11" s="325" t="s">
        <v>113</v>
      </c>
      <c r="C11" s="274">
        <v>5757064.1241530189</v>
      </c>
      <c r="D11" s="716">
        <v>10908613.947859904</v>
      </c>
      <c r="E11" s="276">
        <v>5289989.4946673904</v>
      </c>
      <c r="F11" s="276">
        <v>12895647</v>
      </c>
      <c r="G11" s="717">
        <v>16737625.80652</v>
      </c>
      <c r="I11" s="635"/>
    </row>
    <row r="12" spans="1:9" ht="15" customHeight="1">
      <c r="A12" s="286">
        <v>3</v>
      </c>
      <c r="B12" s="327" t="s">
        <v>111</v>
      </c>
      <c r="C12" s="276">
        <v>171690239.75991175</v>
      </c>
      <c r="D12" s="716">
        <v>171690239.75991175</v>
      </c>
      <c r="E12" s="276">
        <v>129542130.68551137</v>
      </c>
      <c r="F12" s="276">
        <v>129542130.68551137</v>
      </c>
      <c r="G12" s="717">
        <v>123197247</v>
      </c>
      <c r="I12" s="635"/>
    </row>
    <row r="13" spans="1:9" ht="15" customHeight="1" thickBot="1">
      <c r="A13" s="85">
        <v>4</v>
      </c>
      <c r="B13" s="332" t="s">
        <v>158</v>
      </c>
      <c r="C13" s="165">
        <f>C6+C11+C12</f>
        <v>2652872730.29913</v>
      </c>
      <c r="D13" s="330">
        <f>D6+D11+D12</f>
        <v>2762908798.5054374</v>
      </c>
      <c r="E13" s="166">
        <f t="shared" ref="E13:G13" si="1">E6+E11+E12</f>
        <v>2479826950.2331204</v>
      </c>
      <c r="F13" s="165">
        <f t="shared" si="1"/>
        <v>2451081510.4820914</v>
      </c>
      <c r="G13" s="331">
        <f t="shared" si="1"/>
        <v>2407657291.6342325</v>
      </c>
      <c r="I13" s="635"/>
    </row>
    <row r="14" spans="1:9">
      <c r="B14" s="22"/>
    </row>
    <row r="15" spans="1:9">
      <c r="A15" s="2" t="s">
        <v>736</v>
      </c>
      <c r="B15" s="66" t="s">
        <v>737</v>
      </c>
      <c r="E15" s="635"/>
    </row>
    <row r="16" spans="1:9">
      <c r="B16" s="66"/>
    </row>
    <row r="17" spans="2:7">
      <c r="B17" s="66"/>
    </row>
    <row r="18" spans="2:7">
      <c r="B18" s="66"/>
    </row>
    <row r="27" spans="2:7">
      <c r="C27" s="747"/>
      <c r="D27" s="747"/>
      <c r="E27" s="747"/>
      <c r="F27" s="747"/>
      <c r="G27" s="747"/>
    </row>
    <row r="28" spans="2:7">
      <c r="C28" s="747"/>
      <c r="D28" s="747"/>
      <c r="E28" s="747"/>
      <c r="F28" s="747"/>
      <c r="G28" s="747"/>
    </row>
    <row r="29" spans="2:7">
      <c r="C29" s="747"/>
      <c r="D29" s="747"/>
      <c r="E29" s="747"/>
      <c r="F29" s="747"/>
      <c r="G29" s="747"/>
    </row>
    <row r="30" spans="2:7">
      <c r="C30" s="747"/>
      <c r="D30" s="747"/>
      <c r="E30" s="747"/>
      <c r="F30" s="747"/>
      <c r="G30" s="747"/>
    </row>
    <row r="31" spans="2:7">
      <c r="C31" s="747"/>
      <c r="D31" s="747"/>
      <c r="E31" s="747"/>
      <c r="F31" s="747"/>
      <c r="G31" s="747"/>
    </row>
    <row r="32" spans="2:7">
      <c r="C32" s="747"/>
      <c r="D32" s="747"/>
      <c r="E32" s="747"/>
      <c r="F32" s="747"/>
      <c r="G32" s="747"/>
    </row>
    <row r="33" spans="3:7">
      <c r="C33" s="747"/>
      <c r="D33" s="747"/>
      <c r="E33" s="747"/>
      <c r="F33" s="747"/>
      <c r="G33" s="747"/>
    </row>
    <row r="34" spans="3:7">
      <c r="C34" s="747"/>
      <c r="D34" s="747"/>
      <c r="E34" s="747"/>
      <c r="F34" s="747"/>
      <c r="G34" s="74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pane xSplit="1" ySplit="4" topLeftCell="B17" activePane="bottomRight" state="frozen"/>
      <selection activeCell="O30" sqref="O30"/>
      <selection pane="topRight" activeCell="O30" sqref="O30"/>
      <selection pane="bottomLeft" activeCell="O30" sqref="O30"/>
      <selection pane="bottomRight" activeCell="J28" sqref="J28"/>
    </sheetView>
  </sheetViews>
  <sheetFormatPr defaultRowHeight="15"/>
  <cols>
    <col min="1" max="1" width="9.42578125" style="2" bestFit="1" customWidth="1"/>
    <col min="2" max="2" width="58.85546875" style="2" customWidth="1"/>
    <col min="3" max="3" width="56.140625" style="2" customWidth="1"/>
  </cols>
  <sheetData>
    <row r="1" spans="1:8">
      <c r="A1" s="2" t="s">
        <v>108</v>
      </c>
      <c r="B1" s="234" t="str">
        <f>Info!C2</f>
        <v>სს "ბაზისბანკი"</v>
      </c>
    </row>
    <row r="2" spans="1:8">
      <c r="A2" s="2" t="s">
        <v>109</v>
      </c>
      <c r="B2" s="354">
        <f>'1. key ratios'!B2</f>
        <v>45016</v>
      </c>
    </row>
    <row r="4" spans="1:8" ht="25.5" customHeight="1" thickBot="1">
      <c r="A4" s="157" t="s">
        <v>191</v>
      </c>
      <c r="B4" s="30" t="s">
        <v>91</v>
      </c>
      <c r="C4" s="13"/>
    </row>
    <row r="5" spans="1:8" ht="15.75">
      <c r="A5" s="10"/>
      <c r="B5" s="321" t="s">
        <v>92</v>
      </c>
      <c r="C5" s="336" t="s">
        <v>339</v>
      </c>
    </row>
    <row r="6" spans="1:8">
      <c r="A6" s="14">
        <v>1</v>
      </c>
      <c r="B6" s="31" t="s">
        <v>699</v>
      </c>
      <c r="C6" s="586" t="s">
        <v>700</v>
      </c>
    </row>
    <row r="7" spans="1:8">
      <c r="A7" s="14">
        <v>2</v>
      </c>
      <c r="B7" s="31" t="s">
        <v>701</v>
      </c>
      <c r="C7" s="648" t="s">
        <v>702</v>
      </c>
    </row>
    <row r="8" spans="1:8">
      <c r="A8" s="14">
        <v>3</v>
      </c>
      <c r="B8" s="31" t="s">
        <v>703</v>
      </c>
      <c r="C8" s="586" t="s">
        <v>700</v>
      </c>
    </row>
    <row r="9" spans="1:8">
      <c r="A9" s="14">
        <v>4</v>
      </c>
      <c r="B9" s="31" t="s">
        <v>704</v>
      </c>
      <c r="C9" s="586" t="s">
        <v>705</v>
      </c>
    </row>
    <row r="10" spans="1:8">
      <c r="A10" s="14">
        <v>5</v>
      </c>
      <c r="B10" s="31" t="s">
        <v>706</v>
      </c>
      <c r="C10" s="586" t="s">
        <v>700</v>
      </c>
    </row>
    <row r="11" spans="1:8">
      <c r="A11" s="14">
        <v>6</v>
      </c>
      <c r="B11" s="597" t="s">
        <v>707</v>
      </c>
      <c r="C11" s="598" t="s">
        <v>705</v>
      </c>
    </row>
    <row r="12" spans="1:8">
      <c r="A12" s="14">
        <v>7</v>
      </c>
      <c r="B12" s="31"/>
      <c r="C12" s="333"/>
      <c r="H12" s="4"/>
    </row>
    <row r="13" spans="1:8">
      <c r="A13" s="14">
        <v>8</v>
      </c>
      <c r="B13" s="31"/>
      <c r="C13" s="333"/>
    </row>
    <row r="14" spans="1:8">
      <c r="A14" s="14">
        <v>9</v>
      </c>
      <c r="B14" s="31"/>
      <c r="C14" s="333"/>
    </row>
    <row r="15" spans="1:8">
      <c r="A15" s="14">
        <v>10</v>
      </c>
      <c r="B15" s="31"/>
      <c r="C15" s="333"/>
    </row>
    <row r="16" spans="1:8" ht="15.75" thickBot="1">
      <c r="A16" s="738"/>
      <c r="B16" s="788"/>
      <c r="C16" s="789"/>
    </row>
    <row r="17" spans="1:3" ht="30">
      <c r="A17" s="739"/>
      <c r="B17" s="740" t="s">
        <v>93</v>
      </c>
      <c r="C17" s="741" t="s">
        <v>340</v>
      </c>
    </row>
    <row r="18" spans="1:3" ht="15.75">
      <c r="A18" s="14">
        <v>1</v>
      </c>
      <c r="B18" s="26" t="s">
        <v>708</v>
      </c>
      <c r="C18" s="334" t="s">
        <v>709</v>
      </c>
    </row>
    <row r="19" spans="1:3" ht="15.75">
      <c r="A19" s="14">
        <v>2</v>
      </c>
      <c r="B19" s="26" t="s">
        <v>710</v>
      </c>
      <c r="C19" s="334" t="s">
        <v>711</v>
      </c>
    </row>
    <row r="20" spans="1:3" ht="15.75">
      <c r="A20" s="14">
        <v>3</v>
      </c>
      <c r="B20" s="26" t="s">
        <v>712</v>
      </c>
      <c r="C20" s="334" t="s">
        <v>713</v>
      </c>
    </row>
    <row r="21" spans="1:3" ht="15.75">
      <c r="A21" s="14">
        <v>4</v>
      </c>
      <c r="B21" s="26" t="s">
        <v>714</v>
      </c>
      <c r="C21" s="334" t="s">
        <v>715</v>
      </c>
    </row>
    <row r="22" spans="1:3" ht="15.75">
      <c r="A22" s="14">
        <v>5</v>
      </c>
      <c r="B22" s="26" t="s">
        <v>716</v>
      </c>
      <c r="C22" s="334" t="s">
        <v>717</v>
      </c>
    </row>
    <row r="23" spans="1:3" ht="15.75">
      <c r="A23" s="14">
        <v>6</v>
      </c>
      <c r="B23" s="26" t="s">
        <v>718</v>
      </c>
      <c r="C23" s="334" t="s">
        <v>719</v>
      </c>
    </row>
    <row r="24" spans="1:3" ht="15.75">
      <c r="A24" s="14">
        <v>7</v>
      </c>
      <c r="B24" s="26" t="s">
        <v>720</v>
      </c>
      <c r="C24" s="334" t="s">
        <v>721</v>
      </c>
    </row>
    <row r="25" spans="1:3" ht="15.75">
      <c r="A25" s="14">
        <v>8</v>
      </c>
      <c r="B25" s="26"/>
      <c r="C25" s="334"/>
    </row>
    <row r="26" spans="1:3" ht="15.75">
      <c r="A26" s="14">
        <v>9</v>
      </c>
      <c r="B26" s="26"/>
      <c r="C26" s="334"/>
    </row>
    <row r="27" spans="1:3" ht="15.75" customHeight="1">
      <c r="A27" s="14">
        <v>10</v>
      </c>
      <c r="B27" s="26"/>
      <c r="C27" s="335"/>
    </row>
    <row r="28" spans="1:3" ht="15.75" customHeight="1">
      <c r="A28" s="14"/>
      <c r="B28" s="26"/>
      <c r="C28" s="27"/>
    </row>
    <row r="29" spans="1:3" ht="30" customHeight="1">
      <c r="A29" s="14"/>
      <c r="B29" s="790" t="s">
        <v>94</v>
      </c>
      <c r="C29" s="791"/>
    </row>
    <row r="30" spans="1:3">
      <c r="A30" s="14">
        <v>1</v>
      </c>
      <c r="B30" s="31" t="s">
        <v>722</v>
      </c>
      <c r="C30" s="709">
        <v>0.92102931555297496</v>
      </c>
    </row>
    <row r="31" spans="1:3">
      <c r="A31" s="14">
        <v>2</v>
      </c>
      <c r="B31" s="31" t="s">
        <v>723</v>
      </c>
      <c r="C31" s="709">
        <v>6.5000635187063019E-2</v>
      </c>
    </row>
    <row r="32" spans="1:3" ht="15.75" customHeight="1">
      <c r="A32" s="14"/>
      <c r="B32" s="31"/>
      <c r="C32" s="32"/>
    </row>
    <row r="33" spans="1:3" ht="29.25" customHeight="1">
      <c r="A33" s="14"/>
      <c r="B33" s="790" t="s">
        <v>174</v>
      </c>
      <c r="C33" s="791"/>
    </row>
    <row r="34" spans="1:3">
      <c r="A34" s="14">
        <v>1</v>
      </c>
      <c r="B34" s="31" t="s">
        <v>724</v>
      </c>
      <c r="C34" s="709">
        <v>0.92066090382675381</v>
      </c>
    </row>
    <row r="35" spans="1:3" ht="15.75" thickBot="1">
      <c r="A35" s="742">
        <v>2</v>
      </c>
      <c r="B35" s="33" t="s">
        <v>723</v>
      </c>
      <c r="C35" s="743">
        <v>6.5000635187063019E-2</v>
      </c>
    </row>
  </sheetData>
  <mergeCells count="3">
    <mergeCell ref="B16:C16"/>
    <mergeCell ref="B33:C33"/>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80" zoomScaleNormal="80" workbookViewId="0">
      <pane xSplit="1" ySplit="5" topLeftCell="B12" activePane="bottomRight" state="frozen"/>
      <selection activeCell="H6" sqref="H6"/>
      <selection pane="topRight" activeCell="H6" sqref="H6"/>
      <selection pane="bottomLeft" activeCell="H6" sqref="H6"/>
      <selection pane="bottomRight" activeCell="D38" sqref="D38:E39"/>
    </sheetView>
  </sheetViews>
  <sheetFormatPr defaultRowHeight="15"/>
  <cols>
    <col min="1" max="1" width="9.42578125" style="2" bestFit="1" customWidth="1"/>
    <col min="2" max="2" width="47.42578125" style="2" customWidth="1"/>
    <col min="3" max="3" width="28" style="2" customWidth="1"/>
    <col min="4" max="4" width="25.5703125" style="2" customWidth="1"/>
    <col min="5" max="5" width="18.85546875" style="2" customWidth="1"/>
    <col min="6" max="6" width="12" bestFit="1" customWidth="1"/>
    <col min="7" max="7" width="12.42578125" bestFit="1" customWidth="1"/>
  </cols>
  <sheetData>
    <row r="1" spans="1:12" ht="15.75">
      <c r="A1" s="16" t="s">
        <v>108</v>
      </c>
      <c r="B1" s="15" t="str">
        <f>Info!C2</f>
        <v>სს "ბაზისბანკი"</v>
      </c>
    </row>
    <row r="2" spans="1:12" s="20" customFormat="1" ht="15.75" customHeight="1">
      <c r="A2" s="20" t="s">
        <v>109</v>
      </c>
      <c r="B2" s="354">
        <f>'1. key ratios'!B2</f>
        <v>45016</v>
      </c>
    </row>
    <row r="3" spans="1:12" s="20" customFormat="1" ht="15.75" customHeight="1"/>
    <row r="4" spans="1:12" s="20" customFormat="1" ht="15.75" customHeight="1" thickBot="1">
      <c r="A4" s="158" t="s">
        <v>192</v>
      </c>
      <c r="B4" s="159" t="s">
        <v>168</v>
      </c>
      <c r="C4" s="135"/>
      <c r="D4" s="135"/>
      <c r="E4" s="136" t="s">
        <v>87</v>
      </c>
    </row>
    <row r="5" spans="1:12" s="81" customFormat="1" ht="17.45" customHeight="1">
      <c r="A5" s="246"/>
      <c r="B5" s="247"/>
      <c r="C5" s="134" t="s">
        <v>0</v>
      </c>
      <c r="D5" s="134" t="s">
        <v>1</v>
      </c>
      <c r="E5" s="248" t="s">
        <v>2</v>
      </c>
    </row>
    <row r="6" spans="1:12" s="101" customFormat="1" ht="14.45" customHeight="1">
      <c r="A6" s="249"/>
      <c r="B6" s="792" t="s">
        <v>144</v>
      </c>
      <c r="C6" s="792" t="s">
        <v>634</v>
      </c>
      <c r="D6" s="793" t="s">
        <v>143</v>
      </c>
      <c r="E6" s="794"/>
      <c r="G6"/>
    </row>
    <row r="7" spans="1:12" s="101" customFormat="1" ht="99.6" customHeight="1">
      <c r="A7" s="249"/>
      <c r="B7" s="792"/>
      <c r="C7" s="792"/>
      <c r="D7" s="243" t="s">
        <v>142</v>
      </c>
      <c r="E7" s="244" t="s">
        <v>246</v>
      </c>
      <c r="G7"/>
    </row>
    <row r="8" spans="1:12" s="101" customFormat="1" ht="22.5" customHeight="1">
      <c r="A8" s="469">
        <v>1</v>
      </c>
      <c r="B8" s="412" t="s">
        <v>633</v>
      </c>
      <c r="C8" s="470">
        <v>464486877.10869801</v>
      </c>
      <c r="D8" s="470">
        <v>0</v>
      </c>
      <c r="E8" s="470">
        <v>464486877.10869801</v>
      </c>
      <c r="G8"/>
      <c r="J8" s="650"/>
      <c r="K8" s="650"/>
      <c r="L8" s="650"/>
    </row>
    <row r="9" spans="1:12" s="101" customFormat="1">
      <c r="A9" s="469">
        <v>1.1000000000000001</v>
      </c>
      <c r="B9" s="413" t="s">
        <v>96</v>
      </c>
      <c r="C9" s="470">
        <v>71199500</v>
      </c>
      <c r="D9" s="470"/>
      <c r="E9" s="470">
        <v>71199500</v>
      </c>
      <c r="G9"/>
      <c r="J9" s="650"/>
      <c r="K9" s="650"/>
      <c r="L9" s="650"/>
    </row>
    <row r="10" spans="1:12" s="101" customFormat="1">
      <c r="A10" s="469">
        <v>1.2</v>
      </c>
      <c r="B10" s="413" t="s">
        <v>97</v>
      </c>
      <c r="C10" s="470">
        <v>256929317.18609801</v>
      </c>
      <c r="D10" s="470"/>
      <c r="E10" s="470">
        <v>256929317.18609801</v>
      </c>
      <c r="G10"/>
      <c r="J10" s="650"/>
      <c r="K10" s="650"/>
      <c r="L10" s="650"/>
    </row>
    <row r="11" spans="1:12" s="101" customFormat="1">
      <c r="A11" s="469">
        <v>1.3</v>
      </c>
      <c r="B11" s="413" t="s">
        <v>98</v>
      </c>
      <c r="C11" s="470">
        <v>136358059.9226</v>
      </c>
      <c r="D11" s="470"/>
      <c r="E11" s="470">
        <v>136358059.9226</v>
      </c>
      <c r="G11"/>
      <c r="J11" s="650"/>
      <c r="K11" s="650"/>
      <c r="L11" s="650"/>
    </row>
    <row r="12" spans="1:12" s="101" customFormat="1">
      <c r="A12" s="469">
        <v>2</v>
      </c>
      <c r="B12" s="414" t="s">
        <v>522</v>
      </c>
      <c r="C12" s="470">
        <v>0</v>
      </c>
      <c r="D12" s="470"/>
      <c r="E12" s="470">
        <v>0</v>
      </c>
      <c r="G12"/>
      <c r="J12" s="650"/>
      <c r="K12" s="650"/>
      <c r="L12" s="650"/>
    </row>
    <row r="13" spans="1:12" s="101" customFormat="1" ht="21">
      <c r="A13" s="469">
        <v>2.1</v>
      </c>
      <c r="B13" s="415" t="s">
        <v>523</v>
      </c>
      <c r="C13" s="470">
        <v>0</v>
      </c>
      <c r="D13" s="470"/>
      <c r="E13" s="470">
        <v>0</v>
      </c>
      <c r="G13"/>
      <c r="J13" s="650"/>
      <c r="K13" s="650"/>
      <c r="L13" s="650"/>
    </row>
    <row r="14" spans="1:12" s="101" customFormat="1" ht="33.950000000000003" customHeight="1">
      <c r="A14" s="469">
        <v>3</v>
      </c>
      <c r="B14" s="416" t="s">
        <v>524</v>
      </c>
      <c r="C14" s="470">
        <v>0</v>
      </c>
      <c r="D14" s="470"/>
      <c r="E14" s="470">
        <v>0</v>
      </c>
      <c r="G14"/>
      <c r="J14" s="650"/>
      <c r="K14" s="650"/>
      <c r="L14" s="650"/>
    </row>
    <row r="15" spans="1:12" s="101" customFormat="1" ht="32.450000000000003" customHeight="1">
      <c r="A15" s="469">
        <v>4</v>
      </c>
      <c r="B15" s="417" t="s">
        <v>525</v>
      </c>
      <c r="C15" s="470">
        <v>0</v>
      </c>
      <c r="D15" s="470"/>
      <c r="E15" s="470">
        <v>0</v>
      </c>
      <c r="G15"/>
      <c r="J15" s="650"/>
      <c r="K15" s="650"/>
      <c r="L15" s="650"/>
    </row>
    <row r="16" spans="1:12" s="101" customFormat="1" ht="23.1" customHeight="1">
      <c r="A16" s="469">
        <v>5</v>
      </c>
      <c r="B16" s="417" t="s">
        <v>526</v>
      </c>
      <c r="C16" s="470">
        <v>221030052</v>
      </c>
      <c r="D16" s="470">
        <v>4271048.7300000004</v>
      </c>
      <c r="E16" s="470">
        <v>216759003.27000001</v>
      </c>
      <c r="G16"/>
      <c r="J16" s="650"/>
      <c r="K16" s="650"/>
      <c r="L16" s="650"/>
    </row>
    <row r="17" spans="1:12" s="101" customFormat="1">
      <c r="A17" s="469">
        <v>5.0999999999999996</v>
      </c>
      <c r="B17" s="418" t="s">
        <v>527</v>
      </c>
      <c r="C17" s="470">
        <v>0</v>
      </c>
      <c r="D17" s="470"/>
      <c r="E17" s="470">
        <v>0</v>
      </c>
      <c r="G17"/>
      <c r="J17" s="650"/>
      <c r="K17" s="650"/>
      <c r="L17" s="650"/>
    </row>
    <row r="18" spans="1:12" s="101" customFormat="1">
      <c r="A18" s="469">
        <v>5.2</v>
      </c>
      <c r="B18" s="418" t="s">
        <v>454</v>
      </c>
      <c r="C18" s="470">
        <v>221030052</v>
      </c>
      <c r="D18" s="470">
        <v>4271048.7300000004</v>
      </c>
      <c r="E18" s="470">
        <v>216759003.27000001</v>
      </c>
      <c r="G18"/>
      <c r="J18" s="650"/>
      <c r="K18" s="650"/>
      <c r="L18" s="650"/>
    </row>
    <row r="19" spans="1:12" s="101" customFormat="1">
      <c r="A19" s="469">
        <v>5.3</v>
      </c>
      <c r="B19" s="418" t="s">
        <v>528</v>
      </c>
      <c r="C19" s="470">
        <v>0</v>
      </c>
      <c r="D19" s="470"/>
      <c r="E19" s="470">
        <v>0</v>
      </c>
      <c r="G19"/>
      <c r="J19" s="650"/>
      <c r="K19" s="650"/>
      <c r="L19" s="650"/>
    </row>
    <row r="20" spans="1:12" s="101" customFormat="1" ht="21">
      <c r="A20" s="469">
        <v>6</v>
      </c>
      <c r="B20" s="416" t="s">
        <v>529</v>
      </c>
      <c r="C20" s="470">
        <v>2247771083.8632622</v>
      </c>
      <c r="D20" s="470">
        <v>0</v>
      </c>
      <c r="E20" s="470">
        <v>2247771083.8632622</v>
      </c>
      <c r="G20"/>
      <c r="J20" s="650"/>
      <c r="K20" s="650"/>
      <c r="L20" s="650"/>
    </row>
    <row r="21" spans="1:12">
      <c r="A21" s="469">
        <v>6.1</v>
      </c>
      <c r="B21" s="418" t="s">
        <v>454</v>
      </c>
      <c r="C21" s="471">
        <v>205031670</v>
      </c>
      <c r="D21" s="471"/>
      <c r="E21" s="471">
        <v>205031670</v>
      </c>
      <c r="J21" s="650"/>
      <c r="K21" s="650"/>
      <c r="L21" s="650"/>
    </row>
    <row r="22" spans="1:12">
      <c r="A22" s="469">
        <v>6.2</v>
      </c>
      <c r="B22" s="418" t="s">
        <v>528</v>
      </c>
      <c r="C22" s="471">
        <v>2042739413.8632622</v>
      </c>
      <c r="D22" s="471"/>
      <c r="E22" s="471">
        <v>2042739413.8632622</v>
      </c>
      <c r="J22" s="650"/>
      <c r="K22" s="650"/>
      <c r="L22" s="650"/>
    </row>
    <row r="23" spans="1:12" ht="21">
      <c r="A23" s="469">
        <v>7</v>
      </c>
      <c r="B23" s="419" t="s">
        <v>530</v>
      </c>
      <c r="C23" s="472">
        <v>20796650</v>
      </c>
      <c r="D23" s="472">
        <v>3796650</v>
      </c>
      <c r="E23" s="472">
        <v>17000000</v>
      </c>
      <c r="J23" s="650"/>
      <c r="K23" s="650"/>
      <c r="L23" s="650"/>
    </row>
    <row r="24" spans="1:12" ht="21">
      <c r="A24" s="469">
        <v>8</v>
      </c>
      <c r="B24" s="420" t="s">
        <v>531</v>
      </c>
      <c r="C24" s="472">
        <v>490281.31999999989</v>
      </c>
      <c r="D24" s="472"/>
      <c r="E24" s="472">
        <v>490281.31999999989</v>
      </c>
      <c r="J24" s="650"/>
      <c r="K24" s="650"/>
      <c r="L24" s="650"/>
    </row>
    <row r="25" spans="1:12">
      <c r="A25" s="469">
        <v>9</v>
      </c>
      <c r="B25" s="417" t="s">
        <v>532</v>
      </c>
      <c r="C25" s="472">
        <v>116500084.80298384</v>
      </c>
      <c r="D25" s="472">
        <v>10870260.656400001</v>
      </c>
      <c r="E25" s="472">
        <v>105629824.14658384</v>
      </c>
      <c r="J25" s="650"/>
      <c r="K25" s="650"/>
      <c r="L25" s="650"/>
    </row>
    <row r="26" spans="1:12">
      <c r="A26" s="469">
        <v>9.1</v>
      </c>
      <c r="B26" s="421" t="s">
        <v>533</v>
      </c>
      <c r="C26" s="472">
        <v>116500084.80298384</v>
      </c>
      <c r="D26" s="472">
        <v>10870260.656400001</v>
      </c>
      <c r="E26" s="472">
        <v>105629824.14658384</v>
      </c>
      <c r="J26" s="650"/>
      <c r="K26" s="650"/>
      <c r="L26" s="650"/>
    </row>
    <row r="27" spans="1:12">
      <c r="A27" s="469">
        <v>9.1999999999999993</v>
      </c>
      <c r="B27" s="421" t="s">
        <v>534</v>
      </c>
      <c r="C27" s="472">
        <v>0</v>
      </c>
      <c r="D27" s="472"/>
      <c r="E27" s="472">
        <v>0</v>
      </c>
      <c r="J27" s="650"/>
      <c r="K27" s="650"/>
      <c r="L27" s="650"/>
    </row>
    <row r="28" spans="1:12">
      <c r="A28" s="469">
        <v>10</v>
      </c>
      <c r="B28" s="417" t="s">
        <v>36</v>
      </c>
      <c r="C28" s="472">
        <v>9391401</v>
      </c>
      <c r="D28" s="472">
        <v>9391401</v>
      </c>
      <c r="E28" s="472">
        <v>0</v>
      </c>
      <c r="J28" s="650"/>
      <c r="K28" s="650"/>
      <c r="L28" s="650"/>
    </row>
    <row r="29" spans="1:12">
      <c r="A29" s="469">
        <v>10.1</v>
      </c>
      <c r="B29" s="421" t="s">
        <v>535</v>
      </c>
      <c r="C29" s="472">
        <v>0</v>
      </c>
      <c r="D29" s="472"/>
      <c r="E29" s="472">
        <v>0</v>
      </c>
      <c r="J29" s="650"/>
      <c r="K29" s="650"/>
      <c r="L29" s="650"/>
    </row>
    <row r="30" spans="1:12">
      <c r="A30" s="469">
        <v>10.199999999999999</v>
      </c>
      <c r="B30" s="421" t="s">
        <v>536</v>
      </c>
      <c r="C30" s="472">
        <v>9391401</v>
      </c>
      <c r="D30" s="472">
        <v>9391401</v>
      </c>
      <c r="E30" s="472">
        <v>0</v>
      </c>
      <c r="J30" s="650"/>
      <c r="K30" s="650"/>
      <c r="L30" s="650"/>
    </row>
    <row r="31" spans="1:12">
      <c r="A31" s="469">
        <v>11</v>
      </c>
      <c r="B31" s="417" t="s">
        <v>537</v>
      </c>
      <c r="C31" s="472">
        <v>49336</v>
      </c>
      <c r="D31" s="472">
        <v>0</v>
      </c>
      <c r="E31" s="472">
        <v>49336</v>
      </c>
      <c r="J31" s="650"/>
      <c r="K31" s="650"/>
      <c r="L31" s="650"/>
    </row>
    <row r="32" spans="1:12">
      <c r="A32" s="469">
        <v>11.1</v>
      </c>
      <c r="B32" s="421" t="s">
        <v>538</v>
      </c>
      <c r="C32" s="472">
        <v>49336</v>
      </c>
      <c r="D32" s="472"/>
      <c r="E32" s="472">
        <v>49336</v>
      </c>
      <c r="J32" s="650"/>
      <c r="K32" s="650"/>
      <c r="L32" s="650"/>
    </row>
    <row r="33" spans="1:12">
      <c r="A33" s="469">
        <v>11.2</v>
      </c>
      <c r="B33" s="421" t="s">
        <v>539</v>
      </c>
      <c r="C33" s="472">
        <v>0</v>
      </c>
      <c r="D33" s="472"/>
      <c r="E33" s="472">
        <v>0</v>
      </c>
      <c r="J33" s="650"/>
      <c r="K33" s="650"/>
      <c r="L33" s="650"/>
    </row>
    <row r="34" spans="1:12">
      <c r="A34" s="469">
        <v>13</v>
      </c>
      <c r="B34" s="417" t="s">
        <v>99</v>
      </c>
      <c r="C34" s="471">
        <v>28741517.398382999</v>
      </c>
      <c r="D34" s="471"/>
      <c r="E34" s="471">
        <v>28741517.398382999</v>
      </c>
      <c r="J34" s="650"/>
      <c r="K34" s="650"/>
      <c r="L34" s="650"/>
    </row>
    <row r="35" spans="1:12">
      <c r="A35" s="469">
        <v>13.1</v>
      </c>
      <c r="B35" s="422" t="s">
        <v>540</v>
      </c>
      <c r="C35" s="471">
        <v>23492653.640000001</v>
      </c>
      <c r="D35" s="471"/>
      <c r="E35" s="471">
        <v>23492653.640000001</v>
      </c>
      <c r="J35" s="650"/>
      <c r="K35" s="650"/>
      <c r="L35" s="650"/>
    </row>
    <row r="36" spans="1:12">
      <c r="A36" s="469">
        <v>13.2</v>
      </c>
      <c r="B36" s="422" t="s">
        <v>541</v>
      </c>
      <c r="C36" s="471">
        <v>0</v>
      </c>
      <c r="D36" s="471"/>
      <c r="E36" s="471">
        <v>0</v>
      </c>
      <c r="J36" s="650"/>
      <c r="K36" s="650"/>
      <c r="L36" s="650"/>
    </row>
    <row r="37" spans="1:12" ht="39" thickBot="1">
      <c r="A37" s="250"/>
      <c r="B37" s="251" t="s">
        <v>222</v>
      </c>
      <c r="C37" s="210">
        <f>SUM(C8,C12,C14,C15,C16,C20,C23,C24,C25,C28,C31,C34)</f>
        <v>3109257283.4933271</v>
      </c>
      <c r="D37" s="210">
        <f t="shared" ref="D37:E37" si="0">SUM(D8,D12,D14,D15,D16,D20,D23,D24,D25,D28,D31,D34)</f>
        <v>28329360.386399999</v>
      </c>
      <c r="E37" s="210">
        <f t="shared" si="0"/>
        <v>3080927923.1069274</v>
      </c>
      <c r="J37" s="650"/>
      <c r="K37" s="650"/>
      <c r="L37" s="650"/>
    </row>
    <row r="38" spans="1:12">
      <c r="A38"/>
      <c r="B38"/>
      <c r="C38" s="649"/>
      <c r="D38"/>
      <c r="E38"/>
    </row>
    <row r="39" spans="1:12">
      <c r="A39"/>
      <c r="B39"/>
      <c r="C39"/>
      <c r="D39" s="649"/>
      <c r="E39" s="649"/>
    </row>
    <row r="41" spans="1:12" s="2" customFormat="1">
      <c r="B41" s="35"/>
      <c r="F41"/>
      <c r="G41"/>
    </row>
    <row r="42" spans="1:12" s="2" customFormat="1">
      <c r="B42" s="36"/>
      <c r="F42"/>
      <c r="G42"/>
    </row>
    <row r="43" spans="1:12" s="2" customFormat="1">
      <c r="B43" s="35"/>
      <c r="F43"/>
      <c r="G43"/>
    </row>
    <row r="44" spans="1:12" s="2" customFormat="1">
      <c r="B44" s="35"/>
      <c r="F44"/>
      <c r="G44"/>
    </row>
    <row r="45" spans="1:12" s="2" customFormat="1">
      <c r="B45" s="35"/>
      <c r="F45"/>
      <c r="G45"/>
    </row>
    <row r="46" spans="1:12" s="2" customFormat="1">
      <c r="B46" s="35"/>
      <c r="F46"/>
      <c r="G46"/>
    </row>
    <row r="47" spans="1:12" s="2" customFormat="1">
      <c r="B47" s="35"/>
      <c r="F47"/>
      <c r="G47"/>
    </row>
    <row r="48" spans="1:12" s="2" customFormat="1">
      <c r="B48" s="36"/>
      <c r="F48"/>
      <c r="G48"/>
    </row>
    <row r="49" spans="2:7" s="2" customFormat="1">
      <c r="B49" s="36"/>
      <c r="F49"/>
      <c r="G49"/>
    </row>
    <row r="50" spans="2:7" s="2" customFormat="1">
      <c r="B50" s="36"/>
      <c r="F50"/>
      <c r="G50"/>
    </row>
    <row r="51" spans="2:7" s="2" customFormat="1">
      <c r="B51" s="36"/>
      <c r="F51"/>
      <c r="G51"/>
    </row>
    <row r="52" spans="2:7" s="2" customFormat="1">
      <c r="B52" s="36"/>
      <c r="F52"/>
      <c r="G52"/>
    </row>
    <row r="53" spans="2:7" s="2" customFormat="1">
      <c r="B53" s="36"/>
      <c r="F53"/>
      <c r="G53"/>
    </row>
  </sheetData>
  <mergeCells count="3">
    <mergeCell ref="B6:B7"/>
    <mergeCell ref="C6:C7"/>
    <mergeCell ref="D6: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pane xSplit="1" ySplit="4" topLeftCell="B5" activePane="bottomRight" state="frozen"/>
      <selection activeCell="H6" sqref="H6"/>
      <selection pane="topRight" activeCell="H6" sqref="H6"/>
      <selection pane="bottomLeft" activeCell="H6" sqref="H6"/>
      <selection pane="bottomRight" activeCell="B15" sqref="B15"/>
    </sheetView>
  </sheetViews>
  <sheetFormatPr defaultRowHeight="15" outlineLevelRow="1"/>
  <cols>
    <col min="1" max="1" width="9.42578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42578125" bestFit="1" customWidth="1"/>
  </cols>
  <sheetData>
    <row r="1" spans="1:6" ht="15.75">
      <c r="A1" s="16" t="s">
        <v>108</v>
      </c>
      <c r="B1" s="15" t="str">
        <f>Info!C2</f>
        <v>სს "ბაზისბანკი"</v>
      </c>
    </row>
    <row r="2" spans="1:6" s="20" customFormat="1" ht="15.75" customHeight="1">
      <c r="A2" s="20" t="s">
        <v>109</v>
      </c>
      <c r="B2" s="354">
        <f>'1. key ratios'!B2</f>
        <v>45016</v>
      </c>
      <c r="C2"/>
      <c r="D2"/>
      <c r="E2"/>
      <c r="F2"/>
    </row>
    <row r="3" spans="1:6" s="20" customFormat="1" ht="15.75" customHeight="1">
      <c r="C3"/>
      <c r="D3"/>
      <c r="E3"/>
      <c r="F3"/>
    </row>
    <row r="4" spans="1:6" s="20" customFormat="1" ht="26.25" thickBot="1">
      <c r="A4" s="20" t="s">
        <v>193</v>
      </c>
      <c r="B4" s="142" t="s">
        <v>171</v>
      </c>
      <c r="C4" s="136" t="s">
        <v>87</v>
      </c>
      <c r="D4"/>
      <c r="E4"/>
      <c r="F4"/>
    </row>
    <row r="5" spans="1:6">
      <c r="A5" s="137">
        <v>1</v>
      </c>
      <c r="B5" s="138" t="s">
        <v>519</v>
      </c>
      <c r="C5" s="167">
        <f>'7. LI1'!E37</f>
        <v>3080927923.1069274</v>
      </c>
    </row>
    <row r="6" spans="1:6" s="127" customFormat="1">
      <c r="A6" s="80">
        <v>2.1</v>
      </c>
      <c r="B6" s="144" t="s">
        <v>636</v>
      </c>
      <c r="C6" s="168">
        <v>496413254.32539999</v>
      </c>
    </row>
    <row r="7" spans="1:6" s="4" customFormat="1" ht="25.5" outlineLevel="1">
      <c r="A7" s="143">
        <v>2.2000000000000002</v>
      </c>
      <c r="B7" s="139" t="s">
        <v>637</v>
      </c>
      <c r="C7" s="169">
        <v>67397000</v>
      </c>
    </row>
    <row r="8" spans="1:6" s="4" customFormat="1" ht="26.25">
      <c r="A8" s="143">
        <v>3</v>
      </c>
      <c r="B8" s="140" t="s">
        <v>520</v>
      </c>
      <c r="C8" s="170">
        <f>SUM(C5:C7)</f>
        <v>3644738177.4323273</v>
      </c>
    </row>
    <row r="9" spans="1:6" s="127" customFormat="1">
      <c r="A9" s="80">
        <v>4</v>
      </c>
      <c r="B9" s="147" t="s">
        <v>169</v>
      </c>
      <c r="C9" s="168"/>
    </row>
    <row r="10" spans="1:6" s="4" customFormat="1" ht="25.5" outlineLevel="1">
      <c r="A10" s="143">
        <v>5.0999999999999996</v>
      </c>
      <c r="B10" s="139" t="s">
        <v>175</v>
      </c>
      <c r="C10" s="169">
        <v>-193310271.64946002</v>
      </c>
    </row>
    <row r="11" spans="1:6" s="4" customFormat="1" ht="25.5" outlineLevel="1">
      <c r="A11" s="143">
        <v>5.2</v>
      </c>
      <c r="B11" s="139" t="s">
        <v>176</v>
      </c>
      <c r="C11" s="169">
        <v>-66049060</v>
      </c>
    </row>
    <row r="12" spans="1:6" s="4" customFormat="1">
      <c r="A12" s="143">
        <v>6</v>
      </c>
      <c r="B12" s="145" t="s">
        <v>328</v>
      </c>
      <c r="C12" s="252"/>
    </row>
    <row r="13" spans="1:6" s="4" customFormat="1" ht="15.75" thickBot="1">
      <c r="A13" s="146">
        <v>7</v>
      </c>
      <c r="B13" s="141" t="s">
        <v>170</v>
      </c>
      <c r="C13" s="171">
        <f>SUM(C8:C12)</f>
        <v>3385378845.7828674</v>
      </c>
      <c r="D13" s="720"/>
      <c r="E13" s="720"/>
    </row>
    <row r="15" spans="1:6">
      <c r="B15" s="22"/>
    </row>
    <row r="17" spans="2:9" s="2" customFormat="1">
      <c r="B17" s="37"/>
      <c r="C17"/>
      <c r="D17"/>
      <c r="E17"/>
      <c r="F17"/>
      <c r="G17"/>
      <c r="H17"/>
      <c r="I17"/>
    </row>
    <row r="18" spans="2:9" s="2" customFormat="1">
      <c r="B18" s="34"/>
      <c r="C18"/>
      <c r="D18"/>
      <c r="E18"/>
      <c r="F18"/>
      <c r="G18"/>
      <c r="H18"/>
      <c r="I18"/>
    </row>
    <row r="19" spans="2:9" s="2" customFormat="1">
      <c r="B19" s="34"/>
      <c r="C19"/>
      <c r="D19"/>
      <c r="E19"/>
      <c r="F19"/>
      <c r="G19"/>
      <c r="H19"/>
      <c r="I19"/>
    </row>
    <row r="20" spans="2:9" s="2" customFormat="1">
      <c r="B20" s="36"/>
      <c r="C20"/>
      <c r="D20"/>
      <c r="E20"/>
      <c r="F20"/>
      <c r="G20"/>
      <c r="H20"/>
      <c r="I20"/>
    </row>
    <row r="21" spans="2:9" s="2" customFormat="1">
      <c r="B21" s="35"/>
      <c r="C21"/>
      <c r="D21"/>
      <c r="E21"/>
      <c r="F21"/>
      <c r="G21"/>
      <c r="H21"/>
      <c r="I21"/>
    </row>
    <row r="22" spans="2:9" s="2" customFormat="1">
      <c r="B22" s="36"/>
      <c r="C22"/>
      <c r="D22"/>
      <c r="E22"/>
      <c r="F22"/>
      <c r="G22"/>
      <c r="H22"/>
      <c r="I22"/>
    </row>
    <row r="23" spans="2:9" s="2" customFormat="1">
      <c r="B23" s="35"/>
      <c r="C23"/>
      <c r="D23"/>
      <c r="E23"/>
      <c r="F23"/>
      <c r="G23"/>
      <c r="H23"/>
      <c r="I23"/>
    </row>
    <row r="24" spans="2:9" s="2" customFormat="1">
      <c r="B24" s="35"/>
      <c r="C24"/>
      <c r="D24"/>
      <c r="E24"/>
      <c r="F24"/>
      <c r="G24"/>
      <c r="H24"/>
      <c r="I24"/>
    </row>
    <row r="25" spans="2:9" s="2" customFormat="1">
      <c r="B25" s="35"/>
      <c r="C25"/>
      <c r="D25"/>
      <c r="E25"/>
      <c r="F25"/>
      <c r="G25"/>
      <c r="H25"/>
      <c r="I25"/>
    </row>
    <row r="26" spans="2:9" s="2" customFormat="1">
      <c r="B26" s="35"/>
      <c r="C26"/>
      <c r="D26"/>
      <c r="E26"/>
      <c r="F26"/>
      <c r="G26"/>
      <c r="H26"/>
      <c r="I26"/>
    </row>
    <row r="27" spans="2:9" s="2" customFormat="1">
      <c r="B27" s="35"/>
      <c r="C27"/>
      <c r="D27"/>
      <c r="E27"/>
      <c r="F27"/>
      <c r="G27"/>
      <c r="H27"/>
      <c r="I27"/>
    </row>
    <row r="28" spans="2:9" s="2" customFormat="1">
      <c r="B28" s="36"/>
      <c r="C28"/>
      <c r="D28"/>
      <c r="E28"/>
      <c r="F28"/>
      <c r="G28"/>
      <c r="H28"/>
      <c r="I28"/>
    </row>
    <row r="29" spans="2:9" s="2" customFormat="1">
      <c r="B29" s="36"/>
      <c r="C29"/>
      <c r="D29"/>
      <c r="E29"/>
      <c r="F29"/>
      <c r="G29"/>
      <c r="H29"/>
      <c r="I29"/>
    </row>
    <row r="30" spans="2:9" s="2" customFormat="1">
      <c r="B30" s="36"/>
      <c r="C30"/>
      <c r="D30"/>
      <c r="E30"/>
      <c r="F30"/>
      <c r="G30"/>
      <c r="H30"/>
      <c r="I30"/>
    </row>
    <row r="31" spans="2:9" s="2" customFormat="1">
      <c r="B31" s="36"/>
      <c r="C31"/>
      <c r="D31"/>
      <c r="E31"/>
      <c r="F31"/>
      <c r="G31"/>
      <c r="H31"/>
      <c r="I31"/>
    </row>
    <row r="32" spans="2:9" s="2" customFormat="1">
      <c r="B32" s="36"/>
      <c r="C32"/>
      <c r="D32"/>
      <c r="E32"/>
      <c r="F32"/>
      <c r="G32"/>
      <c r="H32"/>
      <c r="I32"/>
    </row>
    <row r="33" spans="2:9" s="2" customFormat="1">
      <c r="B33" s="36"/>
      <c r="C33"/>
      <c r="D33"/>
      <c r="E33"/>
      <c r="F33"/>
      <c r="G33"/>
      <c r="H33"/>
      <c r="I33"/>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mwd0T/1aqAE/M70b2SrEXggQPL2uP/GjHKWZ3oQcWew=</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t0caHhiE0FT8qnbSYXnLcVPEPvcE5A6pVeZakWXVh/E=</DigestValue>
    </Reference>
  </SignedInfo>
  <SignatureValue>Ge+ntjOn2TcJ2UZT2RfX5QhiMndYDXeUUcpD3gHoeUSD3lwYE7F9oRQjgH4WBZzetqd2YIUxBHM8
5wjP5GPYkvqY2FZvaRpw/6SeNm73OV0xwsFqN0EsVytxe6mMFadEHNSp/hpB2WhQBGwvTiWHp4/i
u+fGNF2B175wLp6KRhS4zHiDogC/viV5rd+59dTTcF/9uHvr5UoTbdN9fIbK5RfXfAv69oFAWI74
FYCgnThFlDrHuEmfiTRhkCHVhKd5n8JaPZxa8anP1FsO/HwYaC5y8CfNXJC9rbDpladHykPGVqET
CVcniwh/A1viwlkGYFZlL3qNHhAFpN7+1KlJdA==</SignatureValue>
  <KeyInfo>
    <X509Data>
      <X509Certificate>MIIGOzCCBSOgAwIBAgIKdCpY1AADAAJHzTANBgkqhkiG9w0BAQsFADBKMRIwEAYKCZImiZPyLGQBGRYCZ2UxEzARBgoJkiaJk/IsZAEZFgNuYmcxHzAdBgNVBAMTFk5CRyBDbGFzcyAyIElOVCBTdWIgQ0EwHhcNMjQwMTE1MDgzNjE1WhcNMjUxMTI0MjI0OTMzWjA5MRYwFAYDVQQKEw1KU0MgQkFTSVNCQU5LMR8wHQYDVQQDExZCQlMgLSBUaW5hdGluIEtoZWxhZHplMIIBIjANBgkqhkiG9w0BAQEFAAOCAQ8AMIIBCgKCAQEA3Z9VzKnmwZA45BvYO4O8Pp9GgdSCsVpbH0vfk5Y82vwvz9M6kfSPOda1e3tWpeHbVlsLk69osXw3Zb/o7T8eYF2zxOTx5yUPut8EiDs31Gvfo0mbK5oD6Bq77hqfQo5aO484hYp4cntUvdgeZ8AJEsUcdZaCI+pkv1inJEk4fs8Lbx2e6VXBuTyXE97yNo3O1inZRnS8MZNipcGncm0iiviTsUmjTel0OKnJ7AUheAvrdD3z1VNlC3aNqGF9oja6YuyXUvsbrKBCPWql+OLOYkCFJPxq281YubEwQasvLYIXVVVbX4nfKOENSnz7nnpCoH0dBHiTOgTVjb/W1Gt3YQIDAQABo4IDMjCCAy4wPAYJKwYBBAGCNxUHBC8wLQYlKwYBBAGCNxUI5rJgg431RIaBmQmDuKFKg76EcQSDxJEzhIOIXQIBZAIBIzAdBgNVHSUEFjAUBggrBgEFBQcDAgYIKwYBBQUHAwQwCwYDVR0PBAQDAgeAMCcGCSsGAQQBgjcVCgQaMBgwCgYIKwYBBQUHAwIwCgYIKwYBBQUHAwQwHQYDVR0OBBYEFDnpdboTkffC5BVu1wuEgelqaFw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fG5lBpqJ5EbgMEF1/F8M/aM+/mCv2tjYkCwSemE4LMg9o7Lywu0WMZbPa8NFVA7KZ0n8ZDApjuxP2TntKuwGkkUMHh8IYwcBLSRDNIFLKTC3SpV52n764F3hA1HrM3K1cuYdLnJ0W2rrs9YzyvsjEpwIA99Xu8SzMVMjjqCxKGsoeU97L/GBHsbrIJpYsdueeVrRrcUU1bCEt0N3G/9gCh0Il2EXh7a8nZRwexpTRBErRztdjY1ywMzjPx9DU24GdxP/9piIwvl/qA4SoaYE7oDnmQSIFdnRyUYp6LngXGMCP2c24pylpOlH/1O3Edqs8Flc44ViNRV7GB4op9T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kT+dHbMyM5X0KdXUGl6bGOCbWQHyoOqqQxBx33omgGY=</DigestValue>
      </Reference>
      <Reference URI="/xl/drawings/drawing1.xml?ContentType=application/vnd.openxmlformats-officedocument.drawing+xml">
        <DigestMethod Algorithm="http://www.w3.org/2001/04/xmlenc#sha256"/>
        <DigestValue>N0geQPe8a4402qRaOCneIOSLRD1snmxQQBuaPHUvq4I=</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wbpUUbeaDbv4qytYZi1cGoWBPHfKEaPvOgxI2Z4te2w=</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daj9hv5ZEH8GgpuNZdfsHnhDyY0Hz1OGa+Fqf3Piy+s=</DigestValue>
      </Reference>
      <Reference URI="/xl/styles.xml?ContentType=application/vnd.openxmlformats-officedocument.spreadsheetml.styles+xml">
        <DigestMethod Algorithm="http://www.w3.org/2001/04/xmlenc#sha256"/>
        <DigestValue>6am8w8DMVho/8bRwXxaf/Tavlz/ZGzO5HyTejktSvpU=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xizEZzU05tcekL7UbwEzemPtfgn2gTxHq6iLBmpgc8A=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qyn7Nm1Do4OMbSX2dKVJph51umUdI5CmWUlZTWDjL1U=</DigestValue>
      </Reference>
      <Reference URI="/xl/worksheets/sheet10.xml?ContentType=application/vnd.openxmlformats-officedocument.spreadsheetml.worksheet+xml">
        <DigestMethod Algorithm="http://www.w3.org/2001/04/xmlenc#sha256"/>
        <DigestValue>Y1DVXD3262JXG5h7LW0EBcjV5TisKYIhkRBRjxTNcKQ=</DigestValue>
      </Reference>
      <Reference URI="/xl/worksheets/sheet11.xml?ContentType=application/vnd.openxmlformats-officedocument.spreadsheetml.worksheet+xml">
        <DigestMethod Algorithm="http://www.w3.org/2001/04/xmlenc#sha256"/>
        <DigestValue>GCS/+g1PmUjctPtilYWHQDxYebJtGXu+ZcWiYxdJRMM=</DigestValue>
      </Reference>
      <Reference URI="/xl/worksheets/sheet12.xml?ContentType=application/vnd.openxmlformats-officedocument.spreadsheetml.worksheet+xml">
        <DigestMethod Algorithm="http://www.w3.org/2001/04/xmlenc#sha256"/>
        <DigestValue>utqBX9T58KittSt5KZXGbYiB49E3rwELr+MV8Z96HOE=</DigestValue>
      </Reference>
      <Reference URI="/xl/worksheets/sheet13.xml?ContentType=application/vnd.openxmlformats-officedocument.spreadsheetml.worksheet+xml">
        <DigestMethod Algorithm="http://www.w3.org/2001/04/xmlenc#sha256"/>
        <DigestValue>8m8Jh/GsKKvbLaLnX5ryDSdJO67+TqPf8X2b1ve6c1U=</DigestValue>
      </Reference>
      <Reference URI="/xl/worksheets/sheet14.xml?ContentType=application/vnd.openxmlformats-officedocument.spreadsheetml.worksheet+xml">
        <DigestMethod Algorithm="http://www.w3.org/2001/04/xmlenc#sha256"/>
        <DigestValue>Tj0Bzu27gCcLCKsh2FoMRlQfndpPu3btqip9wqXM+c0=</DigestValue>
      </Reference>
      <Reference URI="/xl/worksheets/sheet15.xml?ContentType=application/vnd.openxmlformats-officedocument.spreadsheetml.worksheet+xml">
        <DigestMethod Algorithm="http://www.w3.org/2001/04/xmlenc#sha256"/>
        <DigestValue>TGa2FgfCCoTnkYfVKYanmUzr+YXOOSR6k8FmKhU8t6w=</DigestValue>
      </Reference>
      <Reference URI="/xl/worksheets/sheet16.xml?ContentType=application/vnd.openxmlformats-officedocument.spreadsheetml.worksheet+xml">
        <DigestMethod Algorithm="http://www.w3.org/2001/04/xmlenc#sha256"/>
        <DigestValue>yNWfHtsSUWsJy/h0whSaL+h/3dpIOvK5do8T7Lin8Vo=</DigestValue>
      </Reference>
      <Reference URI="/xl/worksheets/sheet17.xml?ContentType=application/vnd.openxmlformats-officedocument.spreadsheetml.worksheet+xml">
        <DigestMethod Algorithm="http://www.w3.org/2001/04/xmlenc#sha256"/>
        <DigestValue>rOrVmy5D5HWNNlpso67/aCAaUt5vu+eE+o776qJxfpQ=</DigestValue>
      </Reference>
      <Reference URI="/xl/worksheets/sheet18.xml?ContentType=application/vnd.openxmlformats-officedocument.spreadsheetml.worksheet+xml">
        <DigestMethod Algorithm="http://www.w3.org/2001/04/xmlenc#sha256"/>
        <DigestValue>jd5faDTAiFn3HOOMJ5RV51QLv7M9ZfjBbox/6gvWWko=</DigestValue>
      </Reference>
      <Reference URI="/xl/worksheets/sheet19.xml?ContentType=application/vnd.openxmlformats-officedocument.spreadsheetml.worksheet+xml">
        <DigestMethod Algorithm="http://www.w3.org/2001/04/xmlenc#sha256"/>
        <DigestValue>dt8q/UjXVVNlV9wVxhoC1yxg5svgNQQ9hNlv4tow6Gg=</DigestValue>
      </Reference>
      <Reference URI="/xl/worksheets/sheet2.xml?ContentType=application/vnd.openxmlformats-officedocument.spreadsheetml.worksheet+xml">
        <DigestMethod Algorithm="http://www.w3.org/2001/04/xmlenc#sha256"/>
        <DigestValue>GkNnOl08szg4/jhit34GMCj/g9UxJJsL5Jqg3sx6yPU=</DigestValue>
      </Reference>
      <Reference URI="/xl/worksheets/sheet20.xml?ContentType=application/vnd.openxmlformats-officedocument.spreadsheetml.worksheet+xml">
        <DigestMethod Algorithm="http://www.w3.org/2001/04/xmlenc#sha256"/>
        <DigestValue>7Ro7Cn2UT5AwfZ+oTNaymbgP3kCVKC5Gqo7xC+G2Mjw=</DigestValue>
      </Reference>
      <Reference URI="/xl/worksheets/sheet21.xml?ContentType=application/vnd.openxmlformats-officedocument.spreadsheetml.worksheet+xml">
        <DigestMethod Algorithm="http://www.w3.org/2001/04/xmlenc#sha256"/>
        <DigestValue>v9LTfDguC4F6OIznjoA+3mUstCgPmRF+vgP70gbK/fo=</DigestValue>
      </Reference>
      <Reference URI="/xl/worksheets/sheet22.xml?ContentType=application/vnd.openxmlformats-officedocument.spreadsheetml.worksheet+xml">
        <DigestMethod Algorithm="http://www.w3.org/2001/04/xmlenc#sha256"/>
        <DigestValue>q/i4H1etN4JRYiV62JMANeSZ1IV3cpeIbjgZdU+wroY=</DigestValue>
      </Reference>
      <Reference URI="/xl/worksheets/sheet23.xml?ContentType=application/vnd.openxmlformats-officedocument.spreadsheetml.worksheet+xml">
        <DigestMethod Algorithm="http://www.w3.org/2001/04/xmlenc#sha256"/>
        <DigestValue>7tQspEV9vOxqHdtkM9/W5Q5efnyBsxMNXOPKLg/2SjI=</DigestValue>
      </Reference>
      <Reference URI="/xl/worksheets/sheet24.xml?ContentType=application/vnd.openxmlformats-officedocument.spreadsheetml.worksheet+xml">
        <DigestMethod Algorithm="http://www.w3.org/2001/04/xmlenc#sha256"/>
        <DigestValue>5FFfcXdoFEyK8kCxzedX/+vs3zx9y58iDC5zohF2lao=</DigestValue>
      </Reference>
      <Reference URI="/xl/worksheets/sheet25.xml?ContentType=application/vnd.openxmlformats-officedocument.spreadsheetml.worksheet+xml">
        <DigestMethod Algorithm="http://www.w3.org/2001/04/xmlenc#sha256"/>
        <DigestValue>G7e4z0oFJi4fDVe5K+b3hC+g0mAyDEcEhSEVJLRD/qI=</DigestValue>
      </Reference>
      <Reference URI="/xl/worksheets/sheet26.xml?ContentType=application/vnd.openxmlformats-officedocument.spreadsheetml.worksheet+xml">
        <DigestMethod Algorithm="http://www.w3.org/2001/04/xmlenc#sha256"/>
        <DigestValue>NmhdE6N3B2uwV3b1DzBQBrKXxgOxZaWKeg55BKuwZ7w=</DigestValue>
      </Reference>
      <Reference URI="/xl/worksheets/sheet27.xml?ContentType=application/vnd.openxmlformats-officedocument.spreadsheetml.worksheet+xml">
        <DigestMethod Algorithm="http://www.w3.org/2001/04/xmlenc#sha256"/>
        <DigestValue>kRUVP+PQBdFuqn3AH+yM4/2cf5rpOI/K1jxS4ZjG3GI=</DigestValue>
      </Reference>
      <Reference URI="/xl/worksheets/sheet28.xml?ContentType=application/vnd.openxmlformats-officedocument.spreadsheetml.worksheet+xml">
        <DigestMethod Algorithm="http://www.w3.org/2001/04/xmlenc#sha256"/>
        <DigestValue>boUFWXJhs7GSO8v9ou9XvYmSoayFxQEXSTgk0xc1JwA=</DigestValue>
      </Reference>
      <Reference URI="/xl/worksheets/sheet29.xml?ContentType=application/vnd.openxmlformats-officedocument.spreadsheetml.worksheet+xml">
        <DigestMethod Algorithm="http://www.w3.org/2001/04/xmlenc#sha256"/>
        <DigestValue>TWJVCfS/CqrcHQaEccbagiYOhrfU3NmcuEL7zPPMUzI=</DigestValue>
      </Reference>
      <Reference URI="/xl/worksheets/sheet3.xml?ContentType=application/vnd.openxmlformats-officedocument.spreadsheetml.worksheet+xml">
        <DigestMethod Algorithm="http://www.w3.org/2001/04/xmlenc#sha256"/>
        <DigestValue>BglA5OkbgT9qLQKFb2MVgYn/tci3oLRmhOXH1GDmeC4=</DigestValue>
      </Reference>
      <Reference URI="/xl/worksheets/sheet4.xml?ContentType=application/vnd.openxmlformats-officedocument.spreadsheetml.worksheet+xml">
        <DigestMethod Algorithm="http://www.w3.org/2001/04/xmlenc#sha256"/>
        <DigestValue>uG1Ux6StdNSDuxfS5OXzGsX4JNDBQsGm84iZhKWKKV4=</DigestValue>
      </Reference>
      <Reference URI="/xl/worksheets/sheet5.xml?ContentType=application/vnd.openxmlformats-officedocument.spreadsheetml.worksheet+xml">
        <DigestMethod Algorithm="http://www.w3.org/2001/04/xmlenc#sha256"/>
        <DigestValue>lHoUmnsDrkklXCvSWslLkYbBux+grKEgrnvihPI9Zkg=</DigestValue>
      </Reference>
      <Reference URI="/xl/worksheets/sheet6.xml?ContentType=application/vnd.openxmlformats-officedocument.spreadsheetml.worksheet+xml">
        <DigestMethod Algorithm="http://www.w3.org/2001/04/xmlenc#sha256"/>
        <DigestValue>B8WuPVyK1If4euGYegQN8KJZCZCqsonj4QdtheIrh5o=</DigestValue>
      </Reference>
      <Reference URI="/xl/worksheets/sheet7.xml?ContentType=application/vnd.openxmlformats-officedocument.spreadsheetml.worksheet+xml">
        <DigestMethod Algorithm="http://www.w3.org/2001/04/xmlenc#sha256"/>
        <DigestValue>vq/H+T6Iz9HvGjq4JGcPK+R67rGaAPs/1LciHbekocI=</DigestValue>
      </Reference>
      <Reference URI="/xl/worksheets/sheet8.xml?ContentType=application/vnd.openxmlformats-officedocument.spreadsheetml.worksheet+xml">
        <DigestMethod Algorithm="http://www.w3.org/2001/04/xmlenc#sha256"/>
        <DigestValue>UGx6kEbytVYSIV2DqS2G/4XHuuvfFZINP1IdVMNOmu0=</DigestValue>
      </Reference>
      <Reference URI="/xl/worksheets/sheet9.xml?ContentType=application/vnd.openxmlformats-officedocument.spreadsheetml.worksheet+xml">
        <DigestMethod Algorithm="http://www.w3.org/2001/04/xmlenc#sha256"/>
        <DigestValue>aPOCsTMvConqMijY7TcS0LmUvRgBVVdu0woapg15lpM=</DigestValue>
      </Reference>
    </Manifest>
    <SignatureProperties>
      <SignatureProperty Id="idSignatureTime" Target="#idPackageSignature">
        <mdssi:SignatureTime xmlns:mdssi="http://schemas.openxmlformats.org/package/2006/digital-signature">
          <mdssi:Format>YYYY-MM-DDThh:mm:ssTZD</mdssi:Format>
          <mdssi:Value>2024-02-12T11:35:55Z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2024-02-12T11:35:55Z</xd:SigningTime>
          <xd:SigningCertificate>
            <xd:Cert>
              <xd:CertDigest>
                <DigestMethod Algorithm="http://www.w3.org/2001/04/xmlenc#sha256"/>
                <DigestValue>pprXaHJtWd3ys+SKuntXowqdHcpmVuFXUx0MBMRDTic=</DigestValue>
              </xd:CertDigest>
              <xd:IssuerSerial>
                <X509IssuerName>CN=NBG Class 2 INT Sub CA, DC=nbg, DC=ge</X509IssuerName>
                <X509SerialNumber>548575676004957931325389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2024-02-09T12:44:29Z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