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195" tabRatio="919"/>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 r:id="rId36"/>
    <externalReference r:id="rId37"/>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L22" i="117" l="1"/>
  <c r="H22" i="117"/>
  <c r="L21" i="117"/>
  <c r="H21" i="117"/>
  <c r="C21" i="117"/>
  <c r="L20" i="117"/>
  <c r="H20" i="117"/>
  <c r="C20" i="117"/>
  <c r="L19" i="117"/>
  <c r="H19" i="117"/>
  <c r="C19" i="117"/>
  <c r="L18" i="117"/>
  <c r="H18" i="117"/>
  <c r="C18" i="117"/>
  <c r="L17" i="117"/>
  <c r="H17" i="117"/>
  <c r="C17" i="117"/>
  <c r="L15" i="117"/>
  <c r="H15" i="117"/>
  <c r="C15" i="117"/>
  <c r="L14" i="117"/>
  <c r="H14" i="117"/>
  <c r="C14" i="117"/>
  <c r="L13" i="117"/>
  <c r="H13" i="117"/>
  <c r="C13" i="117"/>
  <c r="L12" i="117"/>
  <c r="H12" i="117"/>
  <c r="C12" i="117"/>
  <c r="L11" i="117"/>
  <c r="H11" i="117"/>
  <c r="C11" i="117"/>
  <c r="L10" i="117"/>
  <c r="H10" i="117"/>
  <c r="C10" i="117"/>
  <c r="L9" i="117"/>
  <c r="H9" i="117"/>
  <c r="C9" i="117"/>
  <c r="L8" i="117"/>
  <c r="H8" i="117"/>
  <c r="C8" i="117"/>
  <c r="C27" i="116"/>
  <c r="C22" i="116" s="1"/>
  <c r="C26" i="116"/>
  <c r="U22" i="116"/>
  <c r="T22" i="116"/>
  <c r="S22" i="116"/>
  <c r="R22" i="116"/>
  <c r="Q22" i="116"/>
  <c r="P22" i="116"/>
  <c r="O22" i="116"/>
  <c r="N22" i="116"/>
  <c r="M22" i="116"/>
  <c r="L22" i="116"/>
  <c r="K22" i="116"/>
  <c r="J22" i="116"/>
  <c r="I22" i="116"/>
  <c r="H22" i="116"/>
  <c r="G22" i="116"/>
  <c r="F22" i="116"/>
  <c r="E22" i="116"/>
  <c r="D22" i="116"/>
  <c r="U15" i="116"/>
  <c r="T15" i="116"/>
  <c r="S15" i="116"/>
  <c r="R15" i="116"/>
  <c r="Q15" i="116"/>
  <c r="P15" i="116"/>
  <c r="O15" i="116"/>
  <c r="N15" i="116"/>
  <c r="M15" i="116"/>
  <c r="L15" i="116"/>
  <c r="K15" i="116"/>
  <c r="J15" i="116"/>
  <c r="I15" i="116"/>
  <c r="H15" i="116"/>
  <c r="G15" i="116"/>
  <c r="F15" i="116"/>
  <c r="E15" i="116"/>
  <c r="D15" i="116"/>
  <c r="C15" i="116"/>
  <c r="L14" i="116"/>
  <c r="C14" i="116" s="1"/>
  <c r="H14" i="116"/>
  <c r="D14" i="116"/>
  <c r="L13" i="116"/>
  <c r="H13" i="116"/>
  <c r="D13" i="116"/>
  <c r="C13" i="116"/>
  <c r="L12" i="116"/>
  <c r="C12" i="116" s="1"/>
  <c r="C8" i="116" s="1"/>
  <c r="H12" i="116"/>
  <c r="D12" i="116"/>
  <c r="L11" i="116"/>
  <c r="H11" i="116"/>
  <c r="D11" i="116"/>
  <c r="L10" i="116"/>
  <c r="L8" i="116" s="1"/>
  <c r="H10" i="116"/>
  <c r="D10" i="116"/>
  <c r="L9" i="116"/>
  <c r="H9" i="116"/>
  <c r="H8" i="116" s="1"/>
  <c r="D9" i="116"/>
  <c r="U8" i="116"/>
  <c r="T8" i="116"/>
  <c r="S8" i="116"/>
  <c r="R8" i="116"/>
  <c r="Q8" i="116"/>
  <c r="P8" i="116"/>
  <c r="O8" i="116"/>
  <c r="N8" i="116"/>
  <c r="M8" i="116"/>
  <c r="K8" i="116"/>
  <c r="J8" i="116"/>
  <c r="I8" i="116"/>
  <c r="G8" i="116"/>
  <c r="F8" i="116"/>
  <c r="E8" i="116"/>
  <c r="D8" i="116"/>
  <c r="C18" i="115"/>
  <c r="C10" i="115"/>
  <c r="C10" i="114"/>
  <c r="C7" i="114"/>
  <c r="C15" i="114" s="1"/>
  <c r="G34" i="113"/>
  <c r="F34" i="113"/>
  <c r="E34" i="113"/>
  <c r="C34" i="113"/>
  <c r="D33" i="113"/>
  <c r="D34" i="113" s="1"/>
  <c r="H24" i="112"/>
  <c r="H8" i="111"/>
  <c r="H9" i="111"/>
  <c r="H10" i="111"/>
  <c r="H11" i="111"/>
  <c r="H12" i="111"/>
  <c r="H13" i="111"/>
  <c r="H14" i="111"/>
  <c r="H15" i="111"/>
  <c r="H16" i="111"/>
  <c r="H17" i="111"/>
  <c r="H18" i="111"/>
  <c r="H22" i="111" s="1"/>
  <c r="H19" i="111"/>
  <c r="H20" i="111"/>
  <c r="H21" i="111"/>
  <c r="C22" i="111"/>
  <c r="D22" i="111"/>
  <c r="E22" i="111"/>
  <c r="F22" i="111"/>
  <c r="G22" i="111"/>
  <c r="G21" i="112" l="1"/>
  <c r="F21" i="112"/>
  <c r="E21" i="112"/>
  <c r="C21" i="112"/>
  <c r="D21" i="112"/>
  <c r="H23" i="111" l="1"/>
  <c r="G39" i="97" l="1"/>
  <c r="C31" i="95" l="1"/>
  <c r="C26" i="95"/>
  <c r="C22" i="95"/>
  <c r="C12" i="95"/>
  <c r="C14" i="95" s="1"/>
  <c r="C8" i="95"/>
  <c r="C32" i="95" l="1"/>
  <c r="C34" i="95" s="1"/>
  <c r="H21" i="91" l="1"/>
  <c r="H20" i="91"/>
  <c r="H19" i="91"/>
  <c r="H18" i="91"/>
  <c r="H17" i="91"/>
  <c r="H16" i="91"/>
  <c r="H15" i="91"/>
  <c r="H14" i="91"/>
  <c r="H13" i="91"/>
  <c r="H12" i="91"/>
  <c r="H11" i="91"/>
  <c r="H10" i="91"/>
  <c r="H9" i="91"/>
  <c r="H8" i="91"/>
  <c r="C66" i="69"/>
  <c r="C65" i="69"/>
  <c r="C64" i="69"/>
  <c r="C62" i="69" s="1"/>
  <c r="C67" i="69" s="1"/>
  <c r="C68" i="69" s="1"/>
  <c r="C63" i="69"/>
  <c r="C60" i="69"/>
  <c r="C58" i="69"/>
  <c r="C57" i="69"/>
  <c r="C56" i="69"/>
  <c r="C55" i="69"/>
  <c r="C54" i="69"/>
  <c r="C51" i="69"/>
  <c r="C50" i="69"/>
  <c r="C49" i="69"/>
  <c r="C48" i="69"/>
  <c r="C47" i="69"/>
  <c r="C46" i="69"/>
  <c r="C45" i="69"/>
  <c r="C41" i="69"/>
  <c r="C33" i="69"/>
  <c r="C32" i="69"/>
  <c r="C31" i="69"/>
  <c r="C30" i="69"/>
  <c r="C28" i="69"/>
  <c r="C26" i="69" s="1"/>
  <c r="C25" i="69"/>
  <c r="C24" i="69"/>
  <c r="C20" i="69"/>
  <c r="C19" i="69"/>
  <c r="C18" i="69" s="1"/>
  <c r="C17" i="69"/>
  <c r="C16" i="69"/>
  <c r="C15" i="69"/>
  <c r="C9" i="69"/>
  <c r="C8" i="69"/>
  <c r="C7" i="69"/>
  <c r="C6" i="69" s="1"/>
  <c r="C40" i="69"/>
  <c r="C52" i="69" s="1"/>
  <c r="E52" i="69" s="1"/>
  <c r="C29" i="69"/>
  <c r="C23" i="69"/>
  <c r="C14" i="69"/>
  <c r="C35" i="69" l="1"/>
  <c r="E35" i="69" s="1"/>
  <c r="B2" i="84"/>
  <c r="C8" i="73"/>
  <c r="E37" i="88"/>
  <c r="E36" i="88"/>
  <c r="E35" i="88"/>
  <c r="E34" i="88"/>
  <c r="E33" i="88"/>
  <c r="E32" i="88"/>
  <c r="E31" i="88"/>
  <c r="E30" i="88"/>
  <c r="E29" i="88"/>
  <c r="E28" i="88"/>
  <c r="E27" i="88"/>
  <c r="E26" i="88"/>
  <c r="E25" i="88"/>
  <c r="E24" i="88"/>
  <c r="E23" i="88"/>
  <c r="E22" i="88"/>
  <c r="E21" i="88"/>
  <c r="E20" i="88"/>
  <c r="E19" i="88"/>
  <c r="E18" i="88"/>
  <c r="E17" i="88"/>
  <c r="E16" i="88"/>
  <c r="E15" i="88"/>
  <c r="E14" i="88"/>
  <c r="E13" i="88"/>
  <c r="E12" i="88"/>
  <c r="E11" i="88"/>
  <c r="E10" i="88"/>
  <c r="E9" i="88"/>
  <c r="E8" i="88"/>
  <c r="D30" i="88"/>
  <c r="C38" i="88"/>
  <c r="C34" i="88"/>
  <c r="C35" i="88"/>
  <c r="C30" i="88"/>
  <c r="C29" i="88"/>
  <c r="C27" i="88"/>
  <c r="C26" i="88"/>
  <c r="C22" i="88"/>
  <c r="C17" i="88"/>
  <c r="C11" i="88"/>
  <c r="C10" i="88"/>
  <c r="C9" i="88"/>
  <c r="H43" i="110" l="1"/>
  <c r="E43" i="110"/>
  <c r="H42" i="110"/>
  <c r="E42" i="110"/>
  <c r="H41" i="110"/>
  <c r="E41" i="110"/>
  <c r="H40" i="110"/>
  <c r="E40" i="110"/>
  <c r="H39" i="110"/>
  <c r="E39" i="110"/>
  <c r="H38" i="110"/>
  <c r="E38" i="110"/>
  <c r="D38" i="110"/>
  <c r="C38" i="110"/>
  <c r="H37" i="110"/>
  <c r="E37" i="110"/>
  <c r="H36" i="110"/>
  <c r="E36" i="110"/>
  <c r="H35" i="110"/>
  <c r="E35" i="110"/>
  <c r="H34" i="110"/>
  <c r="E34" i="110"/>
  <c r="H33" i="110"/>
  <c r="E33" i="110"/>
  <c r="H32" i="110"/>
  <c r="E32" i="110"/>
  <c r="H31" i="110"/>
  <c r="E31" i="110"/>
  <c r="H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H14" i="110"/>
  <c r="E14" i="110"/>
  <c r="D14" i="110"/>
  <c r="C14" i="110"/>
  <c r="H13" i="110"/>
  <c r="E13" i="110"/>
  <c r="H12" i="110"/>
  <c r="E12" i="110"/>
  <c r="H11" i="110"/>
  <c r="E11" i="110"/>
  <c r="D11" i="110"/>
  <c r="C11" i="110"/>
  <c r="H10" i="110"/>
  <c r="E10" i="110"/>
  <c r="H9" i="110"/>
  <c r="E9" i="110"/>
  <c r="H8" i="110"/>
  <c r="E8" i="110"/>
  <c r="H7" i="110"/>
  <c r="E7" i="110"/>
  <c r="H6" i="110"/>
  <c r="E6" i="110"/>
  <c r="H45" i="109"/>
  <c r="E45" i="109"/>
  <c r="H44" i="109"/>
  <c r="E44" i="109"/>
  <c r="H43" i="109"/>
  <c r="E43" i="109"/>
  <c r="H42" i="109"/>
  <c r="E42" i="109"/>
  <c r="H41" i="109"/>
  <c r="E41" i="109"/>
  <c r="H40" i="109"/>
  <c r="E40" i="109"/>
  <c r="H39" i="109"/>
  <c r="E39" i="109"/>
  <c r="H38" i="109"/>
  <c r="E38" i="109"/>
  <c r="H37" i="109"/>
  <c r="E37" i="109"/>
  <c r="H36" i="109"/>
  <c r="E36" i="109"/>
  <c r="H35" i="109"/>
  <c r="E35" i="109"/>
  <c r="H34" i="109"/>
  <c r="E34" i="109"/>
  <c r="H33" i="109"/>
  <c r="E33" i="109"/>
  <c r="H32" i="109"/>
  <c r="E32" i="109"/>
  <c r="H31" i="109"/>
  <c r="E31" i="109"/>
  <c r="H30" i="109"/>
  <c r="E30" i="109"/>
  <c r="H29"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H12" i="109"/>
  <c r="E12" i="109"/>
  <c r="H11" i="109"/>
  <c r="E11" i="109"/>
  <c r="H10" i="109"/>
  <c r="E10" i="109"/>
  <c r="H9" i="109"/>
  <c r="E9" i="109"/>
  <c r="H8" i="109"/>
  <c r="E8" i="109"/>
  <c r="H7" i="109"/>
  <c r="E7" i="109"/>
  <c r="H6" i="109"/>
  <c r="E6" i="109"/>
  <c r="G69" i="108"/>
  <c r="F69" i="108"/>
  <c r="H69" i="108" s="1"/>
  <c r="D69" i="108"/>
  <c r="C69" i="108"/>
  <c r="E69" i="108" s="1"/>
  <c r="H68" i="108"/>
  <c r="E68" i="108"/>
  <c r="H67" i="108"/>
  <c r="E67" i="108"/>
  <c r="H66" i="108"/>
  <c r="E66" i="108"/>
  <c r="H65" i="108"/>
  <c r="E65" i="108"/>
  <c r="H64" i="108"/>
  <c r="E64" i="108"/>
  <c r="H63" i="108"/>
  <c r="E63" i="108"/>
  <c r="H62" i="108"/>
  <c r="E62" i="108"/>
  <c r="H61" i="108"/>
  <c r="E61" i="108"/>
  <c r="H60" i="108"/>
  <c r="E60" i="108"/>
  <c r="H59" i="108"/>
  <c r="E59" i="108"/>
  <c r="H58" i="108"/>
  <c r="E58" i="108"/>
  <c r="H57" i="108"/>
  <c r="E57" i="108"/>
  <c r="H56" i="108"/>
  <c r="E56" i="108"/>
  <c r="H55" i="108"/>
  <c r="E55" i="108"/>
  <c r="H53" i="108"/>
  <c r="E53" i="108"/>
  <c r="H52" i="108"/>
  <c r="E52" i="108"/>
  <c r="H51" i="108"/>
  <c r="E51" i="108"/>
  <c r="H50" i="108"/>
  <c r="E50" i="108"/>
  <c r="H49" i="108"/>
  <c r="E49" i="108"/>
  <c r="H48" i="108"/>
  <c r="E48" i="108"/>
  <c r="H47" i="108"/>
  <c r="E47" i="108"/>
  <c r="H46" i="108"/>
  <c r="E46" i="108"/>
  <c r="H45" i="108"/>
  <c r="E45" i="108"/>
  <c r="H44" i="108"/>
  <c r="E44" i="108"/>
  <c r="H43" i="108"/>
  <c r="E43" i="108"/>
  <c r="H42" i="108"/>
  <c r="E42" i="108"/>
  <c r="H41" i="108"/>
  <c r="E41" i="108"/>
  <c r="H40" i="108"/>
  <c r="E40" i="108"/>
  <c r="H39" i="108"/>
  <c r="E39" i="108"/>
  <c r="H38" i="108"/>
  <c r="E38" i="108"/>
  <c r="H36" i="108"/>
  <c r="E36" i="108"/>
  <c r="H35" i="108"/>
  <c r="E35" i="108"/>
  <c r="H34" i="108"/>
  <c r="E34" i="108"/>
  <c r="H33" i="108"/>
  <c r="E33" i="108"/>
  <c r="H32" i="108"/>
  <c r="E32" i="108"/>
  <c r="H31" i="108"/>
  <c r="E31" i="108"/>
  <c r="H30" i="108"/>
  <c r="E30" i="108"/>
  <c r="H29" i="108"/>
  <c r="E29" i="108"/>
  <c r="H28" i="108"/>
  <c r="E28" i="108"/>
  <c r="H27" i="108"/>
  <c r="E27" i="108"/>
  <c r="H26" i="108"/>
  <c r="E26" i="108"/>
  <c r="H25" i="108"/>
  <c r="E25" i="108"/>
  <c r="H24" i="108"/>
  <c r="E24"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H7" i="108"/>
  <c r="E7" i="108"/>
  <c r="F6" i="123" l="1"/>
  <c r="E6" i="123"/>
  <c r="D6" i="123"/>
  <c r="C6" i="123"/>
  <c r="B1" i="92"/>
  <c r="B2" i="92"/>
  <c r="Q33" i="92"/>
  <c r="I33" i="92"/>
  <c r="Q32" i="92"/>
  <c r="I32" i="92"/>
  <c r="Q31" i="92"/>
  <c r="Q30" i="92" s="1"/>
  <c r="I31" i="92"/>
  <c r="I30" i="92"/>
  <c r="Q29" i="92"/>
  <c r="I29" i="92"/>
  <c r="Q28" i="92"/>
  <c r="Q26" i="92" s="1"/>
  <c r="I28" i="92"/>
  <c r="Q27" i="92"/>
  <c r="I27" i="92"/>
  <c r="I26" i="92"/>
  <c r="Q25" i="92"/>
  <c r="I25" i="92"/>
  <c r="Q24" i="92"/>
  <c r="I24" i="92"/>
  <c r="Q23" i="92"/>
  <c r="Q22" i="92" s="1"/>
  <c r="I23" i="92"/>
  <c r="I22" i="92"/>
  <c r="Q21" i="92"/>
  <c r="I21" i="92"/>
  <c r="Q20" i="92"/>
  <c r="I20" i="92"/>
  <c r="Q19" i="92"/>
  <c r="I19" i="92"/>
  <c r="I18" i="92"/>
  <c r="Q17" i="92"/>
  <c r="I17" i="92"/>
  <c r="Q16" i="92"/>
  <c r="Q14" i="92" s="1"/>
  <c r="I16" i="92"/>
  <c r="Q15" i="92"/>
  <c r="I15" i="92"/>
  <c r="I14" i="92"/>
  <c r="Q13" i="92"/>
  <c r="Q9" i="92" s="1"/>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O6" i="92" s="1"/>
  <c r="O34" i="92" s="1"/>
  <c r="N7" i="92"/>
  <c r="M7" i="92"/>
  <c r="M6" i="92" s="1"/>
  <c r="M34" i="92" s="1"/>
  <c r="L7" i="92"/>
  <c r="L6" i="92" s="1"/>
  <c r="L34" i="92" s="1"/>
  <c r="K7" i="92"/>
  <c r="K6" i="92" s="1"/>
  <c r="K34" i="92" s="1"/>
  <c r="J7" i="92"/>
  <c r="G7" i="92"/>
  <c r="F7" i="92"/>
  <c r="I7" i="92" s="1"/>
  <c r="C7" i="92"/>
  <c r="C6" i="92" s="1"/>
  <c r="C34" i="92" s="1"/>
  <c r="F6" i="92"/>
  <c r="F34" i="92" s="1"/>
  <c r="E6" i="92"/>
  <c r="E34" i="92" s="1"/>
  <c r="D6" i="92"/>
  <c r="D34" i="92" s="1"/>
  <c r="B2" i="123"/>
  <c r="B1" i="123"/>
  <c r="I9" i="92" l="1"/>
  <c r="N6" i="92"/>
  <c r="N34" i="92" s="1"/>
  <c r="Q18" i="92"/>
  <c r="P6" i="92"/>
  <c r="P34" i="92" s="1"/>
  <c r="G6" i="92"/>
  <c r="G34" i="92" s="1"/>
  <c r="Q8" i="92"/>
  <c r="J6" i="92"/>
  <c r="J34" i="92" s="1"/>
  <c r="I8" i="92"/>
  <c r="I6" i="92"/>
  <c r="Q7" i="92"/>
  <c r="Q6" i="92" l="1"/>
  <c r="Q34" i="92" s="1"/>
  <c r="I34" i="92"/>
  <c r="A2" i="121" l="1"/>
  <c r="A1" i="121"/>
  <c r="F12" i="122"/>
  <c r="E12" i="122"/>
  <c r="D12" i="122"/>
  <c r="C12" i="122"/>
  <c r="B12" i="122"/>
  <c r="E11" i="122"/>
  <c r="D11" i="122"/>
  <c r="C11" i="122"/>
  <c r="B11" i="122"/>
  <c r="E10" i="122"/>
  <c r="D10" i="122"/>
  <c r="C10" i="122"/>
  <c r="B10" i="122"/>
  <c r="F10" i="122" s="1"/>
  <c r="F9" i="122"/>
  <c r="E9" i="122"/>
  <c r="D9" i="122"/>
  <c r="C9" i="122"/>
  <c r="B9" i="122"/>
  <c r="B11" i="121"/>
  <c r="F11" i="122"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D7" i="114" l="1"/>
  <c r="D10" i="114"/>
  <c r="D15" i="114" s="1"/>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H34" i="113"/>
  <c r="H8" i="112"/>
  <c r="H9" i="112"/>
  <c r="H10" i="112"/>
  <c r="H11" i="112"/>
  <c r="H12" i="112"/>
  <c r="H13" i="112"/>
  <c r="H14" i="112"/>
  <c r="H15" i="112"/>
  <c r="H16" i="112"/>
  <c r="H17" i="112"/>
  <c r="H18" i="112"/>
  <c r="H19" i="112"/>
  <c r="H20" i="112"/>
  <c r="H22" i="112"/>
  <c r="H23" i="112"/>
  <c r="H21" i="112" l="1"/>
  <c r="D8" i="88"/>
  <c r="D37" i="88" s="1"/>
  <c r="D16" i="88"/>
  <c r="D20" i="88"/>
  <c r="D25" i="88"/>
  <c r="D28" i="88"/>
  <c r="D31" i="88"/>
  <c r="C31" i="88"/>
  <c r="C28" i="88"/>
  <c r="C25" i="88"/>
  <c r="C20" i="88"/>
  <c r="C16" i="88"/>
  <c r="C8" i="88"/>
  <c r="C37" i="88" s="1"/>
  <c r="B1" i="97" l="1"/>
  <c r="B1" i="95" l="1"/>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D6" i="86" l="1"/>
  <c r="D13" i="86" s="1"/>
  <c r="C6" i="86" l="1"/>
  <c r="C13" i="86" s="1"/>
  <c r="D15" i="94" l="1"/>
  <c r="D16" i="94"/>
  <c r="D19" i="94"/>
  <c r="D17" i="94"/>
  <c r="D8" i="94"/>
  <c r="D9" i="94"/>
  <c r="D21" i="94"/>
  <c r="D7" i="94"/>
  <c r="D12" i="94"/>
  <c r="D13" i="94"/>
  <c r="D20" i="94"/>
  <c r="D11" i="94"/>
  <c r="S21" i="90"/>
  <c r="S20" i="90"/>
  <c r="S19" i="90"/>
  <c r="S18" i="90"/>
  <c r="S17" i="90"/>
  <c r="S16" i="90"/>
  <c r="S15" i="90"/>
  <c r="S14" i="90"/>
  <c r="S13" i="90"/>
  <c r="S12" i="90"/>
  <c r="S11" i="90"/>
  <c r="S10" i="90"/>
  <c r="S9" i="90"/>
  <c r="S8" i="90"/>
  <c r="T21" i="64" l="1"/>
  <c r="U21" i="64"/>
  <c r="S21" i="64"/>
  <c r="C21" i="64"/>
  <c r="G22" i="91"/>
  <c r="F22" i="91"/>
  <c r="E22" i="91"/>
  <c r="D22" i="91"/>
  <c r="C22" i="91"/>
  <c r="H22" i="91" l="1"/>
  <c r="K22" i="90"/>
  <c r="L22" i="90"/>
  <c r="M22" i="90"/>
  <c r="N22" i="90"/>
  <c r="O22" i="90"/>
  <c r="P22" i="90"/>
  <c r="Q22" i="90"/>
  <c r="R22" i="90"/>
  <c r="S22" i="90"/>
  <c r="S23" i="90" s="1"/>
  <c r="C22" i="90" l="1"/>
  <c r="C12" i="89"/>
  <c r="C6" i="89"/>
  <c r="D22" i="90" l="1"/>
  <c r="E22" i="90"/>
  <c r="F22" i="90"/>
  <c r="G22" i="90"/>
  <c r="H22" i="90"/>
  <c r="I22" i="90"/>
  <c r="J22" i="90"/>
  <c r="C29" i="89"/>
  <c r="C32" i="89"/>
  <c r="C31" i="89" s="1"/>
  <c r="C36" i="89"/>
  <c r="C44" i="89"/>
  <c r="C48" i="89"/>
  <c r="C42" i="89" l="1"/>
  <c r="C53" i="89"/>
  <c r="B7" i="121" s="1"/>
  <c r="B6" i="121" l="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 r="C5" i="73" l="1"/>
  <c r="C13" i="73" s="1"/>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<sst xmlns="http://schemas.openxmlformats.org/spreadsheetml/2006/main" count="1254" uniqueCount="778">
  <si>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</si>
  <si>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</si>
  <si>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</si>
  <si>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</si>
  <si>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</si>
  <si>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</si>
  <si>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</si>
  <si>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</si>
  <si>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</si>
  <si>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</si>
  <si>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</si>
  <si>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</si>
  <si>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</si>
  <si>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</si>
  <si>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</si>
  <si>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</si>
  <si>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</si>
  <si>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</si>
  <si>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</si>
  <si>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</si>
  <si>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</si>
  <si>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</si>
  <si>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</si>
  <si>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</si>
  <si>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</si>
  <si>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</si>
  <si>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</si>
  <si>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</si>
  <si>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</si>
  <si>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</si>
  <si>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</si>
  <si>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</si>
  <si>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</si>
  <si>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</si>
  <si>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</si>
  <si>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</si>
  <si>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</si>
  <si>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</si>
  <si>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</si>
  <si>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</si>
  <si>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</si>
  <si>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</si>
  <si>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</si>
  <si>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</si>
  <si>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</si>
  <si>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</si>
  <si>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</si>
  <si>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</si>
  <si>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</si>
  <si>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</si>
  <si>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</si>
  <si>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</si>
  <si>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</si>
  <si>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</si>
  <si>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</si>
  <si>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</si>
  <si>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</si>
  <si>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</si>
  <si>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</si>
  <si>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</si>
  <si>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</si>
  <si>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</si>
  <si>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</si>
  <si>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</si>
  <si>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</si>
  <si>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</si>
  <si>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</si>
  <si>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</si>
  <si>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</si>
  <si>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</si>
  <si>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</si>
  <si>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</si>
  <si>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</si>
  <si>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</si>
  <si>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</si>
  <si>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</si>
  <si>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</si>
  <si>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</si>
  <si>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</si>
  <si>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</si>
  <si>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</si>
  <si>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</si>
  <si>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</si>
  <si>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</si>
  <si>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</si>
  <si>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</si>
  <si>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</si>
  <si>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</si>
  <si>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</si>
  <si>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</si>
  <si>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</si>
  <si>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</si>
  <si>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</si>
  <si>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</si>
  <si>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</si>
  <si>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</si>
  <si>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</si>
  <si>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</si>
  <si>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</si>
  <si>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</si>
  <si>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</si>
  <si>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</si>
  <si>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</si>
  <si>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</si>
  <si>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</si>
  <si>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</si>
  <si>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</si>
  <si>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</si>
  <si>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</si>
  <si>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</si>
  <si>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</si>
  <si>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</si>
  <si>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</si>
  <si>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</si>
  <si>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</si>
  <si>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</si>
  <si>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</si>
  <si>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</si>
  <si>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</si>
  <si>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</si>
  <si>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</si>
  <si>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</si>
  <si>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</si>
  <si>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</si>
  <si>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</si>
  <si>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</si>
  <si>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</si>
  <si>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</si>
  <si>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</si>
  <si>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</si>
  <si>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</si>
  <si>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</si>
  <si>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</si>
  <si>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</si>
  <si>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</si>
  <si>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</si>
  <si>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</si>
  <si>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</si>
  <si>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</si>
  <si>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</si>
  <si>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</si>
  <si>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</si>
  <si>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</si>
  <si>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</si>
  <si>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</si>
  <si>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</si>
  <si>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</si>
  <si>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</si>
  <si>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</si>
  <si>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</si>
  <si>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</si>
  <si>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</si>
  <si>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</si>
  <si>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</si>
  <si>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</si>
  <si>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</si>
  <si>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</si>
  <si>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</si>
  <si>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</si>
  <si>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</si>
  <si>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</si>
  <si>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</si>
  <si>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</si>
  <si>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</si>
  <si>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</si>
  <si>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</si>
  <si>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</si>
  <si>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</si>
  <si>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</si>
  <si>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</si>
  <si>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</si>
  <si>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</si>
  <si>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</si>
  <si>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</si>
  <si>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</si>
  <si>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</si>
  <si>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</si>
  <si>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</si>
  <si>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</si>
  <si>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</si>
  <si>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</si>
  <si>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</si>
  <si>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</si>
  <si>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</si>
  <si>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</si>
  <si>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</si>
  <si>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</si>
  <si>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</si>
  <si>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</si>
  <si>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</si>
  <si>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</si>
  <si>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</si>
  <si>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</si>
  <si>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</si>
  <si>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</si>
  <si>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</si>
  <si>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</si>
  <si>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</si>
  <si>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</si>
  <si>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</si>
  <si>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</si>
  <si>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</si>
  <si>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</si>
  <si>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</si>
  <si>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</si>
  <si>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</si>
  <si>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</si>
  <si>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</si>
  <si>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</si>
  <si>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</si>
  <si>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</si>
  <si>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</si>
  <si>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</si>
  <si>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</si>
  <si>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</si>
  <si>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</si>
  <si>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</si>
  <si>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</si>
  <si>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</si>
  <si>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</si>
  <si>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</si>
  <si>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</si>
  <si>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</si>
  <si>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</si>
  <si>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</si>
  <si>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</si>
  <si>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</si>
  <si>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</si>
  <si>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</si>
  <si>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</si>
  <si>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</si>
  <si>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</si>
  <si>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</si>
  <si>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</si>
  <si>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</si>
  <si>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</si>
  <si>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</si>
  <si>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</si>
  <si>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</si>
  <si>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</si>
  <si>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</si>
  <si>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</si>
  <si>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</si>
  <si>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</si>
  <si>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</si>
  <si>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</si>
  <si>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</si>
  <si>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</si>
  <si>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</si>
  <si>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</si>
  <si>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</si>
  <si>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</si>
  <si>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</si>
  <si>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</si>
  <si>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</si>
  <si>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</si>
  <si>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</si>
  <si>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</si>
  <si>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</si>
  <si>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</si>
  <si>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</si>
  <si>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</si>
  <si>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</si>
  <si>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</si>
  <si>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</si>
  <si>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</si>
  <si>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</si>
  <si>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</si>
  <si>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</si>
  <si>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</si>
  <si>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</si>
  <si>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</si>
  <si>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</si>
  <si>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</si>
  <si>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</si>
  <si>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</si>
  <si>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</si>
  <si>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</si>
  <si>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</si>
  <si>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</si>
  <si>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</si>
  <si>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</si>
  <si>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</si>
  <si>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</si>
  <si>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</si>
  <si>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</si>
  <si>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</si>
  <si>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</si>
  <si>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</si>
  <si>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</si>
  <si>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</si>
  <si>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</si>
  <si>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</si>
  <si>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</si>
  <si>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</si>
  <si>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</si>
  <si>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</si>
  <si>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</si>
  <si>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</si>
  <si>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</si>
  <si>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</si>
  <si>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</si>
  <si>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</si>
  <si>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</si>
  <si>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</si>
  <si>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</si>
  <si>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</si>
  <si>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</si>
  <si>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</si>
  <si>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</si>
  <si>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</si>
  <si>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</si>
  <si>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</si>
  <si>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</si>
  <si>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</si>
  <si>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</si>
  <si>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</si>
  <si>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</si>
  <si>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</si>
  <si>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</si>
  <si>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</si>
  <si>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</si>
  <si>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</si>
  <si>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</si>
  <si>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</si>
  <si>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</si>
  <si>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</si>
  <si>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</si>
  <si>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</si>
  <si>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</si>
  <si>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</si>
  <si>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</si>
  <si>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</si>
  <si>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</si>
  <si>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</si>
  <si>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</si>
  <si>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</si>
  <si>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</si>
  <si>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</si>
  <si>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</si>
  <si>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</si>
  <si>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</si>
  <si>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</si>
  <si>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</si>
  <si>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</si>
  <si>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</si>
  <si>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</si>
  <si>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</si>
  <si>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</si>
  <si>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</si>
  <si>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</si>
  <si>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</si>
  <si>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</si>
  <si>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</si>
  <si>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</si>
  <si>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</si>
  <si>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</si>
  <si>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</si>
  <si>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</si>
  <si>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</si>
  <si>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</si>
  <si>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</si>
  <si>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</si>
  <si>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</si>
  <si>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</si>
  <si>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</si>
  <si>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</si>
  <si>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</si>
  <si>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</si>
  <si>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</si>
  <si>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</si>
  <si>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</si>
  <si>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</si>
  <si>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</si>
  <si>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</si>
  <si>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</si>
  <si>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</si>
  <si>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</si>
  <si>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</si>
  <si>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</si>
  <si>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</si>
  <si>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</si>
  <si>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</si>
  <si>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</si>
  <si>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</si>
  <si>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</si>
  <si>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</si>
  <si>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</si>
  <si>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</si>
  <si>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</si>
  <si>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</si>
  <si>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</si>
  <si>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</si>
  <si>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</si>
  <si>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</si>
  <si>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</si>
  <si>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</si>
  <si>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</si>
  <si>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</si>
  <si>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</si>
  <si>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</si>
  <si>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</si>
  <si>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</si>
  <si>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</si>
  <si>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</si>
  <si>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</si>
  <si>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</si>
  <si>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</si>
  <si>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</si>
  <si>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</si>
  <si>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</si>
  <si>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</si>
  <si>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</si>
  <si>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</si>
  <si>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</si>
  <si>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</si>
  <si>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</si>
  <si>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</si>
  <si>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</si>
  <si>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</si>
  <si>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</si>
  <si>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</si>
  <si>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</si>
  <si>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</si>
  <si>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</si>
  <si>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</si>
  <si>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</si>
  <si>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</si>
  <si>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</si>
  <si>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</si>
  <si>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</si>
  <si>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</si>
  <si>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</si>
  <si>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</si>
  <si>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</si>
  <si>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</si>
  <si>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</si>
  <si>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</si>
  <si>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</si>
  <si>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</si>
  <si>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</si>
  <si>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</si>
  <si>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</si>
  <si>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</si>
  <si>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</si>
  <si>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</si>
  <si>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</si>
  <si>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</si>
  <si>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</si>
  <si>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</si>
  <si>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</si>
  <si>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</si>
  <si>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</si>
  <si>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</si>
  <si>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</si>
  <si>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</si>
  <si>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</si>
  <si>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</si>
  <si>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</si>
  <si>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</si>
  <si>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</si>
  <si>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</si>
  <si>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</si>
  <si>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</si>
  <si>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</si>
  <si>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</si>
  <si>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</si>
  <si>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</si>
  <si>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</si>
  <si>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</si>
  <si>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</si>
  <si>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</si>
  <si>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</si>
  <si>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</si>
  <si>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</si>
  <si>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</si>
  <si>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</si>
  <si>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</si>
  <si>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</si>
  <si>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</si>
  <si>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</si>
  <si>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</si>
  <si>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</si>
  <si>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</si>
  <si>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</si>
  <si>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</si>
  <si>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</si>
  <si>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</si>
  <si>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</si>
  <si>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</si>
  <si>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</si>
  <si>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</si>
  <si>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</si>
  <si>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</si>
  <si>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</si>
  <si>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</si>
  <si>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</si>
  <si>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</si>
  <si>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</si>
  <si>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</si>
  <si>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</si>
  <si>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</si>
  <si>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</si>
  <si>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</si>
  <si>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</si>
  <si>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</si>
  <si>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</si>
  <si>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</si>
  <si>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</si>
  <si>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</si>
  <si>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</si>
  <si>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</si>
  <si>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</si>
  <si>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</si>
  <si>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</si>
  <si>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</si>
  <si>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</si>
  <si>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</si>
  <si>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</si>
  <si>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</si>
  <si>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</si>
  <si>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</si>
  <si>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</si>
  <si>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</si>
  <si>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</si>
  <si>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</si>
  <si>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</si>
  <si>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</si>
  <si>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</si>
  <si>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</si>
  <si>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</si>
  <si>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</si>
  <si>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</si>
  <si>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</si>
  <si>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</si>
  <si>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</si>
  <si>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</si>
  <si>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</si>
  <si>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</si>
  <si>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</si>
  <si>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</si>
  <si>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</si>
  <si>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</si>
  <si>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</si>
  <si>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</si>
  <si>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</si>
  <si>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</si>
  <si>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</si>
  <si>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</si>
  <si>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</si>
  <si>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</si>
  <si>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</si>
  <si>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</si>
  <si>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</si>
  <si>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</si>
  <si>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</si>
  <si>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</si>
  <si>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</si>
  <si>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</si>
  <si>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</si>
  <si>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</si>
  <si>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</si>
  <si>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</si>
  <si>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</si>
  <si>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</si>
  <si>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</si>
  <si>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</si>
  <si>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</si>
  <si>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</si>
  <si>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</si>
  <si>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</si>
  <si>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</si>
  <si>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</si>
  <si>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</si>
  <si>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</si>
  <si>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</si>
  <si>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</si>
  <si>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</si>
  <si>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</si>
  <si>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</si>
  <si>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</si>
  <si>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</si>
  <si>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</si>
  <si>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</si>
  <si>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</si>
  <si>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</si>
  <si>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</si>
  <si>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</si>
  <si>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</si>
  <si>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</si>
  <si>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</si>
  <si>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</si>
  <si>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</si>
  <si>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</si>
  <si>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</si>
  <si>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</si>
  <si>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</si>
  <si>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</si>
  <si>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</si>
  <si>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</si>
  <si>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</si>
  <si>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</si>
  <si>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</si>
  <si>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</si>
  <si>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</si>
  <si>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</si>
  <si>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</si>
  <si>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</si>
  <si>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</si>
  <si>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</si>
  <si>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</si>
  <si>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</si>
  <si>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</si>
  <si>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</si>
  <si>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</si>
  <si>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</si>
  <si>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</si>
  <si>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</si>
  <si>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</si>
  <si>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</si>
  <si>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</si>
  <si>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</si>
  <si>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</si>
  <si>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</si>
  <si>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</si>
  <si>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</si>
  <si>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</si>
  <si>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</si>
  <si>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</si>
  <si>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</si>
  <si>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</si>
  <si>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</si>
  <si>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</si>
  <si>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</si>
  <si>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</si>
  <si>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</si>
  <si>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</si>
  <si>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</si>
  <si>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</si>
  <si>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</si>
  <si>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</si>
  <si>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</si>
  <si>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</si>
  <si>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</si>
  <si>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</si>
  <si>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</si>
  <si>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</si>
  <si>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</si>
  <si>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</si>
  <si>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</si>
  <si>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</si>
  <si>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</si>
  <si>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</si>
  <si>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</si>
  <si>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</si>
  <si>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</si>
  <si>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</si>
  <si>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</si>
  <si>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</si>
  <si>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</si>
  <si>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</si>
  <si>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</si>
  <si>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</si>
  <si>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</si>
  <si>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</si>
  <si>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</si>
  <si>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</si>
  <si>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</si>
  <si>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</si>
  <si>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</si>
  <si>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</si>
  <si>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</si>
  <si>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</si>
  <si>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</si>
  <si>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</si>
  <si>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</si>
  <si>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</si>
  <si>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</si>
  <si>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</si>
  <si>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</si>
  <si>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</si>
  <si>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</si>
  <si>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</si>
  <si>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</si>
  <si>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</si>
  <si>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</si>
  <si>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</si>
  <si>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</si>
  <si>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</si>
  <si>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</si>
  <si>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</si>
  <si>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</si>
  <si>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</si>
  <si>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</si>
  <si>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</si>
  <si>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</si>
  <si>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</si>
  <si>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</si>
  <si>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</si>
  <si>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</si>
  <si>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</si>
  <si>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</si>
  <si>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</si>
  <si>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</si>
  <si>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</si>
  <si>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</si>
  <si>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</si>
  <si>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</si>
  <si>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</si>
  <si>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</si>
  <si>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</si>
  <si>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</si>
  <si>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</si>
  <si>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</si>
  <si>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</si>
  <si>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</si>
  <si>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</si>
  <si>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</si>
  <si>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</si>
  <si>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</si>
  <si>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</si>
  <si>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</si>
  <si>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</si>
  <si>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</si>
  <si>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</si>
  <si>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</si>
  <si>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</si>
  <si>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</si>
  <si>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</si>
  <si>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</si>
  <si>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</si>
  <si>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</si>
  <si>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</si>
  <si>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</si>
  <si>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</si>
  <si>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</si>
  <si>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</si>
  <si>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</si>
  <si>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</si>
  <si>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</si>
  <si>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</si>
  <si>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</si>
  <si>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</si>
  <si>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</si>
  <si>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</si>
  <si>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</si>
  <si>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</si>
  <si>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</si>
  <si>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</si>
  <si>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</si>
  <si>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</si>
  <si>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</si>
  <si>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</si>
  <si>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Sergey Stepanov</t>
  </si>
  <si>
    <t>Archil Kontselidze</t>
  </si>
  <si>
    <t>https://vtb.ge/</t>
  </si>
  <si>
    <t>VTB Bank Georgia JSC</t>
  </si>
  <si>
    <t>Non-independent chair</t>
  </si>
  <si>
    <t>Ilnar Shaimardanov</t>
  </si>
  <si>
    <t>Non-independent member</t>
  </si>
  <si>
    <t>Asya Zakharova</t>
  </si>
  <si>
    <t>Svetlana Karaliova</t>
  </si>
  <si>
    <t>CEO</t>
  </si>
  <si>
    <t>Mamuka Menteshashvili</t>
  </si>
  <si>
    <t>CFO</t>
  </si>
  <si>
    <t>Niko Chkhetiani</t>
  </si>
  <si>
    <t>Chief Risk Officer</t>
  </si>
  <si>
    <t>Natia Tkhilaishvili</t>
  </si>
  <si>
    <t>Chief Retail Banking Officer</t>
  </si>
  <si>
    <t>Vladimer Robakidze</t>
  </si>
  <si>
    <t>Chief Corporate Banking Officer</t>
  </si>
  <si>
    <t>Irakli Dolidze</t>
  </si>
  <si>
    <t>Chief Operating Officer</t>
  </si>
  <si>
    <t>VTB Bank (PJSC)</t>
  </si>
  <si>
    <t xml:space="preserve">LTD "Lakarpa Enterprises Limited"       </t>
  </si>
  <si>
    <t>Russian Federation</t>
  </si>
  <si>
    <t xml:space="preserve"> Note 9 (Capital), N10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</si>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</sst>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5">
    <numFmt numFmtId="41" formatCode="_(* #,##0_);_(* \(#,##0\);_(* &quot;-&quot;_);_(@_)"/>
    <numFmt numFmtId="43" formatCode="_(* #,##0.00_);_(* \(#,##0.00\);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quot;$&quot;* #,##0.00_);_(&quot;$&quot;* \(#,##0.00\);_(&quot;$&quot;* &quot;-&quot;??_);_(@_)"/>
    <numFmt numFmtId="170" formatCode="_(* #,##0_);_(* \(#,##0\);_(* &quot;-&quot;??_);_(@_)"/>
    <numFmt numFmtId="171" formatCode="0.0%"/>
    <numFmt numFmtId="172" formatCode="_-* #,##0.00_-;\-* #,##0.00_-;_-* &quot;-&quot;??_-;_-@_-"/>
    <numFmt numFmtId="173" formatCode="_(#,##0_);_(\(#,##0\);_(\ \-\ _);_(@_)"/>
    <numFmt numFmtId="174" formatCode="[$-409]dd\-mmm\-yy;@"/>
    <numFmt numFmtId="175" formatCode="[$-409]mmm\-yy;@"/>
    <numFmt numFmtId="176" formatCode="_ * #,##0.00_)&quot;F&quot;_ ;_ * \(#,##0.00\)&quot;F&quot;_ ;_ * &quot;-&quot;??_)&quot;F&quot;_ ;_ @_ "/>
    <numFmt numFmtId="177" formatCode="_(* #,##0.0_);_(* \(#,##0.00\);_(* &quot;-&quot;??_);_(@_)"/>
    <numFmt numFmtId="178" formatCode="General_)"/>
    <numFmt numFmtId="179" formatCode="0.000"/>
    <numFmt numFmtId="180" formatCode="&quot;fl&quot;#,##0_);\(&quot;fl&quot;#,##0\)"/>
    <numFmt numFmtId="181" formatCode="&quot;fl&quot;#,##0_);[Red]\(&quot;fl&quot;#,##0\)"/>
    <numFmt numFmtId="182" formatCode="&quot;fl&quot;#,##0.00_);\(&quot;fl&quot;#,##0.00\)"/>
    <numFmt numFmtId="183" formatCode="_-* #,##0.00_$_-;\-* #,##0.00_$_-;_-* &quot;-&quot;??_$_-;_-@_-"/>
    <numFmt numFmtId="184" formatCode="_-* #,##0.00\ _L_a_r_i_-;\-* #,##0.00\ _L_a_r_i_-;_-* &quot;-&quot;??\ _L_a_r_i_-;_-@_-"/>
    <numFmt numFmtId="185" formatCode="[$-409]d\-mmm\-yy;@"/>
    <numFmt numFmtId="186" formatCode="&quot;balance  &quot;[$-409]d\-mmm\-yy;@"/>
    <numFmt numFmtId="187" formatCode="mmmm\-yy"/>
    <numFmt numFmtId="188" formatCode="_-* #,##0_ð_._-;\-* #,##0_ð_._-;_-* &quot;-&quot;_ð_._-;_-@_-"/>
    <numFmt numFmtId="189" formatCode="_-* #,##0.00_ð_._-;\-* #,##0.00_ð_._-;_-* &quot;-&quot;??_ð_._-;_-@_-"/>
    <numFmt numFmtId="190" formatCode="&quot;See Note &quot;\ #"/>
    <numFmt numFmtId="191" formatCode="\60\4\7\:"/>
    <numFmt numFmtId="192" formatCode="&quot;p.&quot;#,##0.00;[Red]\-&quot;p.&quot;#,##0.00"/>
    <numFmt numFmtId="193" formatCode="0.00000"/>
    <numFmt numFmtId="194" formatCode="&quot;fl&quot;#,##0.00_);[Red]\(&quot;fl&quot;#,##0.00\)"/>
    <numFmt numFmtId="195" formatCode="_(&quot;fl&quot;* #,##0_);_(&quot;fl&quot;* \(#,##0\);_(&quot;fl&quot;* &quot;-&quot;_);_(@_)"/>
    <numFmt numFmtId="196" formatCode="&quot;Fr.&quot;\ #,##0;[Red]&quot;Fr.&quot;\ \-#,##0"/>
    <numFmt numFmtId="197" formatCode="#,##0_ ;[Red]\-#,##0\ "/>
    <numFmt numFmtId="198" formatCode="_-* #,##0\ _€_-;\-* #,##0\ _€_-;_-* &quot;-&quot;??\ _€_-;_-@_-"/>
    <numFmt numFmtId="199" formatCode="&quot;£&quot;#,##0;[Red]\-&quot;£&quot;#,##0"/>
    <numFmt numFmtId="200" formatCode="&quot;£&quot;#,##0.00;[Red]\-&quot;£&quot;#,##0.00"/>
    <numFmt numFmtId="201" formatCode="_-&quot;£&quot;* #,##0_-;\-&quot;£&quot;* #,##0_-;_-&quot;£&quot;* &quot;-&quot;_-;_-@_-"/>
    <numFmt numFmtId="202" formatCode="_-* #,##0_-;\-* #,##0_-;_-* &quot;-&quot;_-;_-@_-"/>
    <numFmt numFmtId="203" formatCode="_-&quot;£&quot;* #,##0.00_-;\-&quot;£&quot;* #,##0.00_-;_-&quot;£&quot;* &quot;-&quot;??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 numFmtId="366" formatCode="_(* #,##0.0_);_(* \(#,##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rgb="FF333333"/>
      <name val="Sylfaen"/>
      <family val="1"/>
    </font>
    <font>
      <b/>
      <i/>
      <sz val="10"/>
      <color theme="1"/>
      <name val="Sylfaen"/>
      <family val="1"/>
    </font>
  </fonts>
  <fills count="154">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tint="0.34998626667073579"/>
        <bgColor indexed="64"/>
      </patternFill>
    </fill>
  </fills>
  <borders count="21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72"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4" fontId="9" fillId="36" borderId="0"/>
    <xf numFmtId="175" fontId="9" fillId="36" borderId="0"/>
    <xf numFmtId="174" fontId="9" fillId="36" borderId="0"/>
    <xf numFmtId="0" fontId="10" fillId="37" borderId="0" applyNumberFormat="0" applyBorder="0" applyAlignment="0" applyProtection="0"/>
    <xf numFmtId="0" fontId="3" fillId="12" borderId="0" applyNumberFormat="0" applyBorder="0" applyAlignment="0" applyProtection="0"/>
    <xf numFmtId="174" fontId="11" fillId="37" borderId="0" applyNumberFormat="0" applyBorder="0" applyAlignment="0" applyProtection="0"/>
    <xf numFmtId="174" fontId="11" fillId="37" borderId="0" applyNumberFormat="0" applyBorder="0" applyAlignment="0" applyProtection="0"/>
    <xf numFmtId="175"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4" fontId="11" fillId="37" borderId="0" applyNumberFormat="0" applyBorder="0" applyAlignment="0" applyProtection="0"/>
    <xf numFmtId="175" fontId="11" fillId="37" borderId="0" applyNumberFormat="0" applyBorder="0" applyAlignment="0" applyProtection="0"/>
    <xf numFmtId="174" fontId="11" fillId="37" borderId="0" applyNumberFormat="0" applyBorder="0" applyAlignment="0" applyProtection="0"/>
    <xf numFmtId="174" fontId="11" fillId="37" borderId="0" applyNumberFormat="0" applyBorder="0" applyAlignment="0" applyProtection="0"/>
    <xf numFmtId="175" fontId="11" fillId="37" borderId="0" applyNumberFormat="0" applyBorder="0" applyAlignment="0" applyProtection="0"/>
    <xf numFmtId="174" fontId="11" fillId="37" borderId="0" applyNumberFormat="0" applyBorder="0" applyAlignment="0" applyProtection="0"/>
    <xf numFmtId="174" fontId="11" fillId="37" borderId="0" applyNumberFormat="0" applyBorder="0" applyAlignment="0" applyProtection="0"/>
    <xf numFmtId="175" fontId="11" fillId="37" borderId="0" applyNumberFormat="0" applyBorder="0" applyAlignment="0" applyProtection="0"/>
    <xf numFmtId="174" fontId="11" fillId="37" borderId="0" applyNumberFormat="0" applyBorder="0" applyAlignment="0" applyProtection="0"/>
    <xf numFmtId="174" fontId="11" fillId="37" borderId="0" applyNumberFormat="0" applyBorder="0" applyAlignment="0" applyProtection="0"/>
    <xf numFmtId="175" fontId="11" fillId="37" borderId="0" applyNumberFormat="0" applyBorder="0" applyAlignment="0" applyProtection="0"/>
    <xf numFmtId="174"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4" fontId="11" fillId="38" borderId="0" applyNumberFormat="0" applyBorder="0" applyAlignment="0" applyProtection="0"/>
    <xf numFmtId="174"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4" fontId="11" fillId="38" borderId="0" applyNumberFormat="0" applyBorder="0" applyAlignment="0" applyProtection="0"/>
    <xf numFmtId="175" fontId="11" fillId="38" borderId="0" applyNumberFormat="0" applyBorder="0" applyAlignment="0" applyProtection="0"/>
    <xf numFmtId="174" fontId="11" fillId="38" borderId="0" applyNumberFormat="0" applyBorder="0" applyAlignment="0" applyProtection="0"/>
    <xf numFmtId="174" fontId="11" fillId="38" borderId="0" applyNumberFormat="0" applyBorder="0" applyAlignment="0" applyProtection="0"/>
    <xf numFmtId="175" fontId="11" fillId="38" borderId="0" applyNumberFormat="0" applyBorder="0" applyAlignment="0" applyProtection="0"/>
    <xf numFmtId="174" fontId="11" fillId="38" borderId="0" applyNumberFormat="0" applyBorder="0" applyAlignment="0" applyProtection="0"/>
    <xf numFmtId="174" fontId="11" fillId="38" borderId="0" applyNumberFormat="0" applyBorder="0" applyAlignment="0" applyProtection="0"/>
    <xf numFmtId="175" fontId="11" fillId="38" borderId="0" applyNumberFormat="0" applyBorder="0" applyAlignment="0" applyProtection="0"/>
    <xf numFmtId="174" fontId="11" fillId="38" borderId="0" applyNumberFormat="0" applyBorder="0" applyAlignment="0" applyProtection="0"/>
    <xf numFmtId="174" fontId="11" fillId="38" borderId="0" applyNumberFormat="0" applyBorder="0" applyAlignment="0" applyProtection="0"/>
    <xf numFmtId="175" fontId="11" fillId="38" borderId="0" applyNumberFormat="0" applyBorder="0" applyAlignment="0" applyProtection="0"/>
    <xf numFmtId="174"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4" fontId="11" fillId="39" borderId="0" applyNumberFormat="0" applyBorder="0" applyAlignment="0" applyProtection="0"/>
    <xf numFmtId="174"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4" fontId="11" fillId="39" borderId="0" applyNumberFormat="0" applyBorder="0" applyAlignment="0" applyProtection="0"/>
    <xf numFmtId="175" fontId="11" fillId="39" borderId="0" applyNumberFormat="0" applyBorder="0" applyAlignment="0" applyProtection="0"/>
    <xf numFmtId="174" fontId="11" fillId="39" borderId="0" applyNumberFormat="0" applyBorder="0" applyAlignment="0" applyProtection="0"/>
    <xf numFmtId="174" fontId="11" fillId="39" borderId="0" applyNumberFormat="0" applyBorder="0" applyAlignment="0" applyProtection="0"/>
    <xf numFmtId="175" fontId="11" fillId="39" borderId="0" applyNumberFormat="0" applyBorder="0" applyAlignment="0" applyProtection="0"/>
    <xf numFmtId="174" fontId="11" fillId="39" borderId="0" applyNumberFormat="0" applyBorder="0" applyAlignment="0" applyProtection="0"/>
    <xf numFmtId="174" fontId="11" fillId="39" borderId="0" applyNumberFormat="0" applyBorder="0" applyAlignment="0" applyProtection="0"/>
    <xf numFmtId="175" fontId="11" fillId="39" borderId="0" applyNumberFormat="0" applyBorder="0" applyAlignment="0" applyProtection="0"/>
    <xf numFmtId="174" fontId="11" fillId="39" borderId="0" applyNumberFormat="0" applyBorder="0" applyAlignment="0" applyProtection="0"/>
    <xf numFmtId="174" fontId="11" fillId="39" borderId="0" applyNumberFormat="0" applyBorder="0" applyAlignment="0" applyProtection="0"/>
    <xf numFmtId="175" fontId="11" fillId="39" borderId="0" applyNumberFormat="0" applyBorder="0" applyAlignment="0" applyProtection="0"/>
    <xf numFmtId="174"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4" fontId="11" fillId="41" borderId="0" applyNumberFormat="0" applyBorder="0" applyAlignment="0" applyProtection="0"/>
    <xf numFmtId="174"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4" fontId="11" fillId="41" borderId="0" applyNumberFormat="0" applyBorder="0" applyAlignment="0" applyProtection="0"/>
    <xf numFmtId="175" fontId="11" fillId="41" borderId="0" applyNumberFormat="0" applyBorder="0" applyAlignment="0" applyProtection="0"/>
    <xf numFmtId="174" fontId="11" fillId="41" borderId="0" applyNumberFormat="0" applyBorder="0" applyAlignment="0" applyProtection="0"/>
    <xf numFmtId="174" fontId="11" fillId="41" borderId="0" applyNumberFormat="0" applyBorder="0" applyAlignment="0" applyProtection="0"/>
    <xf numFmtId="175" fontId="11" fillId="41" borderId="0" applyNumberFormat="0" applyBorder="0" applyAlignment="0" applyProtection="0"/>
    <xf numFmtId="174" fontId="11" fillId="41" borderId="0" applyNumberFormat="0" applyBorder="0" applyAlignment="0" applyProtection="0"/>
    <xf numFmtId="174" fontId="11" fillId="41" borderId="0" applyNumberFormat="0" applyBorder="0" applyAlignment="0" applyProtection="0"/>
    <xf numFmtId="175" fontId="11" fillId="41" borderId="0" applyNumberFormat="0" applyBorder="0" applyAlignment="0" applyProtection="0"/>
    <xf numFmtId="174" fontId="11" fillId="41" borderId="0" applyNumberFormat="0" applyBorder="0" applyAlignment="0" applyProtection="0"/>
    <xf numFmtId="174" fontId="11" fillId="41" borderId="0" applyNumberFormat="0" applyBorder="0" applyAlignment="0" applyProtection="0"/>
    <xf numFmtId="175" fontId="11" fillId="41" borderId="0" applyNumberFormat="0" applyBorder="0" applyAlignment="0" applyProtection="0"/>
    <xf numFmtId="174"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4" fontId="11" fillId="42" borderId="0" applyNumberFormat="0" applyBorder="0" applyAlignment="0" applyProtection="0"/>
    <xf numFmtId="174"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4" fontId="11" fillId="42" borderId="0" applyNumberFormat="0" applyBorder="0" applyAlignment="0" applyProtection="0"/>
    <xf numFmtId="175" fontId="11" fillId="42" borderId="0" applyNumberFormat="0" applyBorder="0" applyAlignment="0" applyProtection="0"/>
    <xf numFmtId="174" fontId="11" fillId="42" borderId="0" applyNumberFormat="0" applyBorder="0" applyAlignment="0" applyProtection="0"/>
    <xf numFmtId="174" fontId="11" fillId="42" borderId="0" applyNumberFormat="0" applyBorder="0" applyAlignment="0" applyProtection="0"/>
    <xf numFmtId="175" fontId="11" fillId="42" borderId="0" applyNumberFormat="0" applyBorder="0" applyAlignment="0" applyProtection="0"/>
    <xf numFmtId="174" fontId="11" fillId="42" borderId="0" applyNumberFormat="0" applyBorder="0" applyAlignment="0" applyProtection="0"/>
    <xf numFmtId="174" fontId="11" fillId="42" borderId="0" applyNumberFormat="0" applyBorder="0" applyAlignment="0" applyProtection="0"/>
    <xf numFmtId="175" fontId="11" fillId="42" borderId="0" applyNumberFormat="0" applyBorder="0" applyAlignment="0" applyProtection="0"/>
    <xf numFmtId="174" fontId="11" fillId="42" borderId="0" applyNumberFormat="0" applyBorder="0" applyAlignment="0" applyProtection="0"/>
    <xf numFmtId="174" fontId="11" fillId="42" borderId="0" applyNumberFormat="0" applyBorder="0" applyAlignment="0" applyProtection="0"/>
    <xf numFmtId="175" fontId="11" fillId="42" borderId="0" applyNumberFormat="0" applyBorder="0" applyAlignment="0" applyProtection="0"/>
    <xf numFmtId="174"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4" fontId="11" fillId="44" borderId="0" applyNumberFormat="0" applyBorder="0" applyAlignment="0" applyProtection="0"/>
    <xf numFmtId="174"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4" fontId="11" fillId="44" borderId="0" applyNumberFormat="0" applyBorder="0" applyAlignment="0" applyProtection="0"/>
    <xf numFmtId="175" fontId="11" fillId="44" borderId="0" applyNumberFormat="0" applyBorder="0" applyAlignment="0" applyProtection="0"/>
    <xf numFmtId="174" fontId="11" fillId="44" borderId="0" applyNumberFormat="0" applyBorder="0" applyAlignment="0" applyProtection="0"/>
    <xf numFmtId="174" fontId="11" fillId="44" borderId="0" applyNumberFormat="0" applyBorder="0" applyAlignment="0" applyProtection="0"/>
    <xf numFmtId="175" fontId="11" fillId="44" borderId="0" applyNumberFormat="0" applyBorder="0" applyAlignment="0" applyProtection="0"/>
    <xf numFmtId="174" fontId="11" fillId="44" borderId="0" applyNumberFormat="0" applyBorder="0" applyAlignment="0" applyProtection="0"/>
    <xf numFmtId="174" fontId="11" fillId="44" borderId="0" applyNumberFormat="0" applyBorder="0" applyAlignment="0" applyProtection="0"/>
    <xf numFmtId="175" fontId="11" fillId="44" borderId="0" applyNumberFormat="0" applyBorder="0" applyAlignment="0" applyProtection="0"/>
    <xf numFmtId="174" fontId="11" fillId="44" borderId="0" applyNumberFormat="0" applyBorder="0" applyAlignment="0" applyProtection="0"/>
    <xf numFmtId="174" fontId="11" fillId="44" borderId="0" applyNumberFormat="0" applyBorder="0" applyAlignment="0" applyProtection="0"/>
    <xf numFmtId="175" fontId="11" fillId="44" borderId="0" applyNumberFormat="0" applyBorder="0" applyAlignment="0" applyProtection="0"/>
    <xf numFmtId="174"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4" fontId="11" fillId="45" borderId="0" applyNumberFormat="0" applyBorder="0" applyAlignment="0" applyProtection="0"/>
    <xf numFmtId="174"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4" fontId="11" fillId="45" borderId="0" applyNumberFormat="0" applyBorder="0" applyAlignment="0" applyProtection="0"/>
    <xf numFmtId="175" fontId="11" fillId="45" borderId="0" applyNumberFormat="0" applyBorder="0" applyAlignment="0" applyProtection="0"/>
    <xf numFmtId="174" fontId="11" fillId="45" borderId="0" applyNumberFormat="0" applyBorder="0" applyAlignment="0" applyProtection="0"/>
    <xf numFmtId="174" fontId="11" fillId="45" borderId="0" applyNumberFormat="0" applyBorder="0" applyAlignment="0" applyProtection="0"/>
    <xf numFmtId="175" fontId="11" fillId="45" borderId="0" applyNumberFormat="0" applyBorder="0" applyAlignment="0" applyProtection="0"/>
    <xf numFmtId="174" fontId="11" fillId="45" borderId="0" applyNumberFormat="0" applyBorder="0" applyAlignment="0" applyProtection="0"/>
    <xf numFmtId="174" fontId="11" fillId="45" borderId="0" applyNumberFormat="0" applyBorder="0" applyAlignment="0" applyProtection="0"/>
    <xf numFmtId="175" fontId="11" fillId="45" borderId="0" applyNumberFormat="0" applyBorder="0" applyAlignment="0" applyProtection="0"/>
    <xf numFmtId="174" fontId="11" fillId="45" borderId="0" applyNumberFormat="0" applyBorder="0" applyAlignment="0" applyProtection="0"/>
    <xf numFmtId="174" fontId="11" fillId="45" borderId="0" applyNumberFormat="0" applyBorder="0" applyAlignment="0" applyProtection="0"/>
    <xf numFmtId="175" fontId="11" fillId="45" borderId="0" applyNumberFormat="0" applyBorder="0" applyAlignment="0" applyProtection="0"/>
    <xf numFmtId="174"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4" fontId="11" fillId="46" borderId="0" applyNumberFormat="0" applyBorder="0" applyAlignment="0" applyProtection="0"/>
    <xf numFmtId="174"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4" fontId="11" fillId="46" borderId="0" applyNumberFormat="0" applyBorder="0" applyAlignment="0" applyProtection="0"/>
    <xf numFmtId="175" fontId="11" fillId="46" borderId="0" applyNumberFormat="0" applyBorder="0" applyAlignment="0" applyProtection="0"/>
    <xf numFmtId="174" fontId="11" fillId="46" borderId="0" applyNumberFormat="0" applyBorder="0" applyAlignment="0" applyProtection="0"/>
    <xf numFmtId="174" fontId="11" fillId="46" borderId="0" applyNumberFormat="0" applyBorder="0" applyAlignment="0" applyProtection="0"/>
    <xf numFmtId="175" fontId="11" fillId="46" borderId="0" applyNumberFormat="0" applyBorder="0" applyAlignment="0" applyProtection="0"/>
    <xf numFmtId="174" fontId="11" fillId="46" borderId="0" applyNumberFormat="0" applyBorder="0" applyAlignment="0" applyProtection="0"/>
    <xf numFmtId="174" fontId="11" fillId="46" borderId="0" applyNumberFormat="0" applyBorder="0" applyAlignment="0" applyProtection="0"/>
    <xf numFmtId="175" fontId="11" fillId="46" borderId="0" applyNumberFormat="0" applyBorder="0" applyAlignment="0" applyProtection="0"/>
    <xf numFmtId="174" fontId="11" fillId="46" borderId="0" applyNumberFormat="0" applyBorder="0" applyAlignment="0" applyProtection="0"/>
    <xf numFmtId="174" fontId="11" fillId="46" borderId="0" applyNumberFormat="0" applyBorder="0" applyAlignment="0" applyProtection="0"/>
    <xf numFmtId="175" fontId="11" fillId="46" borderId="0" applyNumberFormat="0" applyBorder="0" applyAlignment="0" applyProtection="0"/>
    <xf numFmtId="174"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4" fontId="14" fillId="47" borderId="0" applyNumberFormat="0" applyBorder="0" applyAlignment="0" applyProtection="0"/>
    <xf numFmtId="174" fontId="14" fillId="47" borderId="0" applyNumberFormat="0" applyBorder="0" applyAlignment="0" applyProtection="0"/>
    <xf numFmtId="175"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4" fontId="14" fillId="47" borderId="0" applyNumberFormat="0" applyBorder="0" applyAlignment="0" applyProtection="0"/>
    <xf numFmtId="175" fontId="14" fillId="47" borderId="0" applyNumberFormat="0" applyBorder="0" applyAlignment="0" applyProtection="0"/>
    <xf numFmtId="174" fontId="14" fillId="47" borderId="0" applyNumberFormat="0" applyBorder="0" applyAlignment="0" applyProtection="0"/>
    <xf numFmtId="174" fontId="14" fillId="47" borderId="0" applyNumberFormat="0" applyBorder="0" applyAlignment="0" applyProtection="0"/>
    <xf numFmtId="175" fontId="14" fillId="47" borderId="0" applyNumberFormat="0" applyBorder="0" applyAlignment="0" applyProtection="0"/>
    <xf numFmtId="174" fontId="14" fillId="47" borderId="0" applyNumberFormat="0" applyBorder="0" applyAlignment="0" applyProtection="0"/>
    <xf numFmtId="174" fontId="14" fillId="47" borderId="0" applyNumberFormat="0" applyBorder="0" applyAlignment="0" applyProtection="0"/>
    <xf numFmtId="175" fontId="14" fillId="47" borderId="0" applyNumberFormat="0" applyBorder="0" applyAlignment="0" applyProtection="0"/>
    <xf numFmtId="174" fontId="14" fillId="47" borderId="0" applyNumberFormat="0" applyBorder="0" applyAlignment="0" applyProtection="0"/>
    <xf numFmtId="174" fontId="14" fillId="47" borderId="0" applyNumberFormat="0" applyBorder="0" applyAlignment="0" applyProtection="0"/>
    <xf numFmtId="175" fontId="14" fillId="47" borderId="0" applyNumberFormat="0" applyBorder="0" applyAlignment="0" applyProtection="0"/>
    <xf numFmtId="174"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4" fontId="14" fillId="44" borderId="0" applyNumberFormat="0" applyBorder="0" applyAlignment="0" applyProtection="0"/>
    <xf numFmtId="174" fontId="14" fillId="44" borderId="0" applyNumberFormat="0" applyBorder="0" applyAlignment="0" applyProtection="0"/>
    <xf numFmtId="175"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4" fontId="14" fillId="44" borderId="0" applyNumberFormat="0" applyBorder="0" applyAlignment="0" applyProtection="0"/>
    <xf numFmtId="175" fontId="14" fillId="44" borderId="0" applyNumberFormat="0" applyBorder="0" applyAlignment="0" applyProtection="0"/>
    <xf numFmtId="174" fontId="14" fillId="44" borderId="0" applyNumberFormat="0" applyBorder="0" applyAlignment="0" applyProtection="0"/>
    <xf numFmtId="174" fontId="14" fillId="44" borderId="0" applyNumberFormat="0" applyBorder="0" applyAlignment="0" applyProtection="0"/>
    <xf numFmtId="175" fontId="14" fillId="44" borderId="0" applyNumberFormat="0" applyBorder="0" applyAlignment="0" applyProtection="0"/>
    <xf numFmtId="174" fontId="14" fillId="44" borderId="0" applyNumberFormat="0" applyBorder="0" applyAlignment="0" applyProtection="0"/>
    <xf numFmtId="174" fontId="14" fillId="44" borderId="0" applyNumberFormat="0" applyBorder="0" applyAlignment="0" applyProtection="0"/>
    <xf numFmtId="175" fontId="14" fillId="44" borderId="0" applyNumberFormat="0" applyBorder="0" applyAlignment="0" applyProtection="0"/>
    <xf numFmtId="174" fontId="14" fillId="44" borderId="0" applyNumberFormat="0" applyBorder="0" applyAlignment="0" applyProtection="0"/>
    <xf numFmtId="174" fontId="14" fillId="44" borderId="0" applyNumberFormat="0" applyBorder="0" applyAlignment="0" applyProtection="0"/>
    <xf numFmtId="175" fontId="14" fillId="44" borderId="0" applyNumberFormat="0" applyBorder="0" applyAlignment="0" applyProtection="0"/>
    <xf numFmtId="174"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4" fontId="14" fillId="45" borderId="0" applyNumberFormat="0" applyBorder="0" applyAlignment="0" applyProtection="0"/>
    <xf numFmtId="174"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4" fontId="14" fillId="45" borderId="0" applyNumberFormat="0" applyBorder="0" applyAlignment="0" applyProtection="0"/>
    <xf numFmtId="175" fontId="14" fillId="45" borderId="0" applyNumberFormat="0" applyBorder="0" applyAlignment="0" applyProtection="0"/>
    <xf numFmtId="174" fontId="14" fillId="45" borderId="0" applyNumberFormat="0" applyBorder="0" applyAlignment="0" applyProtection="0"/>
    <xf numFmtId="174" fontId="14" fillId="45" borderId="0" applyNumberFormat="0" applyBorder="0" applyAlignment="0" applyProtection="0"/>
    <xf numFmtId="175" fontId="14" fillId="45" borderId="0" applyNumberFormat="0" applyBorder="0" applyAlignment="0" applyProtection="0"/>
    <xf numFmtId="174" fontId="14" fillId="45" borderId="0" applyNumberFormat="0" applyBorder="0" applyAlignment="0" applyProtection="0"/>
    <xf numFmtId="174" fontId="14" fillId="45" borderId="0" applyNumberFormat="0" applyBorder="0" applyAlignment="0" applyProtection="0"/>
    <xf numFmtId="175" fontId="14" fillId="45" borderId="0" applyNumberFormat="0" applyBorder="0" applyAlignment="0" applyProtection="0"/>
    <xf numFmtId="174" fontId="14" fillId="45" borderId="0" applyNumberFormat="0" applyBorder="0" applyAlignment="0" applyProtection="0"/>
    <xf numFmtId="174" fontId="14" fillId="45" borderId="0" applyNumberFormat="0" applyBorder="0" applyAlignment="0" applyProtection="0"/>
    <xf numFmtId="175" fontId="14" fillId="45" borderId="0" applyNumberFormat="0" applyBorder="0" applyAlignment="0" applyProtection="0"/>
    <xf numFmtId="174"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4" fontId="14" fillId="50" borderId="0" applyNumberFormat="0" applyBorder="0" applyAlignment="0" applyProtection="0"/>
    <xf numFmtId="174"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4" fontId="14" fillId="50" borderId="0" applyNumberFormat="0" applyBorder="0" applyAlignment="0" applyProtection="0"/>
    <xf numFmtId="175" fontId="14" fillId="50" borderId="0" applyNumberFormat="0" applyBorder="0" applyAlignment="0" applyProtection="0"/>
    <xf numFmtId="174" fontId="14" fillId="50" borderId="0" applyNumberFormat="0" applyBorder="0" applyAlignment="0" applyProtection="0"/>
    <xf numFmtId="174" fontId="14" fillId="50" borderId="0" applyNumberFormat="0" applyBorder="0" applyAlignment="0" applyProtection="0"/>
    <xf numFmtId="175" fontId="14" fillId="50" borderId="0" applyNumberFormat="0" applyBorder="0" applyAlignment="0" applyProtection="0"/>
    <xf numFmtId="174" fontId="14" fillId="50" borderId="0" applyNumberFormat="0" applyBorder="0" applyAlignment="0" applyProtection="0"/>
    <xf numFmtId="174" fontId="14" fillId="50" borderId="0" applyNumberFormat="0" applyBorder="0" applyAlignment="0" applyProtection="0"/>
    <xf numFmtId="175" fontId="14" fillId="50" borderId="0" applyNumberFormat="0" applyBorder="0" applyAlignment="0" applyProtection="0"/>
    <xf numFmtId="174" fontId="14" fillId="50" borderId="0" applyNumberFormat="0" applyBorder="0" applyAlignment="0" applyProtection="0"/>
    <xf numFmtId="174" fontId="14" fillId="50" borderId="0" applyNumberFormat="0" applyBorder="0" applyAlignment="0" applyProtection="0"/>
    <xf numFmtId="175" fontId="14" fillId="50" borderId="0" applyNumberFormat="0" applyBorder="0" applyAlignment="0" applyProtection="0"/>
    <xf numFmtId="174"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4" fontId="14" fillId="53" borderId="0" applyNumberFormat="0" applyBorder="0" applyAlignment="0" applyProtection="0"/>
    <xf numFmtId="174" fontId="14" fillId="53" borderId="0" applyNumberFormat="0" applyBorder="0" applyAlignment="0" applyProtection="0"/>
    <xf numFmtId="175"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4" fontId="14" fillId="53" borderId="0" applyNumberFormat="0" applyBorder="0" applyAlignment="0" applyProtection="0"/>
    <xf numFmtId="175" fontId="14" fillId="53" borderId="0" applyNumberFormat="0" applyBorder="0" applyAlignment="0" applyProtection="0"/>
    <xf numFmtId="174" fontId="14" fillId="53" borderId="0" applyNumberFormat="0" applyBorder="0" applyAlignment="0" applyProtection="0"/>
    <xf numFmtId="174" fontId="14" fillId="53" borderId="0" applyNumberFormat="0" applyBorder="0" applyAlignment="0" applyProtection="0"/>
    <xf numFmtId="175" fontId="14" fillId="53" borderId="0" applyNumberFormat="0" applyBorder="0" applyAlignment="0" applyProtection="0"/>
    <xf numFmtId="174" fontId="14" fillId="53" borderId="0" applyNumberFormat="0" applyBorder="0" applyAlignment="0" applyProtection="0"/>
    <xf numFmtId="174" fontId="14" fillId="53" borderId="0" applyNumberFormat="0" applyBorder="0" applyAlignment="0" applyProtection="0"/>
    <xf numFmtId="175" fontId="14" fillId="53" borderId="0" applyNumberFormat="0" applyBorder="0" applyAlignment="0" applyProtection="0"/>
    <xf numFmtId="174" fontId="14" fillId="53" borderId="0" applyNumberFormat="0" applyBorder="0" applyAlignment="0" applyProtection="0"/>
    <xf numFmtId="174" fontId="14" fillId="53" borderId="0" applyNumberFormat="0" applyBorder="0" applyAlignment="0" applyProtection="0"/>
    <xf numFmtId="175" fontId="14" fillId="53" borderId="0" applyNumberFormat="0" applyBorder="0" applyAlignment="0" applyProtection="0"/>
    <xf numFmtId="174"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4" fontId="14" fillId="57" borderId="0" applyNumberFormat="0" applyBorder="0" applyAlignment="0" applyProtection="0"/>
    <xf numFmtId="174" fontId="14" fillId="57" borderId="0" applyNumberFormat="0" applyBorder="0" applyAlignment="0" applyProtection="0"/>
    <xf numFmtId="175"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4" fontId="14" fillId="57" borderId="0" applyNumberFormat="0" applyBorder="0" applyAlignment="0" applyProtection="0"/>
    <xf numFmtId="175" fontId="14" fillId="57" borderId="0" applyNumberFormat="0" applyBorder="0" applyAlignment="0" applyProtection="0"/>
    <xf numFmtId="174" fontId="14" fillId="57" borderId="0" applyNumberFormat="0" applyBorder="0" applyAlignment="0" applyProtection="0"/>
    <xf numFmtId="174" fontId="14" fillId="57" borderId="0" applyNumberFormat="0" applyBorder="0" applyAlignment="0" applyProtection="0"/>
    <xf numFmtId="175" fontId="14" fillId="57" borderId="0" applyNumberFormat="0" applyBorder="0" applyAlignment="0" applyProtection="0"/>
    <xf numFmtId="174" fontId="14" fillId="57" borderId="0" applyNumberFormat="0" applyBorder="0" applyAlignment="0" applyProtection="0"/>
    <xf numFmtId="174" fontId="14" fillId="57" borderId="0" applyNumberFormat="0" applyBorder="0" applyAlignment="0" applyProtection="0"/>
    <xf numFmtId="175" fontId="14" fillId="57" borderId="0" applyNumberFormat="0" applyBorder="0" applyAlignment="0" applyProtection="0"/>
    <xf numFmtId="174" fontId="14" fillId="57" borderId="0" applyNumberFormat="0" applyBorder="0" applyAlignment="0" applyProtection="0"/>
    <xf numFmtId="174" fontId="14" fillId="57" borderId="0" applyNumberFormat="0" applyBorder="0" applyAlignment="0" applyProtection="0"/>
    <xf numFmtId="175" fontId="14" fillId="57" borderId="0" applyNumberFormat="0" applyBorder="0" applyAlignment="0" applyProtection="0"/>
    <xf numFmtId="174"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4" fontId="14" fillId="59" borderId="0" applyNumberFormat="0" applyBorder="0" applyAlignment="0" applyProtection="0"/>
    <xf numFmtId="174" fontId="14" fillId="59" borderId="0" applyNumberFormat="0" applyBorder="0" applyAlignment="0" applyProtection="0"/>
    <xf numFmtId="175"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4" fontId="14" fillId="59" borderId="0" applyNumberFormat="0" applyBorder="0" applyAlignment="0" applyProtection="0"/>
    <xf numFmtId="175" fontId="14" fillId="59" borderId="0" applyNumberFormat="0" applyBorder="0" applyAlignment="0" applyProtection="0"/>
    <xf numFmtId="174" fontId="14" fillId="59" borderId="0" applyNumberFormat="0" applyBorder="0" applyAlignment="0" applyProtection="0"/>
    <xf numFmtId="174" fontId="14" fillId="59" borderId="0" applyNumberFormat="0" applyBorder="0" applyAlignment="0" applyProtection="0"/>
    <xf numFmtId="175" fontId="14" fillId="59" borderId="0" applyNumberFormat="0" applyBorder="0" applyAlignment="0" applyProtection="0"/>
    <xf numFmtId="174" fontId="14" fillId="59" borderId="0" applyNumberFormat="0" applyBorder="0" applyAlignment="0" applyProtection="0"/>
    <xf numFmtId="174" fontId="14" fillId="59" borderId="0" applyNumberFormat="0" applyBorder="0" applyAlignment="0" applyProtection="0"/>
    <xf numFmtId="175" fontId="14" fillId="59" borderId="0" applyNumberFormat="0" applyBorder="0" applyAlignment="0" applyProtection="0"/>
    <xf numFmtId="174" fontId="14" fillId="59" borderId="0" applyNumberFormat="0" applyBorder="0" applyAlignment="0" applyProtection="0"/>
    <xf numFmtId="174" fontId="14" fillId="59" borderId="0" applyNumberFormat="0" applyBorder="0" applyAlignment="0" applyProtection="0"/>
    <xf numFmtId="175" fontId="14" fillId="59" borderId="0" applyNumberFormat="0" applyBorder="0" applyAlignment="0" applyProtection="0"/>
    <xf numFmtId="174"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4" fontId="14" fillId="62" borderId="0" applyNumberFormat="0" applyBorder="0" applyAlignment="0" applyProtection="0"/>
    <xf numFmtId="174" fontId="14" fillId="62" borderId="0" applyNumberFormat="0" applyBorder="0" applyAlignment="0" applyProtection="0"/>
    <xf numFmtId="175"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4" fontId="14" fillId="62" borderId="0" applyNumberFormat="0" applyBorder="0" applyAlignment="0" applyProtection="0"/>
    <xf numFmtId="175" fontId="14" fillId="62" borderId="0" applyNumberFormat="0" applyBorder="0" applyAlignment="0" applyProtection="0"/>
    <xf numFmtId="174" fontId="14" fillId="62" borderId="0" applyNumberFormat="0" applyBorder="0" applyAlignment="0" applyProtection="0"/>
    <xf numFmtId="174" fontId="14" fillId="62" borderId="0" applyNumberFormat="0" applyBorder="0" applyAlignment="0" applyProtection="0"/>
    <xf numFmtId="175" fontId="14" fillId="62" borderId="0" applyNumberFormat="0" applyBorder="0" applyAlignment="0" applyProtection="0"/>
    <xf numFmtId="174" fontId="14" fillId="62" borderId="0" applyNumberFormat="0" applyBorder="0" applyAlignment="0" applyProtection="0"/>
    <xf numFmtId="174" fontId="14" fillId="62" borderId="0" applyNumberFormat="0" applyBorder="0" applyAlignment="0" applyProtection="0"/>
    <xf numFmtId="175" fontId="14" fillId="62" borderId="0" applyNumberFormat="0" applyBorder="0" applyAlignment="0" applyProtection="0"/>
    <xf numFmtId="174" fontId="14" fillId="62" borderId="0" applyNumberFormat="0" applyBorder="0" applyAlignment="0" applyProtection="0"/>
    <xf numFmtId="174" fontId="14" fillId="62" borderId="0" applyNumberFormat="0" applyBorder="0" applyAlignment="0" applyProtection="0"/>
    <xf numFmtId="175" fontId="14" fillId="62" borderId="0" applyNumberFormat="0" applyBorder="0" applyAlignment="0" applyProtection="0"/>
    <xf numFmtId="174"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4" fontId="17" fillId="38" borderId="0" applyNumberFormat="0" applyBorder="0" applyAlignment="0" applyProtection="0"/>
    <xf numFmtId="174" fontId="17" fillId="38" borderId="0" applyNumberFormat="0" applyBorder="0" applyAlignment="0" applyProtection="0"/>
    <xf numFmtId="175"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4" fontId="17" fillId="38" borderId="0" applyNumberFormat="0" applyBorder="0" applyAlignment="0" applyProtection="0"/>
    <xf numFmtId="175" fontId="17" fillId="38" borderId="0" applyNumberFormat="0" applyBorder="0" applyAlignment="0" applyProtection="0"/>
    <xf numFmtId="174" fontId="17" fillId="38" borderId="0" applyNumberFormat="0" applyBorder="0" applyAlignment="0" applyProtection="0"/>
    <xf numFmtId="174" fontId="17" fillId="38" borderId="0" applyNumberFormat="0" applyBorder="0" applyAlignment="0" applyProtection="0"/>
    <xf numFmtId="175" fontId="17" fillId="38" borderId="0" applyNumberFormat="0" applyBorder="0" applyAlignment="0" applyProtection="0"/>
    <xf numFmtId="174" fontId="17" fillId="38" borderId="0" applyNumberFormat="0" applyBorder="0" applyAlignment="0" applyProtection="0"/>
    <xf numFmtId="174" fontId="17" fillId="38" borderId="0" applyNumberFormat="0" applyBorder="0" applyAlignment="0" applyProtection="0"/>
    <xf numFmtId="175" fontId="17" fillId="38" borderId="0" applyNumberFormat="0" applyBorder="0" applyAlignment="0" applyProtection="0"/>
    <xf numFmtId="174" fontId="17" fillId="38" borderId="0" applyNumberFormat="0" applyBorder="0" applyAlignment="0" applyProtection="0"/>
    <xf numFmtId="174" fontId="17" fillId="38" borderId="0" applyNumberFormat="0" applyBorder="0" applyAlignment="0" applyProtection="0"/>
    <xf numFmtId="175" fontId="17" fillId="38" borderId="0" applyNumberFormat="0" applyBorder="0" applyAlignment="0" applyProtection="0"/>
    <xf numFmtId="174" fontId="17" fillId="38" borderId="0" applyNumberFormat="0" applyBorder="0" applyAlignment="0" applyProtection="0"/>
    <xf numFmtId="0" fontId="15" fillId="38" borderId="0" applyNumberFormat="0" applyBorder="0" applyAlignment="0" applyProtection="0"/>
    <xf numFmtId="176" fontId="18" fillId="0" borderId="0" applyFill="0" applyBorder="0" applyAlignment="0"/>
    <xf numFmtId="176" fontId="19" fillId="0" borderId="0" applyFill="0" applyBorder="0" applyAlignment="0"/>
    <xf numFmtId="176" fontId="19" fillId="0" borderId="0" applyFill="0" applyBorder="0" applyAlignment="0"/>
    <xf numFmtId="176" fontId="19" fillId="0" borderId="0" applyFill="0" applyBorder="0" applyAlignment="0"/>
    <xf numFmtId="177" fontId="20" fillId="0" borderId="0" applyFill="0" applyBorder="0" applyAlignment="0"/>
    <xf numFmtId="177" fontId="20" fillId="0" borderId="0" applyFill="0" applyBorder="0" applyAlignment="0"/>
    <xf numFmtId="176" fontId="19" fillId="0" borderId="0" applyFill="0" applyBorder="0" applyAlignment="0"/>
    <xf numFmtId="176" fontId="19" fillId="0" borderId="0" applyFill="0" applyBorder="0" applyAlignment="0"/>
    <xf numFmtId="176" fontId="19" fillId="0" borderId="0" applyFill="0" applyBorder="0" applyAlignment="0"/>
    <xf numFmtId="176" fontId="19" fillId="0" borderId="0" applyFill="0" applyBorder="0" applyAlignment="0"/>
    <xf numFmtId="176" fontId="19" fillId="0" borderId="0" applyFill="0" applyBorder="0" applyAlignment="0"/>
    <xf numFmtId="176" fontId="19" fillId="0" borderId="0" applyFill="0" applyBorder="0" applyAlignment="0"/>
    <xf numFmtId="178" fontId="20"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77" fontId="20" fillId="0" borderId="0" applyFill="0" applyBorder="0" applyAlignment="0"/>
    <xf numFmtId="182" fontId="20" fillId="0" borderId="0" applyFill="0" applyBorder="0" applyAlignment="0"/>
    <xf numFmtId="178" fontId="20" fillId="0" borderId="0" applyFill="0" applyBorder="0" applyAlignment="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74"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74"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75"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74" fontId="23" fillId="63" borderId="36" applyNumberFormat="0" applyAlignment="0" applyProtection="0"/>
    <xf numFmtId="175" fontId="23" fillId="63" borderId="36" applyNumberFormat="0" applyAlignment="0" applyProtection="0"/>
    <xf numFmtId="174" fontId="23" fillId="63" borderId="36" applyNumberFormat="0" applyAlignment="0" applyProtection="0"/>
    <xf numFmtId="174" fontId="23" fillId="63" borderId="36" applyNumberFormat="0" applyAlignment="0" applyProtection="0"/>
    <xf numFmtId="175" fontId="23" fillId="63" borderId="36" applyNumberFormat="0" applyAlignment="0" applyProtection="0"/>
    <xf numFmtId="174" fontId="23" fillId="63" borderId="36" applyNumberFormat="0" applyAlignment="0" applyProtection="0"/>
    <xf numFmtId="174" fontId="23" fillId="63" borderId="36" applyNumberFormat="0" applyAlignment="0" applyProtection="0"/>
    <xf numFmtId="175" fontId="23" fillId="63" borderId="36" applyNumberFormat="0" applyAlignment="0" applyProtection="0"/>
    <xf numFmtId="174" fontId="23" fillId="63" borderId="36" applyNumberFormat="0" applyAlignment="0" applyProtection="0"/>
    <xf numFmtId="174" fontId="23" fillId="63" borderId="36" applyNumberFormat="0" applyAlignment="0" applyProtection="0"/>
    <xf numFmtId="175" fontId="23" fillId="63" borderId="36" applyNumberFormat="0" applyAlignment="0" applyProtection="0"/>
    <xf numFmtId="174" fontId="23" fillId="63" borderId="36" applyNumberFormat="0" applyAlignment="0" applyProtection="0"/>
    <xf numFmtId="0" fontId="21" fillId="63" borderId="36" applyNumberFormat="0" applyAlignment="0" applyProtection="0"/>
    <xf numFmtId="0" fontId="24" fillId="64" borderId="37" applyNumberFormat="0" applyAlignment="0" applyProtection="0"/>
    <xf numFmtId="0" fontId="25" fillId="9" borderId="32" applyNumberFormat="0" applyAlignment="0" applyProtection="0"/>
    <xf numFmtId="174"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0" fontId="24"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0" fontId="25" fillId="9" borderId="32"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0" fontId="24" fillId="64" borderId="37"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7"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83" fontId="1" fillId="0" borderId="0" applyFont="0" applyFill="0" applyBorder="0" applyAlignment="0" applyProtection="0"/>
    <xf numFmtId="18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2"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4" fontId="10" fillId="0" borderId="0" applyFont="0" applyFill="0" applyBorder="0" applyAlignment="0" applyProtection="0"/>
    <xf numFmtId="169" fontId="5" fillId="0" borderId="0" applyFont="0" applyFill="0" applyBorder="0" applyAlignment="0" applyProtection="0"/>
    <xf numFmtId="43" fontId="10" fillId="0" borderId="0" applyFont="0" applyFill="0" applyBorder="0" applyAlignment="0" applyProtection="0"/>
    <xf numFmtId="169" fontId="5" fillId="0" borderId="0" applyFont="0" applyFill="0" applyBorder="0" applyAlignment="0" applyProtection="0"/>
    <xf numFmtId="184" fontId="10"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69" fontId="5"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69" fontId="5"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4" fontId="10" fillId="0" borderId="0" applyFont="0" applyFill="0" applyBorder="0" applyAlignment="0" applyProtection="0"/>
    <xf numFmtId="169" fontId="5" fillId="0" borderId="0" applyFont="0" applyFill="0" applyBorder="0" applyAlignment="0" applyProtection="0"/>
    <xf numFmtId="184" fontId="10"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69" fontId="5"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Protection="0"/>
    <xf numFmtId="167"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7" fontId="2" fillId="0" borderId="0" applyFont="0" applyFill="0" applyProtection="0"/>
    <xf numFmtId="43"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5" fontId="2" fillId="0" borderId="0" applyFont="0" applyFill="0" applyBorder="0" applyAlignment="0" applyProtection="0"/>
    <xf numFmtId="43" fontId="2" fillId="0" borderId="0" applyFont="0" applyFill="0" applyBorder="0" applyAlignment="0" applyProtection="0"/>
    <xf numFmtId="185"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8" fontId="20"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1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8" fillId="0" borderId="0"/>
    <xf numFmtId="14" fontId="29" fillId="0" borderId="0" applyFill="0" applyBorder="0" applyAlignment="0"/>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7" fontId="20" fillId="0" borderId="0" applyFill="0" applyBorder="0" applyAlignment="0"/>
    <xf numFmtId="178" fontId="20" fillId="0" borderId="0" applyFill="0" applyBorder="0" applyAlignment="0"/>
    <xf numFmtId="177" fontId="20" fillId="0" borderId="0" applyFill="0" applyBorder="0" applyAlignment="0"/>
    <xf numFmtId="182" fontId="20" fillId="0" borderId="0" applyFill="0" applyBorder="0" applyAlignment="0"/>
    <xf numFmtId="178" fontId="20" fillId="0" borderId="0" applyFill="0" applyBorder="0" applyAlignment="0"/>
    <xf numFmtId="174" fontId="2" fillId="0" borderId="0" applyFont="0" applyFill="0" applyBorder="0" applyAlignment="0" applyProtection="0"/>
    <xf numFmtId="175" fontId="2" fillId="0" borderId="0" applyFont="0" applyFill="0" applyBorder="0" applyAlignment="0" applyProtection="0"/>
    <xf numFmtId="174"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4" fontId="33" fillId="0" borderId="0" applyNumberFormat="0" applyFill="0" applyBorder="0" applyAlignment="0" applyProtection="0"/>
    <xf numFmtId="174"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4" fontId="33" fillId="0" borderId="0" applyNumberFormat="0" applyFill="0" applyBorder="0" applyAlignment="0" applyProtection="0"/>
    <xf numFmtId="175" fontId="33" fillId="0" borderId="0" applyNumberFormat="0" applyFill="0" applyBorder="0" applyAlignment="0" applyProtection="0"/>
    <xf numFmtId="174" fontId="33" fillId="0" borderId="0" applyNumberFormat="0" applyFill="0" applyBorder="0" applyAlignment="0" applyProtection="0"/>
    <xf numFmtId="174" fontId="33" fillId="0" borderId="0" applyNumberFormat="0" applyFill="0" applyBorder="0" applyAlignment="0" applyProtection="0"/>
    <xf numFmtId="175" fontId="33" fillId="0" borderId="0" applyNumberFormat="0" applyFill="0" applyBorder="0" applyAlignment="0" applyProtection="0"/>
    <xf numFmtId="174" fontId="33" fillId="0" borderId="0" applyNumberFormat="0" applyFill="0" applyBorder="0" applyAlignment="0" applyProtection="0"/>
    <xf numFmtId="174" fontId="33" fillId="0" borderId="0" applyNumberFormat="0" applyFill="0" applyBorder="0" applyAlignment="0" applyProtection="0"/>
    <xf numFmtId="175" fontId="33" fillId="0" borderId="0" applyNumberFormat="0" applyFill="0" applyBorder="0" applyAlignment="0" applyProtection="0"/>
    <xf numFmtId="174" fontId="33" fillId="0" borderId="0" applyNumberFormat="0" applyFill="0" applyBorder="0" applyAlignment="0" applyProtection="0"/>
    <xf numFmtId="174" fontId="33" fillId="0" borderId="0" applyNumberFormat="0" applyFill="0" applyBorder="0" applyAlignment="0" applyProtection="0"/>
    <xf numFmtId="175" fontId="33" fillId="0" borderId="0" applyNumberFormat="0" applyFill="0" applyBorder="0" applyAlignment="0" applyProtection="0"/>
    <xf numFmtId="174" fontId="33" fillId="0" borderId="0" applyNumberFormat="0" applyFill="0" applyBorder="0" applyAlignment="0" applyProtection="0"/>
    <xf numFmtId="0" fontId="31" fillId="0" borderId="0" applyNumberFormat="0" applyFill="0" applyBorder="0" applyAlignment="0" applyProtection="0"/>
    <xf numFmtId="174" fontId="2" fillId="0" borderId="0"/>
    <xf numFmtId="0" fontId="2" fillId="0" borderId="0"/>
    <xf numFmtId="174"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4" fontId="36" fillId="39" borderId="0" applyNumberFormat="0" applyBorder="0" applyAlignment="0" applyProtection="0"/>
    <xf numFmtId="174" fontId="36" fillId="39" borderId="0" applyNumberFormat="0" applyBorder="0" applyAlignment="0" applyProtection="0"/>
    <xf numFmtId="175"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4" fontId="36" fillId="39" borderId="0" applyNumberFormat="0" applyBorder="0" applyAlignment="0" applyProtection="0"/>
    <xf numFmtId="175" fontId="36" fillId="39" borderId="0" applyNumberFormat="0" applyBorder="0" applyAlignment="0" applyProtection="0"/>
    <xf numFmtId="174" fontId="36" fillId="39" borderId="0" applyNumberFormat="0" applyBorder="0" applyAlignment="0" applyProtection="0"/>
    <xf numFmtId="174" fontId="36" fillId="39" borderId="0" applyNumberFormat="0" applyBorder="0" applyAlignment="0" applyProtection="0"/>
    <xf numFmtId="175" fontId="36" fillId="39" borderId="0" applyNumberFormat="0" applyBorder="0" applyAlignment="0" applyProtection="0"/>
    <xf numFmtId="174" fontId="36" fillId="39" borderId="0" applyNumberFormat="0" applyBorder="0" applyAlignment="0" applyProtection="0"/>
    <xf numFmtId="174" fontId="36" fillId="39" borderId="0" applyNumberFormat="0" applyBorder="0" applyAlignment="0" applyProtection="0"/>
    <xf numFmtId="175" fontId="36" fillId="39" borderId="0" applyNumberFormat="0" applyBorder="0" applyAlignment="0" applyProtection="0"/>
    <xf numFmtId="174" fontId="36" fillId="39" borderId="0" applyNumberFormat="0" applyBorder="0" applyAlignment="0" applyProtection="0"/>
    <xf numFmtId="174" fontId="36" fillId="39" borderId="0" applyNumberFormat="0" applyBorder="0" applyAlignment="0" applyProtection="0"/>
    <xf numFmtId="175" fontId="36" fillId="39" borderId="0" applyNumberFormat="0" applyBorder="0" applyAlignment="0" applyProtection="0"/>
    <xf numFmtId="174"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8" applyNumberFormat="0" applyAlignment="0" applyProtection="0">
      <alignment horizontal="left" vertical="center"/>
    </xf>
    <xf numFmtId="0" fontId="37" fillId="0" borderId="28" applyNumberFormat="0" applyAlignment="0" applyProtection="0">
      <alignment horizontal="left" vertical="center"/>
    </xf>
    <xf numFmtId="174" fontId="37" fillId="0" borderId="28" applyNumberFormat="0" applyAlignment="0" applyProtection="0">
      <alignment horizontal="left" vertical="center"/>
    </xf>
    <xf numFmtId="0" fontId="37" fillId="0" borderId="9">
      <alignment horizontal="left" vertical="center"/>
    </xf>
    <xf numFmtId="0" fontId="37" fillId="0" borderId="9">
      <alignment horizontal="left" vertical="center"/>
    </xf>
    <xf numFmtId="174" fontId="37" fillId="0" borderId="9">
      <alignment horizontal="left" vertical="center"/>
    </xf>
    <xf numFmtId="0" fontId="38" fillId="0" borderId="39" applyNumberFormat="0" applyFill="0" applyAlignment="0" applyProtection="0"/>
    <xf numFmtId="175" fontId="38" fillId="0" borderId="39" applyNumberFormat="0" applyFill="0" applyAlignment="0" applyProtection="0"/>
    <xf numFmtId="0" fontId="38" fillId="0" borderId="39" applyNumberFormat="0" applyFill="0" applyAlignment="0" applyProtection="0"/>
    <xf numFmtId="174" fontId="38" fillId="0" borderId="39" applyNumberFormat="0" applyFill="0" applyAlignment="0" applyProtection="0"/>
    <xf numFmtId="174" fontId="38" fillId="0" borderId="39" applyNumberFormat="0" applyFill="0" applyAlignment="0" applyProtection="0"/>
    <xf numFmtId="174" fontId="38" fillId="0" borderId="39" applyNumberFormat="0" applyFill="0" applyAlignment="0" applyProtection="0"/>
    <xf numFmtId="175" fontId="38" fillId="0" borderId="39" applyNumberFormat="0" applyFill="0" applyAlignment="0" applyProtection="0"/>
    <xf numFmtId="174" fontId="38" fillId="0" borderId="39" applyNumberFormat="0" applyFill="0" applyAlignment="0" applyProtection="0"/>
    <xf numFmtId="174" fontId="38" fillId="0" borderId="39" applyNumberFormat="0" applyFill="0" applyAlignment="0" applyProtection="0"/>
    <xf numFmtId="175" fontId="38" fillId="0" borderId="39" applyNumberFormat="0" applyFill="0" applyAlignment="0" applyProtection="0"/>
    <xf numFmtId="174" fontId="38" fillId="0" borderId="39" applyNumberFormat="0" applyFill="0" applyAlignment="0" applyProtection="0"/>
    <xf numFmtId="174" fontId="38" fillId="0" borderId="39" applyNumberFormat="0" applyFill="0" applyAlignment="0" applyProtection="0"/>
    <xf numFmtId="175" fontId="38" fillId="0" borderId="39" applyNumberFormat="0" applyFill="0" applyAlignment="0" applyProtection="0"/>
    <xf numFmtId="174" fontId="38" fillId="0" borderId="39" applyNumberFormat="0" applyFill="0" applyAlignment="0" applyProtection="0"/>
    <xf numFmtId="174" fontId="38" fillId="0" borderId="39" applyNumberFormat="0" applyFill="0" applyAlignment="0" applyProtection="0"/>
    <xf numFmtId="175" fontId="38" fillId="0" borderId="39" applyNumberFormat="0" applyFill="0" applyAlignment="0" applyProtection="0"/>
    <xf numFmtId="174" fontId="38" fillId="0" borderId="39" applyNumberFormat="0" applyFill="0" applyAlignment="0" applyProtection="0"/>
    <xf numFmtId="0" fontId="38" fillId="0" borderId="39" applyNumberFormat="0" applyFill="0" applyAlignment="0" applyProtection="0"/>
    <xf numFmtId="0" fontId="39" fillId="0" borderId="40" applyNumberFormat="0" applyFill="0" applyAlignment="0" applyProtection="0"/>
    <xf numFmtId="175" fontId="39" fillId="0" borderId="40" applyNumberFormat="0" applyFill="0" applyAlignment="0" applyProtection="0"/>
    <xf numFmtId="0" fontId="39" fillId="0" borderId="40" applyNumberFormat="0" applyFill="0" applyAlignment="0" applyProtection="0"/>
    <xf numFmtId="174" fontId="39" fillId="0" borderId="40" applyNumberFormat="0" applyFill="0" applyAlignment="0" applyProtection="0"/>
    <xf numFmtId="174" fontId="39" fillId="0" borderId="40" applyNumberFormat="0" applyFill="0" applyAlignment="0" applyProtection="0"/>
    <xf numFmtId="174" fontId="39" fillId="0" borderId="40" applyNumberFormat="0" applyFill="0" applyAlignment="0" applyProtection="0"/>
    <xf numFmtId="175" fontId="39" fillId="0" borderId="40" applyNumberFormat="0" applyFill="0" applyAlignment="0" applyProtection="0"/>
    <xf numFmtId="174" fontId="39" fillId="0" borderId="40" applyNumberFormat="0" applyFill="0" applyAlignment="0" applyProtection="0"/>
    <xf numFmtId="174" fontId="39" fillId="0" borderId="40" applyNumberFormat="0" applyFill="0" applyAlignment="0" applyProtection="0"/>
    <xf numFmtId="175" fontId="39" fillId="0" borderId="40" applyNumberFormat="0" applyFill="0" applyAlignment="0" applyProtection="0"/>
    <xf numFmtId="174" fontId="39" fillId="0" borderId="40" applyNumberFormat="0" applyFill="0" applyAlignment="0" applyProtection="0"/>
    <xf numFmtId="174" fontId="39" fillId="0" borderId="40" applyNumberFormat="0" applyFill="0" applyAlignment="0" applyProtection="0"/>
    <xf numFmtId="175" fontId="39" fillId="0" borderId="40" applyNumberFormat="0" applyFill="0" applyAlignment="0" applyProtection="0"/>
    <xf numFmtId="174" fontId="39" fillId="0" borderId="40" applyNumberFormat="0" applyFill="0" applyAlignment="0" applyProtection="0"/>
    <xf numFmtId="174" fontId="39" fillId="0" borderId="40" applyNumberFormat="0" applyFill="0" applyAlignment="0" applyProtection="0"/>
    <xf numFmtId="175" fontId="39" fillId="0" borderId="40" applyNumberFormat="0" applyFill="0" applyAlignment="0" applyProtection="0"/>
    <xf numFmtId="174" fontId="39" fillId="0" borderId="40" applyNumberFormat="0" applyFill="0" applyAlignment="0" applyProtection="0"/>
    <xf numFmtId="0" fontId="39" fillId="0" borderId="40" applyNumberFormat="0" applyFill="0" applyAlignment="0" applyProtection="0"/>
    <xf numFmtId="0" fontId="40" fillId="0" borderId="41" applyNumberFormat="0" applyFill="0" applyAlignment="0" applyProtection="0"/>
    <xf numFmtId="175" fontId="40" fillId="0" borderId="41" applyNumberFormat="0" applyFill="0" applyAlignment="0" applyProtection="0"/>
    <xf numFmtId="0" fontId="40" fillId="0" borderId="41" applyNumberFormat="0" applyFill="0" applyAlignment="0" applyProtection="0"/>
    <xf numFmtId="174" fontId="40" fillId="0" borderId="41" applyNumberFormat="0" applyFill="0" applyAlignment="0" applyProtection="0"/>
    <xf numFmtId="0" fontId="40" fillId="0" borderId="41" applyNumberFormat="0" applyFill="0" applyAlignment="0" applyProtection="0"/>
    <xf numFmtId="174" fontId="40" fillId="0" borderId="41" applyNumberFormat="0" applyFill="0" applyAlignment="0" applyProtection="0"/>
    <xf numFmtId="0" fontId="40" fillId="0" borderId="41" applyNumberFormat="0" applyFill="0" applyAlignment="0" applyProtection="0"/>
    <xf numFmtId="0" fontId="40" fillId="0" borderId="41" applyNumberFormat="0" applyFill="0" applyAlignment="0" applyProtection="0"/>
    <xf numFmtId="174" fontId="40" fillId="0" borderId="41" applyNumberFormat="0" applyFill="0" applyAlignment="0" applyProtection="0"/>
    <xf numFmtId="175" fontId="40" fillId="0" borderId="41" applyNumberFormat="0" applyFill="0" applyAlignment="0" applyProtection="0"/>
    <xf numFmtId="174" fontId="40" fillId="0" borderId="41" applyNumberFormat="0" applyFill="0" applyAlignment="0" applyProtection="0"/>
    <xf numFmtId="174" fontId="40" fillId="0" borderId="41" applyNumberFormat="0" applyFill="0" applyAlignment="0" applyProtection="0"/>
    <xf numFmtId="175" fontId="40" fillId="0" borderId="41" applyNumberFormat="0" applyFill="0" applyAlignment="0" applyProtection="0"/>
    <xf numFmtId="174" fontId="40" fillId="0" borderId="41" applyNumberFormat="0" applyFill="0" applyAlignment="0" applyProtection="0"/>
    <xf numFmtId="174" fontId="40" fillId="0" borderId="41" applyNumberFormat="0" applyFill="0" applyAlignment="0" applyProtection="0"/>
    <xf numFmtId="175" fontId="40" fillId="0" borderId="41" applyNumberFormat="0" applyFill="0" applyAlignment="0" applyProtection="0"/>
    <xf numFmtId="174" fontId="40" fillId="0" borderId="41" applyNumberFormat="0" applyFill="0" applyAlignment="0" applyProtection="0"/>
    <xf numFmtId="174" fontId="40" fillId="0" borderId="41" applyNumberFormat="0" applyFill="0" applyAlignment="0" applyProtection="0"/>
    <xf numFmtId="175" fontId="40" fillId="0" borderId="41" applyNumberFormat="0" applyFill="0" applyAlignment="0" applyProtection="0"/>
    <xf numFmtId="174" fontId="40" fillId="0" borderId="41" applyNumberFormat="0" applyFill="0" applyAlignment="0" applyProtection="0"/>
    <xf numFmtId="0" fontId="40" fillId="0" borderId="41" applyNumberFormat="0" applyFill="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174" fontId="40" fillId="0" borderId="0" applyNumberFormat="0" applyFill="0" applyBorder="0" applyAlignment="0" applyProtection="0"/>
    <xf numFmtId="174" fontId="40" fillId="0" borderId="0" applyNumberFormat="0" applyFill="0" applyBorder="0" applyAlignment="0" applyProtection="0"/>
    <xf numFmtId="174" fontId="40" fillId="0" borderId="0" applyNumberFormat="0" applyFill="0" applyBorder="0" applyAlignment="0" applyProtection="0"/>
    <xf numFmtId="175" fontId="40" fillId="0" borderId="0" applyNumberFormat="0" applyFill="0" applyBorder="0" applyAlignment="0" applyProtection="0"/>
    <xf numFmtId="174" fontId="40" fillId="0" borderId="0" applyNumberFormat="0" applyFill="0" applyBorder="0" applyAlignment="0" applyProtection="0"/>
    <xf numFmtId="174" fontId="40" fillId="0" borderId="0" applyNumberFormat="0" applyFill="0" applyBorder="0" applyAlignment="0" applyProtection="0"/>
    <xf numFmtId="175" fontId="40" fillId="0" borderId="0" applyNumberFormat="0" applyFill="0" applyBorder="0" applyAlignment="0" applyProtection="0"/>
    <xf numFmtId="174" fontId="40" fillId="0" borderId="0" applyNumberFormat="0" applyFill="0" applyBorder="0" applyAlignment="0" applyProtection="0"/>
    <xf numFmtId="174" fontId="40" fillId="0" borderId="0" applyNumberFormat="0" applyFill="0" applyBorder="0" applyAlignment="0" applyProtection="0"/>
    <xf numFmtId="175" fontId="40" fillId="0" borderId="0" applyNumberFormat="0" applyFill="0" applyBorder="0" applyAlignment="0" applyProtection="0"/>
    <xf numFmtId="174" fontId="40" fillId="0" borderId="0" applyNumberFormat="0" applyFill="0" applyBorder="0" applyAlignment="0" applyProtection="0"/>
    <xf numFmtId="174" fontId="40" fillId="0" borderId="0" applyNumberFormat="0" applyFill="0" applyBorder="0" applyAlignment="0" applyProtection="0"/>
    <xf numFmtId="175" fontId="40" fillId="0" borderId="0" applyNumberFormat="0" applyFill="0" applyBorder="0" applyAlignment="0" applyProtection="0"/>
    <xf numFmtId="174" fontId="40" fillId="0" borderId="0" applyNumberFormat="0" applyFill="0" applyBorder="0" applyAlignment="0" applyProtection="0"/>
    <xf numFmtId="0" fontId="40" fillId="0" borderId="0" applyNumberFormat="0" applyFill="0" applyBorder="0" applyAlignment="0" applyProtection="0"/>
    <xf numFmtId="37" fontId="41" fillId="0" borderId="0"/>
    <xf numFmtId="174" fontId="42" fillId="0" borderId="0"/>
    <xf numFmtId="0" fontId="42" fillId="0" borderId="0"/>
    <xf numFmtId="174" fontId="42" fillId="0" borderId="0"/>
    <xf numFmtId="174" fontId="37" fillId="0" borderId="0"/>
    <xf numFmtId="0" fontId="37" fillId="0" borderId="0"/>
    <xf numFmtId="174" fontId="37" fillId="0" borderId="0"/>
    <xf numFmtId="174" fontId="43" fillId="0" borderId="0"/>
    <xf numFmtId="0" fontId="43" fillId="0" borderId="0"/>
    <xf numFmtId="174" fontId="43" fillId="0" borderId="0"/>
    <xf numFmtId="174" fontId="44" fillId="0" borderId="0"/>
    <xf numFmtId="0" fontId="44" fillId="0" borderId="0"/>
    <xf numFmtId="174" fontId="44" fillId="0" borderId="0"/>
    <xf numFmtId="174" fontId="45" fillId="0" borderId="0"/>
    <xf numFmtId="0" fontId="45" fillId="0" borderId="0"/>
    <xf numFmtId="174" fontId="45" fillId="0" borderId="0"/>
    <xf numFmtId="174" fontId="46" fillId="0" borderId="0"/>
    <xf numFmtId="0" fontId="46" fillId="0" borderId="0"/>
    <xf numFmtId="174"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4" fontId="2" fillId="0" borderId="0">
      <alignment horizontal="center"/>
    </xf>
    <xf numFmtId="0" fontId="2" fillId="0" borderId="0">
      <alignment horizontal="center"/>
    </xf>
    <xf numFmtId="174" fontId="2" fillId="0" borderId="0">
      <alignment horizontal="center"/>
    </xf>
    <xf numFmtId="174"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4" fontId="47" fillId="0" borderId="0" applyNumberFormat="0" applyFill="0" applyBorder="0" applyAlignment="0" applyProtection="0">
      <alignment vertical="top"/>
      <protection locked="0"/>
    </xf>
    <xf numFmtId="174" fontId="48" fillId="0" borderId="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74"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74"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75"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74" fontId="51" fillId="42" borderId="36" applyNumberFormat="0" applyAlignment="0" applyProtection="0"/>
    <xf numFmtId="175" fontId="51" fillId="42" borderId="36" applyNumberFormat="0" applyAlignment="0" applyProtection="0"/>
    <xf numFmtId="174" fontId="51" fillId="42" borderId="36" applyNumberFormat="0" applyAlignment="0" applyProtection="0"/>
    <xf numFmtId="174" fontId="51" fillId="42" borderId="36" applyNumberFormat="0" applyAlignment="0" applyProtection="0"/>
    <xf numFmtId="175" fontId="51" fillId="42" borderId="36" applyNumberFormat="0" applyAlignment="0" applyProtection="0"/>
    <xf numFmtId="174" fontId="51" fillId="42" borderId="36" applyNumberFormat="0" applyAlignment="0" applyProtection="0"/>
    <xf numFmtId="174" fontId="51" fillId="42" borderId="36" applyNumberFormat="0" applyAlignment="0" applyProtection="0"/>
    <xf numFmtId="175" fontId="51" fillId="42" borderId="36" applyNumberFormat="0" applyAlignment="0" applyProtection="0"/>
    <xf numFmtId="174" fontId="51" fillId="42" borderId="36" applyNumberFormat="0" applyAlignment="0" applyProtection="0"/>
    <xf numFmtId="174" fontId="51" fillId="42" borderId="36" applyNumberFormat="0" applyAlignment="0" applyProtection="0"/>
    <xf numFmtId="175" fontId="51" fillId="42" borderId="36" applyNumberFormat="0" applyAlignment="0" applyProtection="0"/>
    <xf numFmtId="174" fontId="51" fillId="42" borderId="36" applyNumberFormat="0" applyAlignment="0" applyProtection="0"/>
    <xf numFmtId="0" fontId="49" fillId="42" borderId="36" applyNumberFormat="0" applyAlignment="0" applyProtection="0"/>
    <xf numFmtId="3" fontId="2" fillId="71" borderId="3" applyFont="0">
      <alignment horizontal="right" vertical="center"/>
      <protection locked="0"/>
    </xf>
    <xf numFmtId="177" fontId="20" fillId="0" borderId="0" applyFill="0" applyBorder="0" applyAlignment="0"/>
    <xf numFmtId="178" fontId="20" fillId="0" borderId="0" applyFill="0" applyBorder="0" applyAlignment="0"/>
    <xf numFmtId="177" fontId="20" fillId="0" borderId="0" applyFill="0" applyBorder="0" applyAlignment="0"/>
    <xf numFmtId="182" fontId="20" fillId="0" borderId="0" applyFill="0" applyBorder="0" applyAlignment="0"/>
    <xf numFmtId="178" fontId="20" fillId="0" borderId="0" applyFill="0" applyBorder="0" applyAlignment="0"/>
    <xf numFmtId="0" fontId="52" fillId="0" borderId="42" applyNumberFormat="0" applyFill="0" applyAlignment="0" applyProtection="0"/>
    <xf numFmtId="0" fontId="53" fillId="0" borderId="31" applyNumberFormat="0" applyFill="0" applyAlignment="0" applyProtection="0"/>
    <xf numFmtId="174" fontId="54" fillId="0" borderId="42" applyNumberFormat="0" applyFill="0" applyAlignment="0" applyProtection="0"/>
    <xf numFmtId="174" fontId="54" fillId="0" borderId="42" applyNumberFormat="0" applyFill="0" applyAlignment="0" applyProtection="0"/>
    <xf numFmtId="175" fontId="54" fillId="0" borderId="42" applyNumberFormat="0" applyFill="0" applyAlignment="0" applyProtection="0"/>
    <xf numFmtId="0" fontId="52" fillId="0" borderId="42"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174" fontId="54" fillId="0" borderId="42" applyNumberFormat="0" applyFill="0" applyAlignment="0" applyProtection="0"/>
    <xf numFmtId="175" fontId="54" fillId="0" borderId="42" applyNumberFormat="0" applyFill="0" applyAlignment="0" applyProtection="0"/>
    <xf numFmtId="174" fontId="54" fillId="0" borderId="42" applyNumberFormat="0" applyFill="0" applyAlignment="0" applyProtection="0"/>
    <xf numFmtId="174" fontId="54" fillId="0" borderId="42" applyNumberFormat="0" applyFill="0" applyAlignment="0" applyProtection="0"/>
    <xf numFmtId="175" fontId="54" fillId="0" borderId="42" applyNumberFormat="0" applyFill="0" applyAlignment="0" applyProtection="0"/>
    <xf numFmtId="174" fontId="54" fillId="0" borderId="42" applyNumberFormat="0" applyFill="0" applyAlignment="0" applyProtection="0"/>
    <xf numFmtId="174" fontId="54" fillId="0" borderId="42" applyNumberFormat="0" applyFill="0" applyAlignment="0" applyProtection="0"/>
    <xf numFmtId="175" fontId="54" fillId="0" borderId="42" applyNumberFormat="0" applyFill="0" applyAlignment="0" applyProtection="0"/>
    <xf numFmtId="174" fontId="54" fillId="0" borderId="42" applyNumberFormat="0" applyFill="0" applyAlignment="0" applyProtection="0"/>
    <xf numFmtId="174" fontId="54" fillId="0" borderId="42" applyNumberFormat="0" applyFill="0" applyAlignment="0" applyProtection="0"/>
    <xf numFmtId="175" fontId="54" fillId="0" borderId="42" applyNumberFormat="0" applyFill="0" applyAlignment="0" applyProtection="0"/>
    <xf numFmtId="174" fontId="54" fillId="0" borderId="42" applyNumberFormat="0" applyFill="0" applyAlignment="0" applyProtection="0"/>
    <xf numFmtId="0" fontId="52" fillId="0" borderId="42" applyNumberFormat="0" applyFill="0" applyAlignment="0" applyProtection="0"/>
    <xf numFmtId="174" fontId="2" fillId="0" borderId="0">
      <alignment horizontal="center"/>
    </xf>
    <xf numFmtId="0" fontId="2" fillId="0" borderId="0">
      <alignment horizontal="center"/>
    </xf>
    <xf numFmtId="174"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4" fontId="57" fillId="72" borderId="0" applyNumberFormat="0" applyBorder="0" applyAlignment="0" applyProtection="0"/>
    <xf numFmtId="174" fontId="57" fillId="72" borderId="0" applyNumberFormat="0" applyBorder="0" applyAlignment="0" applyProtection="0"/>
    <xf numFmtId="175"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4" fontId="57" fillId="72" borderId="0" applyNumberFormat="0" applyBorder="0" applyAlignment="0" applyProtection="0"/>
    <xf numFmtId="175" fontId="57" fillId="72" borderId="0" applyNumberFormat="0" applyBorder="0" applyAlignment="0" applyProtection="0"/>
    <xf numFmtId="174" fontId="57" fillId="72" borderId="0" applyNumberFormat="0" applyBorder="0" applyAlignment="0" applyProtection="0"/>
    <xf numFmtId="174" fontId="57" fillId="72" borderId="0" applyNumberFormat="0" applyBorder="0" applyAlignment="0" applyProtection="0"/>
    <xf numFmtId="175" fontId="57" fillId="72" borderId="0" applyNumberFormat="0" applyBorder="0" applyAlignment="0" applyProtection="0"/>
    <xf numFmtId="174" fontId="57" fillId="72" borderId="0" applyNumberFormat="0" applyBorder="0" applyAlignment="0" applyProtection="0"/>
    <xf numFmtId="174" fontId="57" fillId="72" borderId="0" applyNumberFormat="0" applyBorder="0" applyAlignment="0" applyProtection="0"/>
    <xf numFmtId="175" fontId="57" fillId="72" borderId="0" applyNumberFormat="0" applyBorder="0" applyAlignment="0" applyProtection="0"/>
    <xf numFmtId="174" fontId="57" fillId="72" borderId="0" applyNumberFormat="0" applyBorder="0" applyAlignment="0" applyProtection="0"/>
    <xf numFmtId="174" fontId="57" fillId="72" borderId="0" applyNumberFormat="0" applyBorder="0" applyAlignment="0" applyProtection="0"/>
    <xf numFmtId="175" fontId="57" fillId="72" borderId="0" applyNumberFormat="0" applyBorder="0" applyAlignment="0" applyProtection="0"/>
    <xf numFmtId="174" fontId="57" fillId="72" borderId="0" applyNumberFormat="0" applyBorder="0" applyAlignment="0" applyProtection="0"/>
    <xf numFmtId="0" fontId="55" fillId="72" borderId="0" applyNumberFormat="0" applyBorder="0" applyAlignment="0" applyProtection="0"/>
    <xf numFmtId="1" fontId="58" fillId="0" borderId="0" applyProtection="0"/>
    <xf numFmtId="174" fontId="9" fillId="0" borderId="43"/>
    <xf numFmtId="175" fontId="9" fillId="0" borderId="43"/>
    <xf numFmtId="174" fontId="9" fillId="0" borderId="43"/>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3"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2"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2" fillId="0" borderId="0"/>
    <xf numFmtId="0" fontId="2" fillId="0" borderId="0"/>
    <xf numFmtId="0" fontId="2" fillId="0" borderId="0"/>
    <xf numFmtId="0" fontId="59" fillId="0" borderId="0"/>
    <xf numFmtId="186" fontId="2" fillId="0" borderId="0"/>
    <xf numFmtId="185" fontId="11" fillId="0" borderId="0"/>
    <xf numFmtId="0" fontId="5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60" fillId="0" borderId="0"/>
    <xf numFmtId="0" fontId="60" fillId="0" borderId="0"/>
    <xf numFmtId="0" fontId="59" fillId="0" borderId="0"/>
    <xf numFmtId="185" fontId="11" fillId="0" borderId="0"/>
    <xf numFmtId="185" fontId="2" fillId="0" borderId="0"/>
    <xf numFmtId="185" fontId="2" fillId="0" borderId="0"/>
    <xf numFmtId="0" fontId="2" fillId="0" borderId="0"/>
    <xf numFmtId="0" fontId="2" fillId="0" borderId="0"/>
    <xf numFmtId="185"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0" fontId="2"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2" fillId="0" borderId="0"/>
    <xf numFmtId="0" fontId="2" fillId="0" borderId="0"/>
    <xf numFmtId="185" fontId="11" fillId="0" borderId="0"/>
    <xf numFmtId="0" fontId="2" fillId="0" borderId="0"/>
    <xf numFmtId="0" fontId="2"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0" fontId="2" fillId="0" borderId="0"/>
    <xf numFmtId="174" fontId="2"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74" fontId="2" fillId="0" borderId="0"/>
    <xf numFmtId="185" fontId="1" fillId="0" borderId="0"/>
    <xf numFmtId="185" fontId="1" fillId="0" borderId="0"/>
    <xf numFmtId="185" fontId="1" fillId="0" borderId="0"/>
    <xf numFmtId="185"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48"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85" fontId="1" fillId="0" borderId="0"/>
    <xf numFmtId="185" fontId="1" fillId="0" borderId="0"/>
    <xf numFmtId="185" fontId="1" fillId="0" borderId="0"/>
    <xf numFmtId="185" fontId="1" fillId="0" borderId="0"/>
    <xf numFmtId="174" fontId="2" fillId="0" borderId="0"/>
    <xf numFmtId="185" fontId="2" fillId="0" borderId="0"/>
    <xf numFmtId="185" fontId="2" fillId="0" borderId="0"/>
    <xf numFmtId="174" fontId="2" fillId="0" borderId="0"/>
    <xf numFmtId="185" fontId="2" fillId="0" borderId="0"/>
    <xf numFmtId="185" fontId="2" fillId="0" borderId="0"/>
    <xf numFmtId="185" fontId="2"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2" fillId="0" borderId="0"/>
    <xf numFmtId="185" fontId="1"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2" fillId="0" borderId="0"/>
    <xf numFmtId="185" fontId="2" fillId="0" borderId="0"/>
    <xf numFmtId="185" fontId="2" fillId="0" borderId="0"/>
    <xf numFmtId="185" fontId="2" fillId="0" borderId="0"/>
    <xf numFmtId="185" fontId="2" fillId="0" borderId="0"/>
    <xf numFmtId="185" fontId="2"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2"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2" fillId="0" borderId="0"/>
    <xf numFmtId="0" fontId="2" fillId="0" borderId="0"/>
    <xf numFmtId="0" fontId="1" fillId="0" borderId="0"/>
    <xf numFmtId="0" fontId="1" fillId="0" borderId="0"/>
    <xf numFmtId="0" fontId="1" fillId="0" borderId="0"/>
    <xf numFmtId="0" fontId="1" fillId="0" borderId="0"/>
    <xf numFmtId="174"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4" fontId="11" fillId="0" borderId="0"/>
    <xf numFmtId="0" fontId="11" fillId="0" borderId="0"/>
    <xf numFmtId="174"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1" fillId="0" borderId="0"/>
    <xf numFmtId="174" fontId="11" fillId="0" borderId="0"/>
    <xf numFmtId="0" fontId="11" fillId="0" borderId="0"/>
    <xf numFmtId="0" fontId="11" fillId="0" borderId="0"/>
    <xf numFmtId="0" fontId="2"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0"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74" fontId="10" fillId="0" borderId="0"/>
    <xf numFmtId="185" fontId="11" fillId="0" borderId="0"/>
    <xf numFmtId="185" fontId="11" fillId="0" borderId="0"/>
    <xf numFmtId="0" fontId="2"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1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185" fontId="11" fillId="0" borderId="0"/>
    <xf numFmtId="185" fontId="11" fillId="0" borderId="0"/>
    <xf numFmtId="185" fontId="11" fillId="0" borderId="0"/>
    <xf numFmtId="185"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8" fillId="0" borderId="0"/>
    <xf numFmtId="0" fontId="11" fillId="0" borderId="0"/>
    <xf numFmtId="0" fontId="2" fillId="0" borderId="0"/>
    <xf numFmtId="0" fontId="10" fillId="0" borderId="0"/>
    <xf numFmtId="174" fontId="8" fillId="0" borderId="0"/>
    <xf numFmtId="0" fontId="2" fillId="0" borderId="0"/>
    <xf numFmtId="0" fontId="1" fillId="0" borderId="0"/>
    <xf numFmtId="0" fontId="1" fillId="0" borderId="0"/>
    <xf numFmtId="185"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5" fontId="2" fillId="0" borderId="0"/>
    <xf numFmtId="0" fontId="11" fillId="0" borderId="0"/>
    <xf numFmtId="0" fontId="11" fillId="0" borderId="0"/>
    <xf numFmtId="174" fontId="8" fillId="0" borderId="0"/>
    <xf numFmtId="0" fontId="48" fillId="0" borderId="0"/>
    <xf numFmtId="0" fontId="2" fillId="0" borderId="0"/>
    <xf numFmtId="174" fontId="8" fillId="0" borderId="0"/>
    <xf numFmtId="0" fontId="1"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4" fontId="8" fillId="0" borderId="0"/>
    <xf numFmtId="174" fontId="8" fillId="0" borderId="0"/>
    <xf numFmtId="0" fontId="1" fillId="0" borderId="0"/>
    <xf numFmtId="185" fontId="11" fillId="0" borderId="0"/>
    <xf numFmtId="185" fontId="11" fillId="0" borderId="0"/>
    <xf numFmtId="185" fontId="2" fillId="0" borderId="0"/>
    <xf numFmtId="0" fontId="2" fillId="0" borderId="0"/>
    <xf numFmtId="185" fontId="2" fillId="0" borderId="0"/>
    <xf numFmtId="0" fontId="2" fillId="0" borderId="0"/>
    <xf numFmtId="185"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4" fontId="8" fillId="0" borderId="0"/>
    <xf numFmtId="174" fontId="8" fillId="0" borderId="0"/>
    <xf numFmtId="0" fontId="1" fillId="0" borderId="0"/>
    <xf numFmtId="185" fontId="11" fillId="0" borderId="0"/>
    <xf numFmtId="185"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xf numFmtId="174"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1" fillId="0" borderId="0"/>
    <xf numFmtId="185"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5" fontId="11" fillId="0" borderId="0"/>
    <xf numFmtId="0" fontId="5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5"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59" fillId="0" borderId="0"/>
    <xf numFmtId="185" fontId="2" fillId="0" borderId="0"/>
    <xf numFmtId="185" fontId="11" fillId="0" borderId="0"/>
    <xf numFmtId="185" fontId="11" fillId="0" borderId="0"/>
    <xf numFmtId="185" fontId="11" fillId="0" borderId="0"/>
    <xf numFmtId="185" fontId="11" fillId="0" borderId="0"/>
    <xf numFmtId="185" fontId="11" fillId="0" borderId="0"/>
    <xf numFmtId="185" fontId="11" fillId="0" borderId="0"/>
    <xf numFmtId="185" fontId="11" fillId="0" borderId="0"/>
    <xf numFmtId="185" fontId="11" fillId="0" borderId="0"/>
    <xf numFmtId="185" fontId="2" fillId="0" borderId="0"/>
    <xf numFmtId="185" fontId="2" fillId="0" borderId="0"/>
    <xf numFmtId="185" fontId="2" fillId="0" borderId="0"/>
    <xf numFmtId="185" fontId="2" fillId="0" borderId="0"/>
    <xf numFmtId="185" fontId="2" fillId="0" borderId="0"/>
    <xf numFmtId="185" fontId="2" fillId="0" borderId="0"/>
    <xf numFmtId="185"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5" fontId="1" fillId="0" borderId="0"/>
    <xf numFmtId="185" fontId="1" fillId="0" borderId="0"/>
    <xf numFmtId="185" fontId="1" fillId="0" borderId="0"/>
    <xf numFmtId="185" fontId="1" fillId="0" borderId="0"/>
    <xf numFmtId="0" fontId="2" fillId="0" borderId="0"/>
    <xf numFmtId="0" fontId="2"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5" fontId="9" fillId="0" borderId="0"/>
    <xf numFmtId="0" fontId="5"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5" fontId="5" fillId="0" borderId="0"/>
    <xf numFmtId="0" fontId="9" fillId="0" borderId="0"/>
    <xf numFmtId="185"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5" fontId="9" fillId="0" borderId="0"/>
    <xf numFmtId="185" fontId="5" fillId="0" borderId="0"/>
    <xf numFmtId="185"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5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4" fontId="9" fillId="0" borderId="0"/>
    <xf numFmtId="0" fontId="59" fillId="0" borderId="0"/>
    <xf numFmtId="174"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4" fontId="5" fillId="0" borderId="0"/>
    <xf numFmtId="0" fontId="59" fillId="0" borderId="0"/>
    <xf numFmtId="174"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5"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5"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1" fillId="0" borderId="0"/>
    <xf numFmtId="185" fontId="9"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185" fontId="9" fillId="0" borderId="0"/>
    <xf numFmtId="185" fontId="9"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2" fillId="0" borderId="0"/>
    <xf numFmtId="185" fontId="1" fillId="0" borderId="0"/>
    <xf numFmtId="185" fontId="1" fillId="0" borderId="0"/>
    <xf numFmtId="185" fontId="1" fillId="0" borderId="0"/>
    <xf numFmtId="185" fontId="1" fillId="0" borderId="0"/>
    <xf numFmtId="185" fontId="2" fillId="0" borderId="0"/>
    <xf numFmtId="185" fontId="2" fillId="0" borderId="0"/>
    <xf numFmtId="185" fontId="2" fillId="0" borderId="0"/>
    <xf numFmtId="185" fontId="2" fillId="0" borderId="0"/>
    <xf numFmtId="174"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4" fontId="27" fillId="0" borderId="0"/>
    <xf numFmtId="0" fontId="2" fillId="0" borderId="0"/>
    <xf numFmtId="0" fontId="59" fillId="0" borderId="0"/>
    <xf numFmtId="174" fontId="27" fillId="0" borderId="0"/>
    <xf numFmtId="0" fontId="2" fillId="0" borderId="0"/>
    <xf numFmtId="18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5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8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5"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59"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5" fontId="1" fillId="0" borderId="0"/>
    <xf numFmtId="185" fontId="1" fillId="0" borderId="0"/>
    <xf numFmtId="185" fontId="1" fillId="0" borderId="0"/>
    <xf numFmtId="185" fontId="1"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59" fillId="0" borderId="0"/>
    <xf numFmtId="0" fontId="2" fillId="0" borderId="0"/>
    <xf numFmtId="0" fontId="5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5"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5" fontId="2" fillId="0" borderId="0"/>
    <xf numFmtId="0" fontId="2" fillId="0" borderId="0"/>
    <xf numFmtId="0" fontId="2" fillId="0" borderId="0"/>
    <xf numFmtId="185" fontId="2" fillId="0" borderId="0"/>
    <xf numFmtId="0" fontId="2" fillId="0" borderId="0"/>
    <xf numFmtId="185" fontId="2" fillId="0" borderId="0"/>
    <xf numFmtId="185" fontId="2" fillId="0" borderId="0"/>
    <xf numFmtId="185" fontId="2" fillId="0" borderId="0"/>
    <xf numFmtId="185" fontId="2" fillId="0" borderId="0"/>
    <xf numFmtId="18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5"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4"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4"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4"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74"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174" fontId="2" fillId="0" borderId="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75"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75" fontId="2" fillId="0" borderId="0"/>
    <xf numFmtId="0" fontId="2" fillId="73" borderId="44" applyNumberFormat="0" applyFont="0" applyAlignment="0" applyProtection="0"/>
    <xf numFmtId="174" fontId="2" fillId="0" borderId="0"/>
    <xf numFmtId="0" fontId="2" fillId="73" borderId="44" applyNumberFormat="0" applyFont="0" applyAlignment="0" applyProtection="0"/>
    <xf numFmtId="174" fontId="2" fillId="0" borderId="0"/>
    <xf numFmtId="0" fontId="2" fillId="73" borderId="44" applyNumberFormat="0" applyFont="0" applyAlignment="0" applyProtection="0"/>
    <xf numFmtId="0" fontId="2" fillId="73" borderId="44" applyNumberFormat="0" applyFont="0" applyAlignment="0" applyProtection="0"/>
    <xf numFmtId="175" fontId="2" fillId="0" borderId="0"/>
    <xf numFmtId="174" fontId="2" fillId="0" borderId="0"/>
    <xf numFmtId="0" fontId="2" fillId="73" borderId="44" applyNumberFormat="0" applyFont="0" applyAlignment="0" applyProtection="0"/>
    <xf numFmtId="174" fontId="2" fillId="0" borderId="0"/>
    <xf numFmtId="0" fontId="2" fillId="73" borderId="44" applyNumberFormat="0" applyFont="0" applyAlignment="0" applyProtection="0"/>
    <xf numFmtId="0" fontId="2" fillId="73" borderId="44" applyNumberFormat="0" applyFont="0" applyAlignment="0" applyProtection="0"/>
    <xf numFmtId="175" fontId="2" fillId="0" borderId="0"/>
    <xf numFmtId="0" fontId="2" fillId="73" borderId="44" applyNumberFormat="0" applyFont="0" applyAlignment="0" applyProtection="0"/>
    <xf numFmtId="174" fontId="2" fillId="0" borderId="0"/>
    <xf numFmtId="0" fontId="2" fillId="73" borderId="44" applyNumberFormat="0" applyFont="0" applyAlignment="0" applyProtection="0"/>
    <xf numFmtId="174" fontId="2" fillId="0" borderId="0"/>
    <xf numFmtId="0" fontId="2" fillId="73" borderId="44" applyNumberFormat="0" applyFont="0" applyAlignment="0" applyProtection="0"/>
    <xf numFmtId="0" fontId="2" fillId="73" borderId="44" applyNumberFormat="0" applyFont="0" applyAlignment="0" applyProtection="0"/>
    <xf numFmtId="175" fontId="2" fillId="0" borderId="0"/>
    <xf numFmtId="174" fontId="2" fillId="0" borderId="0"/>
    <xf numFmtId="174" fontId="2" fillId="0" borderId="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88" fontId="2" fillId="0" borderId="0" applyFont="0" applyFill="0" applyBorder="0" applyAlignment="0" applyProtection="0"/>
    <xf numFmtId="189" fontId="2" fillId="0" borderId="0" applyFont="0" applyFill="0" applyBorder="0" applyAlignment="0" applyProtection="0"/>
    <xf numFmtId="190" fontId="64" fillId="0" borderId="0">
      <alignment horizontal="left"/>
    </xf>
    <xf numFmtId="0" fontId="2" fillId="0" borderId="0"/>
    <xf numFmtId="0" fontId="2" fillId="0" borderId="0"/>
    <xf numFmtId="174" fontId="2" fillId="0" borderId="0"/>
    <xf numFmtId="3" fontId="2" fillId="74" borderId="3" applyFont="0">
      <alignment horizontal="right" vertical="center"/>
      <protection locked="0"/>
    </xf>
    <xf numFmtId="174" fontId="65" fillId="0" borderId="0"/>
    <xf numFmtId="0" fontId="65" fillId="0" borderId="0"/>
    <xf numFmtId="174" fontId="65" fillId="0" borderId="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74"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74"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75"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74" fontId="68" fillId="63" borderId="45" applyNumberFormat="0" applyAlignment="0" applyProtection="0"/>
    <xf numFmtId="175" fontId="68" fillId="63" borderId="45" applyNumberFormat="0" applyAlignment="0" applyProtection="0"/>
    <xf numFmtId="174" fontId="68" fillId="63" borderId="45" applyNumberFormat="0" applyAlignment="0" applyProtection="0"/>
    <xf numFmtId="174" fontId="68" fillId="63" borderId="45" applyNumberFormat="0" applyAlignment="0" applyProtection="0"/>
    <xf numFmtId="175" fontId="68" fillId="63" borderId="45" applyNumberFormat="0" applyAlignment="0" applyProtection="0"/>
    <xf numFmtId="174" fontId="68" fillId="63" borderId="45" applyNumberFormat="0" applyAlignment="0" applyProtection="0"/>
    <xf numFmtId="174" fontId="68" fillId="63" borderId="45" applyNumberFormat="0" applyAlignment="0" applyProtection="0"/>
    <xf numFmtId="175" fontId="68" fillId="63" borderId="45" applyNumberFormat="0" applyAlignment="0" applyProtection="0"/>
    <xf numFmtId="174" fontId="68" fillId="63" borderId="45" applyNumberFormat="0" applyAlignment="0" applyProtection="0"/>
    <xf numFmtId="174" fontId="68" fillId="63" borderId="45" applyNumberFormat="0" applyAlignment="0" applyProtection="0"/>
    <xf numFmtId="175" fontId="68" fillId="63" borderId="45" applyNumberFormat="0" applyAlignment="0" applyProtection="0"/>
    <xf numFmtId="174" fontId="68" fillId="63" borderId="45" applyNumberFormat="0" applyAlignment="0" applyProtection="0"/>
    <xf numFmtId="0" fontId="66" fillId="63" borderId="45" applyNumberFormat="0" applyAlignment="0" applyProtection="0"/>
    <xf numFmtId="0" fontId="8" fillId="0" borderId="0"/>
    <xf numFmtId="181" fontId="20" fillId="0" borderId="0" applyFont="0" applyFill="0" applyBorder="0" applyAlignment="0" applyProtection="0"/>
    <xf numFmtId="191"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7" fontId="20" fillId="0" borderId="0" applyFill="0" applyBorder="0" applyAlignment="0"/>
    <xf numFmtId="178" fontId="20" fillId="0" borderId="0" applyFill="0" applyBorder="0" applyAlignment="0"/>
    <xf numFmtId="177" fontId="20" fillId="0" borderId="0" applyFill="0" applyBorder="0" applyAlignment="0"/>
    <xf numFmtId="182" fontId="20" fillId="0" borderId="0" applyFill="0" applyBorder="0" applyAlignment="0"/>
    <xf numFmtId="178" fontId="20" fillId="0" borderId="0" applyFill="0" applyBorder="0" applyAlignment="0"/>
    <xf numFmtId="174" fontId="2" fillId="0" borderId="0"/>
    <xf numFmtId="0" fontId="2" fillId="0" borderId="0"/>
    <xf numFmtId="174" fontId="2" fillId="0" borderId="0"/>
    <xf numFmtId="192"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3" fontId="2" fillId="69" borderId="3" applyFont="0">
      <alignment horizontal="right" vertical="center"/>
    </xf>
    <xf numFmtId="0" fontId="8" fillId="0" borderId="0"/>
    <xf numFmtId="0" fontId="72" fillId="0" borderId="0"/>
    <xf numFmtId="0" fontId="72" fillId="0" borderId="0"/>
    <xf numFmtId="174" fontId="8" fillId="0" borderId="0"/>
    <xf numFmtId="174"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4" fontId="20" fillId="0" borderId="0" applyFill="0" applyBorder="0" applyAlignment="0"/>
    <xf numFmtId="195" fontId="20" fillId="0" borderId="0" applyFill="0" applyBorder="0" applyAlignment="0"/>
    <xf numFmtId="0" fontId="75" fillId="0" borderId="0">
      <alignment horizontal="center" vertical="top"/>
    </xf>
    <xf numFmtId="0"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174" fontId="76" fillId="0" borderId="0" applyNumberFormat="0" applyFill="0" applyBorder="0" applyAlignment="0" applyProtection="0"/>
    <xf numFmtId="174" fontId="76" fillId="0" borderId="0" applyNumberFormat="0" applyFill="0" applyBorder="0" applyAlignment="0" applyProtection="0"/>
    <xf numFmtId="174" fontId="76" fillId="0" borderId="0" applyNumberFormat="0" applyFill="0" applyBorder="0" applyAlignment="0" applyProtection="0"/>
    <xf numFmtId="175" fontId="76" fillId="0" borderId="0" applyNumberFormat="0" applyFill="0" applyBorder="0" applyAlignment="0" applyProtection="0"/>
    <xf numFmtId="174" fontId="76" fillId="0" borderId="0" applyNumberFormat="0" applyFill="0" applyBorder="0" applyAlignment="0" applyProtection="0"/>
    <xf numFmtId="174" fontId="76" fillId="0" borderId="0" applyNumberFormat="0" applyFill="0" applyBorder="0" applyAlignment="0" applyProtection="0"/>
    <xf numFmtId="175" fontId="76" fillId="0" borderId="0" applyNumberFormat="0" applyFill="0" applyBorder="0" applyAlignment="0" applyProtection="0"/>
    <xf numFmtId="174" fontId="76" fillId="0" borderId="0" applyNumberFormat="0" applyFill="0" applyBorder="0" applyAlignment="0" applyProtection="0"/>
    <xf numFmtId="174" fontId="76" fillId="0" borderId="0" applyNumberFormat="0" applyFill="0" applyBorder="0" applyAlignment="0" applyProtection="0"/>
    <xf numFmtId="175" fontId="76" fillId="0" borderId="0" applyNumberFormat="0" applyFill="0" applyBorder="0" applyAlignment="0" applyProtection="0"/>
    <xf numFmtId="174" fontId="76" fillId="0" borderId="0" applyNumberFormat="0" applyFill="0" applyBorder="0" applyAlignment="0" applyProtection="0"/>
    <xf numFmtId="174" fontId="76" fillId="0" borderId="0" applyNumberFormat="0" applyFill="0" applyBorder="0" applyAlignment="0" applyProtection="0"/>
    <xf numFmtId="175" fontId="76" fillId="0" borderId="0" applyNumberFormat="0" applyFill="0" applyBorder="0" applyAlignment="0" applyProtection="0"/>
    <xf numFmtId="174" fontId="76" fillId="0" borderId="0" applyNumberFormat="0" applyFill="0" applyBorder="0" applyAlignment="0" applyProtection="0"/>
    <xf numFmtId="0" fontId="76" fillId="0" borderId="0" applyNumberFormat="0" applyFill="0" applyBorder="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74"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74"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75"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74" fontId="77" fillId="0" borderId="46" applyNumberFormat="0" applyFill="0" applyAlignment="0" applyProtection="0"/>
    <xf numFmtId="175" fontId="77" fillId="0" borderId="46" applyNumberFormat="0" applyFill="0" applyAlignment="0" applyProtection="0"/>
    <xf numFmtId="174" fontId="77" fillId="0" borderId="46" applyNumberFormat="0" applyFill="0" applyAlignment="0" applyProtection="0"/>
    <xf numFmtId="174" fontId="77" fillId="0" borderId="46" applyNumberFormat="0" applyFill="0" applyAlignment="0" applyProtection="0"/>
    <xf numFmtId="175" fontId="77" fillId="0" borderId="46" applyNumberFormat="0" applyFill="0" applyAlignment="0" applyProtection="0"/>
    <xf numFmtId="174" fontId="77" fillId="0" borderId="46" applyNumberFormat="0" applyFill="0" applyAlignment="0" applyProtection="0"/>
    <xf numFmtId="174" fontId="77" fillId="0" borderId="46" applyNumberFormat="0" applyFill="0" applyAlignment="0" applyProtection="0"/>
    <xf numFmtId="175" fontId="77" fillId="0" borderId="46" applyNumberFormat="0" applyFill="0" applyAlignment="0" applyProtection="0"/>
    <xf numFmtId="174" fontId="77" fillId="0" borderId="46" applyNumberFormat="0" applyFill="0" applyAlignment="0" applyProtection="0"/>
    <xf numFmtId="174" fontId="77" fillId="0" borderId="46" applyNumberFormat="0" applyFill="0" applyAlignment="0" applyProtection="0"/>
    <xf numFmtId="175" fontId="77" fillId="0" borderId="46" applyNumberFormat="0" applyFill="0" applyAlignment="0" applyProtection="0"/>
    <xf numFmtId="174" fontId="77" fillId="0" borderId="46" applyNumberFormat="0" applyFill="0" applyAlignment="0" applyProtection="0"/>
    <xf numFmtId="0" fontId="30" fillId="0" borderId="46" applyNumberFormat="0" applyFill="0" applyAlignment="0" applyProtection="0"/>
    <xf numFmtId="0" fontId="8" fillId="0" borderId="47"/>
    <xf numFmtId="190" fontId="64" fillId="0" borderId="0">
      <alignment horizontal="left"/>
    </xf>
    <xf numFmtId="0" fontId="2" fillId="0" borderId="0"/>
    <xf numFmtId="0" fontId="2" fillId="0" borderId="0"/>
    <xf numFmtId="174" fontId="2" fillId="0" borderId="0"/>
    <xf numFmtId="174" fontId="2" fillId="0" borderId="0">
      <alignment horizontal="center" textRotation="90"/>
    </xf>
    <xf numFmtId="0" fontId="2" fillId="0" borderId="0">
      <alignment horizontal="center" textRotation="90"/>
    </xf>
    <xf numFmtId="174" fontId="2" fillId="0" borderId="0">
      <alignment horizontal="center" textRotation="90"/>
    </xf>
    <xf numFmtId="196"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4" fontId="79" fillId="0" borderId="0" applyNumberFormat="0" applyFill="0" applyBorder="0" applyAlignment="0" applyProtection="0"/>
    <xf numFmtId="174"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4" fontId="79" fillId="0" borderId="0" applyNumberFormat="0" applyFill="0" applyBorder="0" applyAlignment="0" applyProtection="0"/>
    <xf numFmtId="175" fontId="79" fillId="0" borderId="0" applyNumberFormat="0" applyFill="0" applyBorder="0" applyAlignment="0" applyProtection="0"/>
    <xf numFmtId="174" fontId="79" fillId="0" borderId="0" applyNumberFormat="0" applyFill="0" applyBorder="0" applyAlignment="0" applyProtection="0"/>
    <xf numFmtId="174" fontId="79" fillId="0" borderId="0" applyNumberFormat="0" applyFill="0" applyBorder="0" applyAlignment="0" applyProtection="0"/>
    <xf numFmtId="175" fontId="79" fillId="0" borderId="0" applyNumberFormat="0" applyFill="0" applyBorder="0" applyAlignment="0" applyProtection="0"/>
    <xf numFmtId="174" fontId="79" fillId="0" borderId="0" applyNumberFormat="0" applyFill="0" applyBorder="0" applyAlignment="0" applyProtection="0"/>
    <xf numFmtId="174" fontId="79" fillId="0" borderId="0" applyNumberFormat="0" applyFill="0" applyBorder="0" applyAlignment="0" applyProtection="0"/>
    <xf numFmtId="175" fontId="79" fillId="0" borderId="0" applyNumberFormat="0" applyFill="0" applyBorder="0" applyAlignment="0" applyProtection="0"/>
    <xf numFmtId="174" fontId="79" fillId="0" borderId="0" applyNumberFormat="0" applyFill="0" applyBorder="0" applyAlignment="0" applyProtection="0"/>
    <xf numFmtId="174" fontId="79" fillId="0" borderId="0" applyNumberFormat="0" applyFill="0" applyBorder="0" applyAlignment="0" applyProtection="0"/>
    <xf numFmtId="175" fontId="79" fillId="0" borderId="0" applyNumberFormat="0" applyFill="0" applyBorder="0" applyAlignment="0" applyProtection="0"/>
    <xf numFmtId="174"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69"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72" fontId="1" fillId="0" borderId="0" applyFont="0" applyFill="0" applyBorder="0" applyAlignment="0" applyProtection="0"/>
    <xf numFmtId="0" fontId="119" fillId="0" borderId="0"/>
    <xf numFmtId="0" fontId="146" fillId="69" borderId="65"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3" applyFont="0" applyBorder="0">
      <alignment horizontal="center" wrapText="1"/>
    </xf>
    <xf numFmtId="3" fontId="2" fillId="74" borderId="122" applyFont="0">
      <alignment horizontal="right" vertical="center"/>
      <protection locked="0"/>
    </xf>
    <xf numFmtId="172"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7" fillId="0" borderId="0" applyFont="0" applyFill="0" applyBorder="0" applyAlignment="0" applyProtection="0"/>
    <xf numFmtId="167" fontId="148" fillId="0" borderId="0" applyFont="0" applyFill="0" applyBorder="0" applyAlignment="0" applyProtection="0"/>
    <xf numFmtId="167" fontId="148" fillId="0" borderId="0" applyFont="0" applyFill="0" applyBorder="0" applyAlignment="0" applyProtection="0"/>
    <xf numFmtId="208"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209" fontId="147" fillId="0" borderId="0" applyFont="0" applyFill="0" applyBorder="0" applyAlignment="0" applyProtection="0"/>
    <xf numFmtId="209"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210" fontId="147" fillId="0" borderId="0" applyFont="0" applyFill="0" applyBorder="0" applyAlignment="0" applyProtection="0"/>
    <xf numFmtId="210"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211" fontId="103" fillId="0" borderId="0"/>
    <xf numFmtId="211" fontId="103" fillId="0" borderId="0"/>
    <xf numFmtId="211" fontId="103" fillId="0" borderId="0"/>
    <xf numFmtId="211" fontId="103" fillId="0" borderId="0"/>
    <xf numFmtId="0" fontId="103" fillId="0" borderId="0"/>
    <xf numFmtId="211" fontId="103" fillId="0" borderId="0"/>
    <xf numFmtId="164" fontId="148" fillId="0" borderId="0" applyFont="0" applyFill="0" applyBorder="0" applyAlignment="0" applyProtection="0"/>
    <xf numFmtId="164" fontId="148" fillId="0" borderId="0" applyFont="0" applyFill="0" applyBorder="0" applyAlignment="0" applyProtection="0"/>
    <xf numFmtId="208"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8" fontId="147" fillId="0" borderId="0" applyFont="0" applyFill="0" applyBorder="0" applyAlignment="0" applyProtection="0"/>
    <xf numFmtId="208" fontId="147" fillId="0" borderId="0" applyFont="0" applyFill="0" applyBorder="0" applyAlignment="0" applyProtection="0"/>
    <xf numFmtId="208"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12" fontId="152" fillId="0" borderId="0" applyFont="0" applyFill="0" applyBorder="0" applyAlignment="0" applyProtection="0"/>
    <xf numFmtId="0" fontId="19" fillId="0" borderId="0" applyFont="0" applyFill="0" applyBorder="0" applyAlignment="0" applyProtection="0"/>
    <xf numFmtId="213" fontId="153" fillId="0" borderId="0" applyFont="0" applyFill="0" applyBorder="0" applyAlignment="0" applyProtection="0"/>
    <xf numFmtId="214" fontId="153" fillId="0" borderId="0" applyFont="0" applyFill="0" applyBorder="0" applyAlignment="0" applyProtection="0"/>
    <xf numFmtId="215" fontId="153" fillId="0" borderId="0" applyFont="0" applyFill="0" applyBorder="0" applyAlignment="0" applyProtection="0"/>
    <xf numFmtId="216" fontId="153" fillId="0" borderId="0" applyFont="0" applyFill="0" applyBorder="0" applyAlignment="0" applyProtection="0"/>
    <xf numFmtId="0" fontId="153" fillId="0" borderId="0"/>
    <xf numFmtId="0" fontId="19" fillId="0" borderId="0" applyFont="0" applyFill="0" applyBorder="0" applyAlignment="0" applyProtection="0"/>
    <xf numFmtId="217"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4"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2" fillId="0" borderId="138"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236"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1"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1"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5" fillId="0" borderId="139" applyNumberFormat="0" applyFill="0" applyProtection="0">
      <alignment horizontal="center"/>
    </xf>
    <xf numFmtId="0" fontId="165"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32">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2" fillId="0" borderId="0" applyFill="0" applyBorder="0" applyAlignment="0" applyProtection="0"/>
    <xf numFmtId="245" fontId="172" fillId="0" borderId="0" applyFill="0" applyBorder="0" applyAlignment="0" applyProtection="0"/>
    <xf numFmtId="245" fontId="172" fillId="0" borderId="0" applyFill="0" applyBorder="0" applyAlignment="0" applyProtection="0"/>
    <xf numFmtId="246" fontId="172" fillId="0" borderId="0" applyFill="0" applyBorder="0" applyAlignment="0" applyProtection="0"/>
    <xf numFmtId="246" fontId="172" fillId="0" borderId="0" applyFill="0" applyBorder="0" applyAlignment="0" applyProtection="0"/>
    <xf numFmtId="246" fontId="172"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3" fillId="0" borderId="63"/>
    <xf numFmtId="0" fontId="159"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5" fillId="0" borderId="71"/>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06" applyBorder="0"/>
    <xf numFmtId="0" fontId="28" fillId="0" borderId="10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0" fontId="178" fillId="0" borderId="0" applyNumberFormat="0" applyFill="0" applyBorder="0" applyAlignment="0">
      <protection locked="0"/>
    </xf>
    <xf numFmtId="252" fontId="159" fillId="0" borderId="0" applyFont="0" applyFill="0" applyBorder="0" applyAlignment="0" applyProtection="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applyProtection="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0" fontId="179" fillId="96" borderId="14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22" applyNumberFormat="0" applyFont="0" applyAlignment="0"/>
    <xf numFmtId="3" fontId="180" fillId="88" borderId="122" applyNumberFormat="0" applyFont="0" applyAlignment="0"/>
    <xf numFmtId="3" fontId="180" fillId="88" borderId="122" applyNumberFormat="0" applyFont="0" applyAlignment="0"/>
    <xf numFmtId="3" fontId="180" fillId="88" borderId="122" applyNumberFormat="0" applyFont="0" applyAlignment="0"/>
    <xf numFmtId="3" fontId="180" fillId="88" borderId="122"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253" fontId="178" fillId="107" borderId="122" applyNumberFormat="0" applyFill="0" applyBorder="0" applyAlignment="0" applyProtection="0"/>
    <xf numFmtId="0"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0" fontId="178" fillId="107" borderId="122" applyNumberFormat="0" applyFill="0" applyBorder="0" applyAlignment="0" applyProtection="0"/>
    <xf numFmtId="0" fontId="181" fillId="0" borderId="14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42" applyNumberFormat="0" applyAlignment="0" applyProtection="0"/>
    <xf numFmtId="0" fontId="182" fillId="108" borderId="142" applyNumberFormat="0" applyAlignment="0" applyProtection="0"/>
    <xf numFmtId="0" fontId="183" fillId="0" borderId="0" applyNumberFormat="0" applyFill="0" applyAlignment="0"/>
    <xf numFmtId="0" fontId="184" fillId="0" borderId="143" applyNumberFormat="0" applyFont="0" applyFill="0" applyAlignment="0"/>
    <xf numFmtId="254"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4"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59" fillId="0" borderId="0" applyFont="0" applyFill="0" applyBorder="0" applyAlignment="0" applyProtection="0"/>
    <xf numFmtId="256" fontId="190" fillId="0" borderId="0"/>
    <xf numFmtId="0" fontId="191" fillId="0" borderId="145"/>
    <xf numFmtId="257" fontId="2" fillId="0" borderId="0"/>
    <xf numFmtId="0" fontId="191" fillId="0" borderId="146"/>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47">
      <alignment horizontal="center" vertical="center"/>
    </xf>
    <xf numFmtId="0" fontId="182" fillId="108" borderId="147">
      <alignment horizontal="center" vertical="center"/>
    </xf>
    <xf numFmtId="0" fontId="195" fillId="0" borderId="0" applyProtection="0">
      <alignment horizontal="center"/>
    </xf>
    <xf numFmtId="0" fontId="195"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178" fontId="159" fillId="0" borderId="0">
      <alignment vertical="top"/>
    </xf>
    <xf numFmtId="178" fontId="159" fillId="0" borderId="0">
      <alignment vertical="top"/>
    </xf>
    <xf numFmtId="178" fontId="159" fillId="0" borderId="0">
      <alignment vertical="top"/>
    </xf>
    <xf numFmtId="0" fontId="45" fillId="0" borderId="0" applyNumberFormat="0" applyFill="0" applyBorder="0" applyProtection="0">
      <alignment horizontal="right"/>
    </xf>
    <xf numFmtId="178" fontId="198" fillId="0" borderId="0">
      <alignment horizontal="right"/>
    </xf>
    <xf numFmtId="178" fontId="198" fillId="0" borderId="0">
      <alignment horizontal="right"/>
    </xf>
    <xf numFmtId="178" fontId="198" fillId="0" borderId="0">
      <alignment horizontal="right"/>
    </xf>
    <xf numFmtId="0" fontId="198" fillId="0" borderId="0">
      <alignment horizontal="left"/>
    </xf>
    <xf numFmtId="0" fontId="199" fillId="74" borderId="0" applyNumberFormat="0" applyBorder="0" applyAlignment="0" applyProtection="0"/>
    <xf numFmtId="258"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258"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258"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2" fillId="72" borderId="0"/>
    <xf numFmtId="0" fontId="200" fillId="0" borderId="1" applyNumberFormat="0" applyFont="0" applyFill="0" applyAlignment="0" applyProtection="0"/>
    <xf numFmtId="0" fontId="200" fillId="0" borderId="148" applyNumberFormat="0" applyFont="0" applyFill="0" applyAlignment="0" applyProtection="0"/>
    <xf numFmtId="0" fontId="148" fillId="0" borderId="106" applyNumberFormat="0" applyFont="0" applyFill="0" applyAlignment="0" applyProtection="0"/>
    <xf numFmtId="0" fontId="148" fillId="0" borderId="106" applyNumberFormat="0" applyFont="0" applyFill="0" applyAlignment="0" applyProtection="0"/>
    <xf numFmtId="0" fontId="148" fillId="0" borderId="65" applyNumberFormat="0" applyFont="0" applyFill="0" applyAlignment="0" applyProtection="0"/>
    <xf numFmtId="0" fontId="148" fillId="0" borderId="65" applyNumberFormat="0" applyFont="0" applyFill="0" applyAlignment="0" applyProtection="0"/>
    <xf numFmtId="0" fontId="148" fillId="0" borderId="65" applyNumberFormat="0" applyFont="0" applyFill="0" applyAlignment="0" applyProtection="0"/>
    <xf numFmtId="0" fontId="148" fillId="0" borderId="63" applyNumberFormat="0" applyFont="0" applyFill="0" applyAlignment="0" applyProtection="0"/>
    <xf numFmtId="0" fontId="148" fillId="0" borderId="63"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259" fontId="2" fillId="0" borderId="71">
      <alignment horizontal="left"/>
    </xf>
    <xf numFmtId="259" fontId="2" fillId="0" borderId="71">
      <alignment horizontal="left"/>
    </xf>
    <xf numFmtId="259" fontId="2" fillId="0" borderId="71">
      <alignment horizontal="left"/>
    </xf>
    <xf numFmtId="259" fontId="2" fillId="0" borderId="71">
      <alignment horizontal="left"/>
    </xf>
    <xf numFmtId="259" fontId="2" fillId="0" borderId="71">
      <alignment horizontal="left"/>
    </xf>
    <xf numFmtId="259" fontId="2" fillId="0" borderId="71">
      <alignment horizontal="left"/>
    </xf>
    <xf numFmtId="259" fontId="2" fillId="0" borderId="71">
      <alignment horizontal="left"/>
    </xf>
    <xf numFmtId="259" fontId="2" fillId="0" borderId="71">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0" fontId="29"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27"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2"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0"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3" fontId="8"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4" fontId="201"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169"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2"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5" fontId="201"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27"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02" fillId="109" borderId="144" applyNumberFormat="0" applyAlignment="0" applyProtection="0"/>
    <xf numFmtId="0" fontId="144" fillId="8" borderId="29" applyNumberFormat="0" applyAlignment="0" applyProtection="0"/>
    <xf numFmtId="3" fontId="45" fillId="41" borderId="65">
      <protection hidden="1"/>
    </xf>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02" fillId="109" borderId="144" applyNumberFormat="0" applyAlignment="0" applyProtection="0"/>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202" fontId="19" fillId="112" borderId="0" applyNumberFormat="0" applyFont="0" applyBorder="0" applyAlignment="0">
      <protection locked="0"/>
    </xf>
    <xf numFmtId="202" fontId="19" fillId="112" borderId="0" applyNumberFormat="0" applyFont="0" applyBorder="0" applyAlignment="0">
      <protection locked="0"/>
    </xf>
    <xf numFmtId="0" fontId="52" fillId="0" borderId="42" applyNumberFormat="0" applyFill="0" applyAlignment="0" applyProtection="0"/>
    <xf numFmtId="0" fontId="24" fillId="64"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65" applyBorder="0"/>
    <xf numFmtId="266" fontId="204" fillId="0" borderId="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4" fillId="64" borderId="37" applyNumberFormat="0" applyAlignment="0" applyProtection="0"/>
    <xf numFmtId="0" fontId="24"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vertical="center"/>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7" fontId="207" fillId="0" borderId="149"/>
    <xf numFmtId="207" fontId="208" fillId="0" borderId="0" applyFont="0" applyFill="0" applyBorder="0" applyAlignment="0" applyProtection="0"/>
    <xf numFmtId="0" fontId="209" fillId="0" borderId="0"/>
    <xf numFmtId="0" fontId="209" fillId="0" borderId="0"/>
    <xf numFmtId="0" fontId="209" fillId="0" borderId="0"/>
    <xf numFmtId="0" fontId="209" fillId="0" borderId="0"/>
    <xf numFmtId="267" fontId="2" fillId="0" borderId="0"/>
    <xf numFmtId="267" fontId="2" fillId="0" borderId="0"/>
    <xf numFmtId="267" fontId="2" fillId="0" borderId="0"/>
    <xf numFmtId="267" fontId="2" fillId="0" borderId="0"/>
    <xf numFmtId="223" fontId="210" fillId="0" borderId="0">
      <alignment horizontal="right" vertical="center" wrapText="1"/>
    </xf>
    <xf numFmtId="223" fontId="210" fillId="0" borderId="0">
      <alignment horizontal="right" vertical="center" wrapText="1"/>
    </xf>
    <xf numFmtId="223" fontId="210"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60" fontId="8"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169" fontId="8"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1" fillId="0" borderId="0" applyFont="0" applyFill="0" applyBorder="0" applyAlignment="0" applyProtection="0">
      <alignment horizontal="right"/>
    </xf>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9"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1" fillId="0" borderId="0" applyFont="0" applyFill="0" applyBorder="0" applyAlignment="0" applyProtection="0">
      <alignment horizontal="right"/>
    </xf>
    <xf numFmtId="270" fontId="161" fillId="0" borderId="0" applyFont="0" applyFill="0" applyBorder="0" applyAlignment="0" applyProtection="0">
      <alignment horizontal="right"/>
    </xf>
    <xf numFmtId="172" fontId="2" fillId="0" borderId="0" applyFont="0" applyFill="0" applyBorder="0" applyAlignment="0" applyProtection="0"/>
    <xf numFmtId="270" fontId="161" fillId="0" borderId="0" applyFont="0" applyFill="0" applyBorder="0" applyProtection="0"/>
    <xf numFmtId="172"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172"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Alignment="0" applyProtection="0">
      <alignment horizontal="right"/>
    </xf>
    <xf numFmtId="270" fontId="161" fillId="0" borderId="0" applyFont="0" applyFill="0" applyBorder="0" applyProtection="0"/>
    <xf numFmtId="270" fontId="161" fillId="0" borderId="0" applyFont="0" applyFill="0" applyBorder="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172"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172"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270" fontId="161" fillId="0" borderId="0" applyFont="0" applyFill="0" applyBorder="0" applyAlignment="0" applyProtection="0">
      <alignment horizontal="right"/>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Alignment="0" applyProtection="0">
      <alignment horizontal="right"/>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Protection="0"/>
    <xf numFmtId="172"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1"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13"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27" fontId="147" fillId="0" borderId="0" applyFont="0" applyFill="0" applyBorder="0" applyAlignment="0" applyProtection="0"/>
    <xf numFmtId="227" fontId="147" fillId="0" borderId="0" applyFont="0" applyFill="0" applyBorder="0" applyAlignment="0" applyProtection="0"/>
    <xf numFmtId="3" fontId="208" fillId="0" borderId="133">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3">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3" fontId="208" fillId="0" borderId="133">
      <alignment vertical="center"/>
    </xf>
    <xf numFmtId="0" fontId="29" fillId="73" borderId="150" applyNumberFormat="0" applyFont="0" applyAlignment="0" applyProtection="0"/>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71" fillId="73" borderId="150" applyNumberFormat="0" applyFont="0" applyAlignment="0" applyProtection="0"/>
    <xf numFmtId="202" fontId="2" fillId="0" borderId="0" applyFont="0" applyFill="0" applyBorder="0" applyAlignment="0" applyProtection="0"/>
    <xf numFmtId="202" fontId="2" fillId="0" borderId="0" applyFont="0" applyFill="0" applyBorder="0" applyAlignment="0" applyProtection="0"/>
    <xf numFmtId="178" fontId="216" fillId="0" borderId="0" applyFill="0" applyBorder="0">
      <alignment horizontal="left"/>
    </xf>
    <xf numFmtId="0" fontId="217" fillId="115" borderId="0"/>
    <xf numFmtId="0" fontId="24" fillId="64" borderId="37"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26" applyNumberFormat="0" applyFill="0" applyBorder="0" applyAlignment="0" applyProtection="0">
      <alignment horizontal="center"/>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19" fillId="0" borderId="126" applyNumberFormat="0" applyFill="0" applyBorder="0" applyAlignment="0" applyProtection="0">
      <alignment horizontal="center"/>
      <protection locked="0"/>
    </xf>
    <xf numFmtId="0" fontId="219" fillId="0" borderId="126" applyNumberFormat="0" applyFill="0" applyBorder="0" applyAlignment="0" applyProtection="0">
      <alignment horizontal="center"/>
      <protection locked="0"/>
    </xf>
    <xf numFmtId="3" fontId="208" fillId="0" borderId="133">
      <alignment vertical="center"/>
    </xf>
    <xf numFmtId="0" fontId="219" fillId="0" borderId="126" applyNumberFormat="0" applyFill="0" applyBorder="0" applyAlignment="0" applyProtection="0">
      <alignment horizontal="center"/>
      <protection locked="0"/>
    </xf>
    <xf numFmtId="0" fontId="219" fillId="0" borderId="126" applyNumberFormat="0" applyFill="0" applyBorder="0" applyAlignment="0" applyProtection="0">
      <alignment horizontal="center"/>
      <protection locked="0"/>
    </xf>
    <xf numFmtId="3" fontId="208" fillId="0" borderId="133">
      <alignment vertical="center"/>
    </xf>
    <xf numFmtId="0" fontId="220" fillId="0" borderId="126" applyNumberFormat="0" applyFill="0" applyBorder="0">
      <protection locked="0"/>
    </xf>
    <xf numFmtId="0" fontId="220" fillId="0" borderId="126" applyNumberFormat="0" applyFill="0" applyBorder="0">
      <protection locked="0"/>
    </xf>
    <xf numFmtId="3" fontId="208" fillId="0" borderId="133">
      <alignment vertical="center"/>
    </xf>
    <xf numFmtId="0" fontId="220" fillId="0" borderId="126" applyNumberFormat="0" applyFill="0" applyBorder="0">
      <protection locked="0"/>
    </xf>
    <xf numFmtId="0" fontId="220" fillId="0" borderId="126" applyNumberFormat="0" applyFill="0" applyBorder="0">
      <protection locked="0"/>
    </xf>
    <xf numFmtId="3" fontId="208" fillId="0" borderId="133">
      <alignment vertical="center"/>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3" fontId="208" fillId="0" borderId="133">
      <alignment vertical="center"/>
    </xf>
    <xf numFmtId="3" fontId="221" fillId="0" borderId="151" applyNumberFormat="0" applyAlignment="0">
      <alignment vertical="center"/>
    </xf>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3" fontId="208" fillId="0" borderId="133">
      <alignment vertical="center"/>
    </xf>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 fillId="0" borderId="0" applyFont="0" applyFill="0" applyBorder="0" applyAlignment="0" applyProtection="0"/>
    <xf numFmtId="271" fontId="222" fillId="0" borderId="0"/>
    <xf numFmtId="168"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08" fillId="0" borderId="133">
      <alignment vertical="center"/>
    </xf>
    <xf numFmtId="204" fontId="2" fillId="0" borderId="0" applyFont="0" applyFill="0" applyBorder="0" applyAlignment="0" applyProtection="0"/>
    <xf numFmtId="204" fontId="2" fillId="0" borderId="0" applyFont="0" applyFill="0" applyBorder="0" applyAlignment="0" applyProtection="0"/>
    <xf numFmtId="168"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168" fontId="2" fillId="0" borderId="0" applyFont="0" applyFill="0" applyBorder="0" applyAlignment="0" applyProtection="0"/>
    <xf numFmtId="261" fontId="8"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27" fontId="8"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3" fontId="208"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1" fillId="0" borderId="0" applyFont="0" applyFill="0" applyBorder="0" applyAlignment="0" applyProtection="0">
      <alignment horizontal="right"/>
    </xf>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73" fontId="161" fillId="0" borderId="0" applyFont="0" applyFill="0" applyBorder="0" applyAlignment="0" applyProtection="0">
      <alignment horizontal="right"/>
    </xf>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73" fontId="161" fillId="0" borderId="0" applyFont="0" applyFill="0" applyBorder="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3" fontId="208" fillId="0" borderId="133">
      <alignment vertical="center"/>
    </xf>
    <xf numFmtId="3" fontId="208" fillId="0" borderId="133">
      <alignment vertical="center"/>
    </xf>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1" fillId="0" borderId="0" applyFont="0" applyFill="0" applyBorder="0" applyProtection="0"/>
    <xf numFmtId="3" fontId="208" fillId="0" borderId="133">
      <alignment vertical="center"/>
    </xf>
    <xf numFmtId="3" fontId="208" fillId="0" borderId="133">
      <alignment vertical="center"/>
    </xf>
    <xf numFmtId="273" fontId="161" fillId="0" borderId="0" applyFont="0" applyFill="0" applyBorder="0" applyProtection="0"/>
    <xf numFmtId="273" fontId="161" fillId="0" borderId="0" applyFont="0" applyFill="0" applyBorder="0" applyProtection="0"/>
    <xf numFmtId="3" fontId="208" fillId="0" borderId="133">
      <alignment vertical="center"/>
    </xf>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3" fontId="208" fillId="0" borderId="133">
      <alignment vertical="center"/>
    </xf>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73" fontId="161" fillId="0" borderId="0" applyFont="0" applyFill="0" applyBorder="0" applyProtection="0"/>
    <xf numFmtId="3" fontId="208" fillId="0" borderId="133">
      <alignment vertical="center"/>
    </xf>
    <xf numFmtId="273" fontId="161" fillId="0" borderId="0" applyFont="0" applyFill="0" applyBorder="0" applyProtection="0"/>
    <xf numFmtId="273" fontId="161" fillId="0" borderId="0" applyFont="0" applyFill="0" applyBorder="0" applyProtection="0"/>
    <xf numFmtId="3" fontId="208" fillId="0" borderId="133">
      <alignment vertical="center"/>
    </xf>
    <xf numFmtId="203" fontId="2" fillId="0" borderId="0" applyFont="0" applyFill="0" applyBorder="0" applyAlignment="0" applyProtection="0"/>
    <xf numFmtId="3" fontId="208" fillId="0" borderId="133">
      <alignment vertical="center"/>
    </xf>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73" fontId="161" fillId="0" borderId="0" applyFont="0" applyFill="0" applyBorder="0" applyProtection="0"/>
    <xf numFmtId="203" fontId="2" fillId="0" borderId="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08" fillId="0" borderId="133">
      <alignment vertical="center"/>
    </xf>
    <xf numFmtId="3" fontId="208" fillId="0" borderId="133">
      <alignment vertical="center"/>
    </xf>
    <xf numFmtId="274" fontId="223" fillId="0" borderId="0"/>
    <xf numFmtId="0" fontId="2" fillId="0" borderId="0" applyNumberFormat="0" applyFont="0" applyFill="0" applyBorder="0" applyAlignment="0" applyProtection="0"/>
    <xf numFmtId="274" fontId="223" fillId="0" borderId="0"/>
    <xf numFmtId="3" fontId="208" fillId="0" borderId="133">
      <alignment vertical="center"/>
    </xf>
    <xf numFmtId="274" fontId="223" fillId="0" borderId="0"/>
    <xf numFmtId="3" fontId="208" fillId="0" borderId="133">
      <alignment vertical="center"/>
    </xf>
    <xf numFmtId="274" fontId="223"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274" fontId="223" fillId="0" borderId="0"/>
    <xf numFmtId="274" fontId="223" fillId="0" borderId="0"/>
    <xf numFmtId="3" fontId="208" fillId="0" borderId="133">
      <alignment vertical="center"/>
    </xf>
    <xf numFmtId="3" fontId="208" fillId="0" borderId="133">
      <alignment vertical="center"/>
    </xf>
    <xf numFmtId="0" fontId="223" fillId="0" borderId="0"/>
    <xf numFmtId="0" fontId="2" fillId="0" borderId="0" applyNumberFormat="0" applyFont="0" applyFill="0" applyBorder="0" applyAlignment="0" applyProtection="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274" fontId="223" fillId="0" borderId="0"/>
    <xf numFmtId="3" fontId="208" fillId="0" borderId="133">
      <alignment vertical="center"/>
    </xf>
    <xf numFmtId="274" fontId="223" fillId="0" borderId="0"/>
    <xf numFmtId="274" fontId="223" fillId="0" borderId="0"/>
    <xf numFmtId="3" fontId="208" fillId="0" borderId="133">
      <alignment vertical="center"/>
    </xf>
    <xf numFmtId="3" fontId="208" fillId="0" borderId="133">
      <alignment vertical="center"/>
    </xf>
    <xf numFmtId="0" fontId="223" fillId="0" borderId="0"/>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274" fontId="223" fillId="0" borderId="0"/>
    <xf numFmtId="274" fontId="223" fillId="0" borderId="0"/>
    <xf numFmtId="3" fontId="208" fillId="0" borderId="133">
      <alignment vertical="center"/>
    </xf>
    <xf numFmtId="274" fontId="223" fillId="0" borderId="0"/>
    <xf numFmtId="3" fontId="208" fillId="0" borderId="133">
      <alignment vertical="center"/>
    </xf>
    <xf numFmtId="274" fontId="223" fillId="0" borderId="0"/>
    <xf numFmtId="3" fontId="208" fillId="0" borderId="133">
      <alignment vertical="center"/>
    </xf>
    <xf numFmtId="274" fontId="223" fillId="0" borderId="0"/>
    <xf numFmtId="3" fontId="208" fillId="0" borderId="133">
      <alignment vertical="center"/>
    </xf>
    <xf numFmtId="3" fontId="208" fillId="0" borderId="133">
      <alignment vertical="center"/>
    </xf>
    <xf numFmtId="274" fontId="223" fillId="0" borderId="0"/>
    <xf numFmtId="3" fontId="208" fillId="0" borderId="133">
      <alignment vertical="center"/>
    </xf>
    <xf numFmtId="274" fontId="223" fillId="0" borderId="0"/>
    <xf numFmtId="274" fontId="223" fillId="0" borderId="0"/>
    <xf numFmtId="3" fontId="208" fillId="0" borderId="133">
      <alignment vertical="center"/>
    </xf>
    <xf numFmtId="3" fontId="208" fillId="0" borderId="133">
      <alignment vertical="center"/>
    </xf>
    <xf numFmtId="274" fontId="223" fillId="0" borderId="0"/>
    <xf numFmtId="3" fontId="208" fillId="0" borderId="133">
      <alignment vertical="center"/>
    </xf>
    <xf numFmtId="274" fontId="223" fillId="0" borderId="0"/>
    <xf numFmtId="3" fontId="208" fillId="0" borderId="133">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2" applyNumberFormat="0" applyFont="0" applyBorder="0" applyAlignment="0" applyProtection="0">
      <alignment horizontal="centerContinuous"/>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2" fillId="0" borderId="0" applyNumberFormat="0" applyFont="0" applyFill="0" applyBorder="0" applyAlignment="0" applyProtection="0"/>
    <xf numFmtId="0" fontId="9" fillId="69" borderId="152" applyNumberFormat="0" applyFont="0" applyBorder="0" applyProtection="0"/>
    <xf numFmtId="3" fontId="208" fillId="0" borderId="133">
      <alignment vertical="center"/>
    </xf>
    <xf numFmtId="0" fontId="2" fillId="0" borderId="0" applyNumberFormat="0" applyFont="0" applyFill="0" applyBorder="0" applyAlignment="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08" fillId="0" borderId="133">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26" fillId="119" borderId="101" applyNumberFormat="0" applyBorder="0">
      <alignment horizontal="left"/>
    </xf>
    <xf numFmtId="0" fontId="226" fillId="119" borderId="101" applyNumberFormat="0" applyBorder="0">
      <alignment horizontal="left"/>
    </xf>
    <xf numFmtId="3" fontId="208" fillId="0" borderId="133">
      <alignment vertical="center"/>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3" fontId="208" fillId="0" borderId="133">
      <alignment vertical="center"/>
    </xf>
    <xf numFmtId="14" fontId="227" fillId="0" borderId="0"/>
    <xf numFmtId="277" fontId="210" fillId="0" borderId="0">
      <alignment horizontal="left" vertical="center" wrapText="1"/>
    </xf>
    <xf numFmtId="277" fontId="210" fillId="0" borderId="0">
      <alignment horizontal="left" vertical="center" wrapText="1"/>
    </xf>
    <xf numFmtId="277"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33">
      <alignment vertical="center"/>
    </xf>
    <xf numFmtId="0" fontId="210" fillId="0" borderId="0">
      <alignment horizontal="left" vertical="center" wrapText="1"/>
    </xf>
    <xf numFmtId="3" fontId="208" fillId="0" borderId="133">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9"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33">
      <alignment vertical="center"/>
    </xf>
    <xf numFmtId="22" fontId="29" fillId="0" borderId="0" applyFill="0" applyBorder="0" applyAlignment="0"/>
    <xf numFmtId="3" fontId="208" fillId="0" borderId="13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33">
      <alignment vertical="center"/>
    </xf>
    <xf numFmtId="178" fontId="200" fillId="0" borderId="0" applyFont="0" applyFill="0" applyBorder="0" applyProtection="0">
      <alignment horizontal="right"/>
    </xf>
    <xf numFmtId="185"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28"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3" fontId="208" fillId="0" borderId="133">
      <alignment vertical="center"/>
    </xf>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3" fontId="208" fillId="0" borderId="133">
      <alignment vertical="center"/>
    </xf>
    <xf numFmtId="0" fontId="230" fillId="0" borderId="0"/>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8" fillId="0" borderId="133">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8" fillId="0" borderId="133">
      <alignment vertical="center"/>
    </xf>
    <xf numFmtId="0" fontId="2" fillId="0" borderId="65" applyFill="0" applyProtection="0">
      <alignment horizontal="centerContinuous"/>
    </xf>
    <xf numFmtId="0" fontId="2" fillId="0" borderId="65" applyFill="0" applyProtection="0">
      <alignment horizontal="centerContinuous"/>
    </xf>
    <xf numFmtId="3" fontId="208" fillId="0" borderId="133">
      <alignment vertical="center"/>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3" fontId="208" fillId="0" borderId="133">
      <alignment vertical="center"/>
    </xf>
    <xf numFmtId="281" fontId="2" fillId="0" borderId="65" applyFill="0" applyProtection="0">
      <alignment horizontal="centerContinuous"/>
    </xf>
    <xf numFmtId="281" fontId="2" fillId="0" borderId="65" applyFill="0" applyProtection="0">
      <alignment horizontal="centerContinuous"/>
    </xf>
    <xf numFmtId="3" fontId="208" fillId="0" borderId="133">
      <alignment vertical="center"/>
    </xf>
    <xf numFmtId="281" fontId="2" fillId="0" borderId="65" applyFill="0" applyProtection="0">
      <alignment horizontal="centerContinuous"/>
    </xf>
    <xf numFmtId="281" fontId="2" fillId="0" borderId="65" applyFill="0" applyProtection="0">
      <alignment horizontal="centerContinuous"/>
    </xf>
    <xf numFmtId="3" fontId="208" fillId="0" borderId="133">
      <alignment vertical="center"/>
    </xf>
    <xf numFmtId="281" fontId="2" fillId="0" borderId="65" applyFill="0" applyProtection="0">
      <alignment horizontal="centerContinuous"/>
    </xf>
    <xf numFmtId="281" fontId="2" fillId="0" borderId="65" applyFill="0" applyProtection="0">
      <alignment horizontal="centerContinuous"/>
    </xf>
    <xf numFmtId="3" fontId="208" fillId="0" borderId="133">
      <alignment vertical="center"/>
    </xf>
    <xf numFmtId="281" fontId="2" fillId="0" borderId="65" applyFill="0" applyProtection="0">
      <alignment horizontal="centerContinuous"/>
    </xf>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231"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231"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32" fillId="121"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1" fillId="0" borderId="15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69"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9"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17" fontId="236" fillId="117" borderId="101"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37" fillId="0" borderId="136" applyNumberFormat="0" applyAlignment="0">
      <protection locked="0"/>
    </xf>
    <xf numFmtId="0" fontId="49" fillId="42" borderId="144" applyNumberFormat="0" applyAlignment="0" applyProtection="0"/>
    <xf numFmtId="0" fontId="10" fillId="0" borderId="0"/>
    <xf numFmtId="0" fontId="10" fillId="0" borderId="0"/>
    <xf numFmtId="0" fontId="49" fillId="42" borderId="144" applyNumberFormat="0" applyAlignment="0" applyProtection="0"/>
    <xf numFmtId="0" fontId="49" fillId="42" borderId="144" applyNumberFormat="0" applyAlignment="0" applyProtection="0"/>
    <xf numFmtId="0" fontId="49" fillId="42" borderId="144" applyNumberFormat="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217"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91" fontId="238" fillId="0" borderId="0">
      <alignment horizontal="right" vertical="top"/>
    </xf>
    <xf numFmtId="292" fontId="239" fillId="0" borderId="0" applyBorder="0">
      <alignment horizontal="right" vertical="top"/>
    </xf>
    <xf numFmtId="292" fontId="239" fillId="0" borderId="0" applyBorder="0">
      <alignment horizontal="right" vertical="top"/>
    </xf>
    <xf numFmtId="3" fontId="208" fillId="0" borderId="133">
      <alignment vertical="center"/>
    </xf>
    <xf numFmtId="293" fontId="20" fillId="0" borderId="0">
      <alignment horizontal="right" vertical="top"/>
    </xf>
    <xf numFmtId="294" fontId="154" fillId="0" borderId="0" applyBorder="0">
      <alignment horizontal="right" vertical="top"/>
    </xf>
    <xf numFmtId="294" fontId="154" fillId="0" borderId="0" applyBorder="0">
      <alignment horizontal="right" vertical="top"/>
    </xf>
    <xf numFmtId="3" fontId="208" fillId="0" borderId="133">
      <alignment vertical="center"/>
    </xf>
    <xf numFmtId="293" fontId="238" fillId="0" borderId="0">
      <alignment horizontal="right" vertical="top"/>
    </xf>
    <xf numFmtId="294" fontId="239" fillId="0" borderId="0" applyBorder="0">
      <alignment horizontal="right" vertical="top"/>
    </xf>
    <xf numFmtId="294" fontId="239" fillId="0" borderId="0" applyBorder="0">
      <alignment horizontal="right" vertical="top"/>
    </xf>
    <xf numFmtId="3" fontId="208" fillId="0" borderId="133">
      <alignment vertical="center"/>
    </xf>
    <xf numFmtId="295" fontId="20" fillId="0" borderId="0" applyFill="0" applyBorder="0">
      <alignment horizontal="right" vertical="top"/>
    </xf>
    <xf numFmtId="296" fontId="20" fillId="0" borderId="0" applyFill="0" applyBorder="0">
      <alignment horizontal="right" vertical="top"/>
    </xf>
    <xf numFmtId="218" fontId="154" fillId="0" borderId="0" applyFill="0" applyBorder="0">
      <alignment horizontal="right" vertical="top"/>
    </xf>
    <xf numFmtId="218" fontId="154" fillId="0" borderId="0" applyFill="0" applyBorder="0">
      <alignment horizontal="right" vertical="top"/>
    </xf>
    <xf numFmtId="3" fontId="208" fillId="0" borderId="133">
      <alignment vertical="center"/>
    </xf>
    <xf numFmtId="297" fontId="20" fillId="0" borderId="0" applyFill="0" applyBorder="0">
      <alignment horizontal="right" vertical="top"/>
    </xf>
    <xf numFmtId="298" fontId="154" fillId="0" borderId="0" applyFill="0" applyBorder="0">
      <alignment horizontal="right" vertical="top"/>
    </xf>
    <xf numFmtId="298" fontId="154" fillId="0" borderId="0" applyFill="0" applyBorder="0">
      <alignment horizontal="right" vertical="top"/>
    </xf>
    <xf numFmtId="3" fontId="208" fillId="0" borderId="133">
      <alignment vertical="center"/>
    </xf>
    <xf numFmtId="299" fontId="20" fillId="0" borderId="0" applyFill="0" applyBorder="0">
      <alignment horizontal="right" vertical="top"/>
    </xf>
    <xf numFmtId="300" fontId="154" fillId="0" borderId="0" applyFill="0" applyBorder="0">
      <alignment horizontal="right" vertical="top"/>
    </xf>
    <xf numFmtId="300" fontId="154" fillId="0" borderId="0" applyFill="0" applyBorder="0">
      <alignment horizontal="right" vertical="top"/>
    </xf>
    <xf numFmtId="3" fontId="208" fillId="0" borderId="133">
      <alignment vertical="center"/>
    </xf>
    <xf numFmtId="301" fontId="20" fillId="0" borderId="0" applyFill="0" applyBorder="0">
      <alignment horizontal="right" vertical="top"/>
    </xf>
    <xf numFmtId="302" fontId="154" fillId="0" borderId="0" applyFill="0" applyBorder="0">
      <alignment horizontal="right" vertical="top"/>
    </xf>
    <xf numFmtId="302" fontId="154" fillId="0" borderId="0" applyFill="0" applyBorder="0">
      <alignment horizontal="right" vertical="top"/>
    </xf>
    <xf numFmtId="3" fontId="208" fillId="0" borderId="133">
      <alignment vertical="center"/>
    </xf>
    <xf numFmtId="0" fontId="240" fillId="0" borderId="0">
      <alignment horizontal="left"/>
    </xf>
    <xf numFmtId="0" fontId="241" fillId="0" borderId="0">
      <alignment horizontal="center" wrapText="1"/>
    </xf>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4">
      <alignment horizontal="right" wrapText="1"/>
    </xf>
    <xf numFmtId="0" fontId="240" fillId="0" borderId="154">
      <alignment horizontal="right" wrapText="1"/>
    </xf>
    <xf numFmtId="0" fontId="240" fillId="0" borderId="154">
      <alignment horizontal="right" wrapText="1"/>
    </xf>
    <xf numFmtId="0" fontId="2" fillId="0" borderId="0" applyNumberFormat="0" applyFont="0" applyFill="0" applyBorder="0" applyAlignment="0" applyProtection="0"/>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4">
      <alignment horizontal="right" wrapText="1"/>
    </xf>
    <xf numFmtId="0" fontId="240" fillId="0" borderId="154">
      <alignment horizontal="right" wrapText="1"/>
    </xf>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03" fontId="242" fillId="0" borderId="15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2" fillId="0" borderId="154">
      <alignment horizontal="right"/>
    </xf>
    <xf numFmtId="303" fontId="242" fillId="0" borderId="154">
      <alignment horizontal="right"/>
    </xf>
    <xf numFmtId="303" fontId="242" fillId="0" borderId="154">
      <alignment horizontal="right"/>
    </xf>
    <xf numFmtId="0" fontId="2" fillId="0" borderId="0" applyNumberFormat="0" applyFont="0" applyFill="0" applyBorder="0" applyAlignment="0" applyProtection="0"/>
    <xf numFmtId="0" fontId="243" fillId="0" borderId="0">
      <alignment vertical="center"/>
    </xf>
    <xf numFmtId="304" fontId="243" fillId="0" borderId="0">
      <alignment horizontal="left" vertical="center"/>
    </xf>
    <xf numFmtId="305" fontId="244" fillId="0" borderId="0">
      <alignment vertical="center"/>
    </xf>
    <xf numFmtId="0" fontId="42" fillId="0" borderId="0">
      <alignment vertical="center"/>
    </xf>
    <xf numFmtId="303" fontId="242" fillId="0" borderId="15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2" fillId="0" borderId="154">
      <alignment horizontal="left"/>
    </xf>
    <xf numFmtId="303" fontId="242" fillId="0" borderId="154">
      <alignment horizontal="left"/>
    </xf>
    <xf numFmtId="0" fontId="2" fillId="0" borderId="0" applyNumberFormat="0" applyFont="0" applyFill="0" applyBorder="0" applyAlignment="0" applyProtection="0"/>
    <xf numFmtId="303" fontId="216" fillId="0" borderId="0" applyFill="0" applyBorder="0">
      <alignment vertical="top"/>
    </xf>
    <xf numFmtId="303" fontId="227" fillId="0" borderId="0" applyFill="0" applyBorder="0" applyProtection="0">
      <alignment vertical="top"/>
    </xf>
    <xf numFmtId="303" fontId="245" fillId="0" borderId="0">
      <alignment vertical="top"/>
    </xf>
    <xf numFmtId="303" fontId="154" fillId="0" borderId="0">
      <alignment horizontal="center"/>
    </xf>
    <xf numFmtId="303" fontId="246" fillId="0" borderId="15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6" fillId="0" borderId="154">
      <alignment horizontal="center"/>
    </xf>
    <xf numFmtId="303" fontId="246" fillId="0" borderId="154">
      <alignment horizontal="center"/>
    </xf>
    <xf numFmtId="0" fontId="2" fillId="0" borderId="0" applyNumberFormat="0" applyFont="0" applyFill="0" applyBorder="0" applyAlignment="0" applyProtection="0"/>
    <xf numFmtId="202"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202" fontId="154"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202" fontId="154"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79" fillId="0" borderId="0"/>
    <xf numFmtId="303"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08" fillId="0" borderId="133">
      <alignment vertical="center"/>
    </xf>
    <xf numFmtId="303"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33">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65">
      <alignment horizontal="centerContinuous"/>
    </xf>
    <xf numFmtId="0" fontId="164" fillId="0" borderId="58" applyNumberFormat="0" applyFill="0" applyBorder="0" applyAlignment="0"/>
    <xf numFmtId="306" fontId="252" fillId="0" borderId="0"/>
    <xf numFmtId="0" fontId="2" fillId="0" borderId="0" applyNumberFormat="0" applyFont="0" applyFill="0" applyBorder="0" applyAlignment="0" applyProtection="0"/>
    <xf numFmtId="0" fontId="10" fillId="0" borderId="0"/>
    <xf numFmtId="38" fontId="200" fillId="0" borderId="0"/>
    <xf numFmtId="307" fontId="253"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08" fillId="0" borderId="133">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301" fontId="256" fillId="68" borderId="0" applyNumberFormat="0" applyBorder="0" applyAlignment="0" applyProtection="0"/>
    <xf numFmtId="3" fontId="208" fillId="0" borderId="133">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09" fontId="2" fillId="0" borderId="0" applyFont="0" applyFill="0" applyBorder="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58" fillId="0" borderId="0">
      <alignment horizontal="centerContinuous" vertical="center"/>
    </xf>
    <xf numFmtId="310" fontId="2" fillId="0" borderId="0" applyFont="0" applyFill="0" applyBorder="0" applyAlignment="0" applyProtection="0"/>
    <xf numFmtId="0" fontId="217" fillId="115" borderId="0">
      <alignment horizontal="left"/>
    </xf>
    <xf numFmtId="1" fontId="259" fillId="0" borderId="156">
      <alignment horizontal="left"/>
    </xf>
    <xf numFmtId="254"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45" fillId="113" borderId="124"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4" applyAlignment="0" applyProtection="0"/>
    <xf numFmtId="0" fontId="45" fillId="113" borderId="124" applyAlignment="0" applyProtection="0"/>
    <xf numFmtId="0" fontId="2" fillId="0" borderId="0" applyNumberFormat="0" applyFont="0" applyFill="0" applyBorder="0" applyAlignment="0" applyProtection="0"/>
    <xf numFmtId="0" fontId="2" fillId="68" borderId="122"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08" fillId="0" borderId="13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45" fillId="68" borderId="136"/>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6" fillId="111" borderId="0" applyBorder="0" applyAlignment="0"/>
    <xf numFmtId="312"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41" fillId="126" borderId="123"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7" fillId="0" borderId="124">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62" fillId="109" borderId="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3" fillId="0" borderId="157" applyNumberFormat="0" applyFill="0" applyAlignment="0" applyProtection="0"/>
    <xf numFmtId="0" fontId="263" fillId="0" borderId="157" applyNumberFormat="0" applyFill="0" applyAlignment="0" applyProtection="0"/>
    <xf numFmtId="0" fontId="263" fillId="0" borderId="157" applyNumberFormat="0" applyFill="0" applyAlignment="0" applyProtection="0"/>
    <xf numFmtId="0" fontId="38" fillId="0" borderId="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58"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59" applyNumberFormat="0" applyFill="0" applyAlignment="0" applyProtection="0"/>
    <xf numFmtId="0" fontId="267" fillId="0" borderId="159" applyNumberFormat="0" applyFill="0" applyAlignment="0" applyProtection="0"/>
    <xf numFmtId="0" fontId="267" fillId="0" borderId="159"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2" applyFont="0" applyProtection="0">
      <alignment horizontal="right"/>
    </xf>
    <xf numFmtId="0" fontId="10" fillId="0" borderId="0"/>
    <xf numFmtId="3" fontId="2" fillId="70" borderId="122" applyFont="0" applyProtection="0">
      <alignment horizontal="right"/>
    </xf>
    <xf numFmtId="0" fontId="2" fillId="0" borderId="0" applyNumberFormat="0" applyFont="0" applyFill="0" applyBorder="0" applyAlignment="0" applyProtection="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70" borderId="122" applyFont="0" applyProtection="0">
      <alignment horizontal="right"/>
    </xf>
    <xf numFmtId="0" fontId="10" fillId="0" borderId="0"/>
    <xf numFmtId="10" fontId="2" fillId="70" borderId="122" applyFont="0" applyProtection="0">
      <alignment horizontal="right"/>
    </xf>
    <xf numFmtId="0" fontId="2" fillId="0" borderId="0" applyNumberFormat="0" applyFont="0" applyFill="0" applyBorder="0" applyAlignment="0" applyProtection="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0" borderId="122" applyFont="0" applyProtection="0">
      <alignment horizontal="right"/>
    </xf>
    <xf numFmtId="0" fontId="10" fillId="0" borderId="0"/>
    <xf numFmtId="9" fontId="2" fillId="70" borderId="122" applyFont="0" applyProtection="0">
      <alignment horizontal="right"/>
    </xf>
    <xf numFmtId="0" fontId="2" fillId="0" borderId="0" applyNumberFormat="0" applyFont="0" applyFill="0" applyBorder="0" applyAlignment="0" applyProtection="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70" borderId="123"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3" applyNumberFormat="0" applyFont="0" applyBorder="0" applyAlignment="0" applyProtection="0">
      <alignment horizontal="left"/>
    </xf>
    <xf numFmtId="0" fontId="2" fillId="0" borderId="0" applyNumberFormat="0" applyFont="0" applyFill="0" applyBorder="0" applyAlignment="0" applyProtection="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08" fillId="0" borderId="133">
      <alignment vertical="center"/>
    </xf>
    <xf numFmtId="0" fontId="2" fillId="0" borderId="0" applyNumberFormat="0" applyFont="0" applyFill="0" applyBorder="0" applyAlignment="0" applyProtection="0"/>
    <xf numFmtId="0" fontId="10" fillId="0" borderId="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7" fontId="256" fillId="0" borderId="0" applyNumberFormat="0" applyBorder="0" applyAlignment="0" applyProtection="0"/>
    <xf numFmtId="301" fontId="256" fillId="0" borderId="0" applyNumberFormat="0" applyBorder="0" applyAlignment="0" applyProtection="0"/>
    <xf numFmtId="3" fontId="208" fillId="0" borderId="133">
      <alignment vertical="center"/>
    </xf>
    <xf numFmtId="37" fontId="45" fillId="0" borderId="0"/>
    <xf numFmtId="301" fontId="45" fillId="0" borderId="0"/>
    <xf numFmtId="3" fontId="208" fillId="0" borderId="133">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4"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2"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2" applyNumberFormat="0" applyBorder="0" applyAlignment="0" applyProtection="0"/>
    <xf numFmtId="0" fontId="10" fillId="0" borderId="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10" fillId="0" borderId="0"/>
    <xf numFmtId="0" fontId="10" fillId="0" borderId="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270" fillId="0" borderId="71">
      <protection locked="0"/>
    </xf>
    <xf numFmtId="0" fontId="270" fillId="0" borderId="71">
      <protection locked="0"/>
    </xf>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0" fillId="88" borderId="160">
      <alignment horizontal="right" vertical="center"/>
      <protection locked="0"/>
    </xf>
    <xf numFmtId="316" fontId="270" fillId="88" borderId="160">
      <alignment horizontal="right" vertical="center"/>
      <protection locked="0"/>
    </xf>
    <xf numFmtId="316" fontId="270" fillId="88" borderId="160">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 fontId="232" fillId="129" borderId="71"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33">
      <alignment vertical="center"/>
    </xf>
    <xf numFmtId="317" fontId="2" fillId="71" borderId="122" applyFont="0" applyAlignment="0">
      <protection locked="0"/>
    </xf>
    <xf numFmtId="0" fontId="10" fillId="0" borderId="0"/>
    <xf numFmtId="317" fontId="2" fillId="71" borderId="122" applyFont="0" applyAlignment="0">
      <protection locked="0"/>
    </xf>
    <xf numFmtId="0" fontId="2" fillId="0" borderId="0" applyNumberFormat="0" applyFont="0" applyFill="0" applyBorder="0" applyAlignment="0" applyProtection="0"/>
    <xf numFmtId="317" fontId="2" fillId="71" borderId="122" applyFont="0" applyAlignment="0">
      <protection locked="0"/>
    </xf>
    <xf numFmtId="317" fontId="2" fillId="71" borderId="122" applyFont="0" applyAlignment="0">
      <protection locked="0"/>
    </xf>
    <xf numFmtId="317" fontId="2" fillId="71" borderId="122" applyFont="0" applyAlignment="0">
      <protection locked="0"/>
    </xf>
    <xf numFmtId="317" fontId="2" fillId="71" borderId="122" applyFont="0" applyAlignment="0">
      <protection locked="0"/>
    </xf>
    <xf numFmtId="3" fontId="208" fillId="0" borderId="133">
      <alignment vertical="center"/>
    </xf>
    <xf numFmtId="0" fontId="2" fillId="0" borderId="0" applyNumberFormat="0" applyFont="0" applyFill="0" applyBorder="0" applyAlignment="0" applyProtection="0"/>
    <xf numFmtId="0" fontId="10" fillId="0" borderId="0"/>
    <xf numFmtId="317" fontId="2" fillId="71" borderId="122" applyFont="0" applyAlignment="0">
      <protection locked="0"/>
    </xf>
    <xf numFmtId="317" fontId="2" fillId="71" borderId="122" applyFont="0" applyAlignment="0">
      <protection locked="0"/>
    </xf>
    <xf numFmtId="317" fontId="2" fillId="71" borderId="122" applyFont="0" applyAlignment="0">
      <protection locked="0"/>
    </xf>
    <xf numFmtId="317" fontId="2" fillId="71" borderId="122" applyFont="0" applyAlignment="0">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 fillId="71" borderId="122" applyFont="0">
      <alignment horizontal="right"/>
      <protection locked="0"/>
    </xf>
    <xf numFmtId="0" fontId="10" fillId="0" borderId="0"/>
    <xf numFmtId="3" fontId="2" fillId="71" borderId="122"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6" fontId="2" fillId="71" borderId="122" applyFont="0">
      <alignment horizontal="right"/>
      <protection locked="0"/>
    </xf>
    <xf numFmtId="0" fontId="10" fillId="0" borderId="0"/>
    <xf numFmtId="266" fontId="2" fillId="71" borderId="122" applyFont="0">
      <alignment horizontal="right"/>
      <protection locked="0"/>
    </xf>
    <xf numFmtId="0" fontId="2" fillId="0" borderId="0" applyNumberFormat="0" applyFont="0" applyFill="0" applyBorder="0" applyAlignment="0" applyProtection="0"/>
    <xf numFmtId="266" fontId="2" fillId="71" borderId="122" applyFont="0">
      <alignment horizontal="right"/>
      <protection locked="0"/>
    </xf>
    <xf numFmtId="266" fontId="2" fillId="71" borderId="122" applyFont="0">
      <alignment horizontal="right"/>
      <protection locked="0"/>
    </xf>
    <xf numFmtId="266" fontId="2" fillId="71" borderId="122" applyFont="0">
      <alignment horizontal="right"/>
      <protection locked="0"/>
    </xf>
    <xf numFmtId="266"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266" fontId="2" fillId="71" borderId="122" applyFont="0">
      <alignment horizontal="right"/>
      <protection locked="0"/>
    </xf>
    <xf numFmtId="266" fontId="2" fillId="71" borderId="122" applyFont="0">
      <alignment horizontal="right"/>
      <protection locked="0"/>
    </xf>
    <xf numFmtId="266" fontId="2" fillId="71" borderId="122" applyFont="0">
      <alignment horizontal="right"/>
      <protection locked="0"/>
    </xf>
    <xf numFmtId="266"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10" fontId="2" fillId="71" borderId="122" applyFont="0">
      <alignment horizontal="right"/>
      <protection locked="0"/>
    </xf>
    <xf numFmtId="0" fontId="10" fillId="0" borderId="0"/>
    <xf numFmtId="10" fontId="2" fillId="71" borderId="122" applyFont="0">
      <alignment horizontal="right"/>
      <protection locked="0"/>
    </xf>
    <xf numFmtId="0" fontId="2" fillId="0" borderId="0" applyNumberFormat="0" applyFont="0" applyFill="0" applyBorder="0" applyAlignment="0" applyProtection="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1" borderId="126"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6"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71" borderId="122" applyFont="0">
      <alignment horizontal="center" wrapText="1"/>
      <protection locked="0"/>
    </xf>
    <xf numFmtId="0" fontId="10" fillId="0" borderId="0"/>
    <xf numFmtId="0" fontId="2" fillId="71" borderId="122" applyFont="0">
      <alignment horizontal="center" wrapText="1"/>
      <protection locked="0"/>
    </xf>
    <xf numFmtId="0" fontId="2" fillId="0" borderId="0" applyNumberFormat="0" applyFont="0" applyFill="0" applyBorder="0" applyAlignment="0" applyProtection="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71" borderId="122" applyFont="0" applyAlignment="0">
      <protection locked="0"/>
    </xf>
    <xf numFmtId="0" fontId="10" fillId="0" borderId="0"/>
    <xf numFmtId="0" fontId="10" fillId="0" borderId="0"/>
    <xf numFmtId="3" fontId="208" fillId="0" borderId="133">
      <alignment vertical="center"/>
    </xf>
    <xf numFmtId="0" fontId="10" fillId="0" borderId="0"/>
    <xf numFmtId="0" fontId="10" fillId="0" borderId="0"/>
    <xf numFmtId="49" fontId="2" fillId="71" borderId="122"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82" fillId="53" borderId="0" applyNumberFormat="0" applyBorder="0" applyProtection="0">
      <alignment horizontal="center"/>
    </xf>
    <xf numFmtId="320"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21" fontId="2" fillId="0" borderId="0" applyFont="0" applyFill="0" applyBorder="0" applyAlignment="0" applyProtection="0"/>
    <xf numFmtId="322"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23" fontId="159" fillId="0" borderId="71"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23" fontId="227" fillId="96" borderId="16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7" fillId="96" borderId="71"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266" fontId="256" fillId="93"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43" fontId="37" fillId="68" borderId="0" applyNumberFormat="0" applyFont="0" applyBorder="0" applyAlignment="0"/>
    <xf numFmtId="0" fontId="2" fillId="68" borderId="0"/>
    <xf numFmtId="325"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4" applyAlignment="0" applyProtection="0">
      <alignment horizontal="centerContinuous"/>
    </xf>
    <xf numFmtId="19" fontId="279" fillId="0" borderId="134" applyAlignment="0" applyProtection="0">
      <alignment horizontal="centerContinuous"/>
    </xf>
    <xf numFmtId="3" fontId="208" fillId="0" borderId="133">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202"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72" fontId="10" fillId="0" borderId="0" applyFont="0" applyFill="0" applyBorder="0" applyAlignment="0" applyProtection="0"/>
    <xf numFmtId="172" fontId="2" fillId="0" borderId="0" applyFont="0" applyFill="0" applyBorder="0" applyAlignment="0" applyProtection="0"/>
    <xf numFmtId="172" fontId="10" fillId="0" borderId="0" applyFont="0" applyFill="0" applyBorder="0" applyAlignment="0" applyProtection="0"/>
    <xf numFmtId="172" fontId="2" fillId="0" borderId="0" applyFont="0" applyFill="0" applyBorder="0" applyAlignment="0" applyProtection="0"/>
    <xf numFmtId="0" fontId="10" fillId="0" borderId="0"/>
    <xf numFmtId="0" fontId="10" fillId="0" borderId="0"/>
    <xf numFmtId="0" fontId="10" fillId="0" borderId="0"/>
    <xf numFmtId="202" fontId="1" fillId="0" borderId="0" applyFont="0" applyFill="0" applyBorder="0" applyAlignment="0" applyProtection="0"/>
    <xf numFmtId="205" fontId="2" fillId="0" borderId="0" applyFont="0" applyFill="0" applyBorder="0" applyAlignment="0" applyProtection="0"/>
    <xf numFmtId="202" fontId="1" fillId="0" borderId="0" applyFont="0" applyFill="0" applyBorder="0" applyAlignment="0" applyProtection="0"/>
    <xf numFmtId="202" fontId="1" fillId="0" borderId="0" applyFont="0" applyFill="0" applyBorder="0" applyAlignment="0" applyProtection="0"/>
    <xf numFmtId="3" fontId="208" fillId="0" borderId="133">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72" fontId="1" fillId="0" borderId="0" applyFont="0" applyFill="0" applyBorder="0" applyAlignment="0" applyProtection="0"/>
    <xf numFmtId="0" fontId="10" fillId="0" borderId="0"/>
    <xf numFmtId="172" fontId="1"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0" fontId="10" fillId="0" borderId="0"/>
    <xf numFmtId="2" fontId="232" fillId="107" borderId="122"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168" fontId="29" fillId="0" borderId="0" applyFont="0" applyFill="0" applyBorder="0" applyAlignment="0" applyProtection="0"/>
    <xf numFmtId="169" fontId="29" fillId="0" borderId="0" applyFont="0" applyFill="0" applyBorder="0" applyAlignment="0" applyProtection="0"/>
    <xf numFmtId="0" fontId="10" fillId="0" borderId="0"/>
    <xf numFmtId="0" fontId="10" fillId="0" borderId="0"/>
    <xf numFmtId="0" fontId="10" fillId="0" borderId="0"/>
    <xf numFmtId="327" fontId="159" fillId="0" borderId="0" applyFont="0" applyFill="0" applyBorder="0" applyAlignment="0" applyProtection="0"/>
    <xf numFmtId="38" fontId="29" fillId="109"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5" applyNumberFormat="0" applyFill="0" applyBorder="0" applyAlignment="0"/>
    <xf numFmtId="17" fontId="45" fillId="131" borderId="135" applyNumberFormat="0" applyFill="0" applyBorder="0" applyAlignment="0"/>
    <xf numFmtId="3" fontId="208" fillId="0" borderId="133">
      <alignment vertical="center"/>
    </xf>
    <xf numFmtId="3" fontId="208" fillId="0" borderId="133">
      <alignment vertical="center"/>
    </xf>
    <xf numFmtId="0" fontId="224" fillId="0" borderId="0" applyNumberFormat="0" applyFont="0" applyBorder="0" applyAlignment="0"/>
    <xf numFmtId="0" fontId="224"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30" fontId="210" fillId="0" borderId="0">
      <alignment horizontal="right" vertical="center" wrapText="1"/>
    </xf>
    <xf numFmtId="331"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7" fontId="281" fillId="0" borderId="0"/>
    <xf numFmtId="301" fontId="281"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236" fillId="69" borderId="122"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3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82" fillId="104" borderId="125">
      <alignment horizontal="center" vertical="top" wrapText="1"/>
    </xf>
    <xf numFmtId="0" fontId="282" fillId="104" borderId="125">
      <alignment horizontal="center" vertical="top" wrapText="1"/>
    </xf>
    <xf numFmtId="0" fontId="282" fillId="104" borderId="125">
      <alignment horizontal="center" vertical="top" wrapText="1"/>
    </xf>
    <xf numFmtId="0" fontId="282" fillId="104"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xf numFmtId="0" fontId="2" fillId="0" borderId="124"/>
    <xf numFmtId="0" fontId="2" fillId="0" borderId="124"/>
    <xf numFmtId="0"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xf numFmtId="0" fontId="45" fillId="70" borderId="123"/>
    <xf numFmtId="0" fontId="45" fillId="70" borderId="123"/>
    <xf numFmtId="0" fontId="45" fillId="7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1"/>
    <xf numFmtId="0" fontId="45" fillId="0" borderId="101"/>
    <xf numFmtId="0" fontId="45"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5">
      <alignment horizontal="center" vertical="top"/>
    </xf>
    <xf numFmtId="0" fontId="282" fillId="132" borderId="125">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3"/>
    <xf numFmtId="0" fontId="45" fillId="0" borderId="123"/>
    <xf numFmtId="0" fontId="45" fillId="0" borderId="123"/>
    <xf numFmtId="0" fontId="45"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26"/>
    <xf numFmtId="0" fontId="283" fillId="7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5">
      <alignment horizontal="center" vertical="top" wrapText="1"/>
    </xf>
    <xf numFmtId="0" fontId="282" fillId="132" borderId="125">
      <alignment horizontal="center" vertical="top" wrapText="1"/>
    </xf>
    <xf numFmtId="0" fontId="282" fillId="132" borderId="125">
      <alignment horizontal="center" vertical="top" wrapText="1"/>
    </xf>
    <xf numFmtId="0" fontId="282" fillId="132"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4"/>
    <xf numFmtId="3" fontId="2" fillId="0" borderId="124"/>
    <xf numFmtId="3" fontId="2" fillId="0" borderId="124"/>
    <xf numFmtId="3"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1">
      <alignment horizontal="left" vertical="top"/>
    </xf>
    <xf numFmtId="0" fontId="45" fillId="70" borderId="101">
      <alignment horizontal="left" vertical="top"/>
    </xf>
    <xf numFmtId="0" fontId="45" fillId="70" borderId="101">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4">
      <alignment horizontal="center" vertical="center"/>
    </xf>
    <xf numFmtId="0" fontId="282" fillId="132" borderId="124">
      <alignment horizontal="center" vertical="center"/>
    </xf>
    <xf numFmtId="0" fontId="2" fillId="0" borderId="0" applyNumberFormat="0" applyFont="0" applyFill="0" applyBorder="0" applyAlignment="0" applyProtection="0"/>
    <xf numFmtId="0" fontId="282" fillId="132" borderId="125">
      <alignment horizontal="center" vertical="center"/>
    </xf>
    <xf numFmtId="0" fontId="282" fillId="132" borderId="125">
      <alignment horizontal="center" vertical="center"/>
    </xf>
    <xf numFmtId="0" fontId="282" fillId="132" borderId="125">
      <alignment horizontal="center" vertical="center"/>
    </xf>
    <xf numFmtId="0" fontId="282" fillId="132" borderId="125">
      <alignment horizontal="center" vertical="center"/>
    </xf>
    <xf numFmtId="0" fontId="2" fillId="0" borderId="0" applyNumberFormat="0" applyFont="0" applyFill="0" applyBorder="0" applyAlignment="0" applyProtection="0"/>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4">
      <alignment horizontal="center" vertical="center"/>
    </xf>
    <xf numFmtId="0" fontId="282" fillId="104" borderId="124">
      <alignment horizontal="center" vertical="center"/>
    </xf>
    <xf numFmtId="0" fontId="2" fillId="0" borderId="0" applyNumberFormat="0" applyFont="0" applyFill="0" applyBorder="0" applyAlignment="0" applyProtection="0"/>
    <xf numFmtId="0" fontId="282" fillId="104" borderId="125">
      <alignment horizontal="center" vertical="center"/>
    </xf>
    <xf numFmtId="0" fontId="282" fillId="104" borderId="125">
      <alignment horizontal="center" vertical="center"/>
    </xf>
    <xf numFmtId="0" fontId="282" fillId="104" borderId="125">
      <alignment horizontal="center" vertical="center"/>
    </xf>
    <xf numFmtId="0" fontId="282"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xf numFmtId="0" fontId="2" fillId="0" borderId="102"/>
    <xf numFmtId="0" fontId="2" fillId="0" borderId="102"/>
    <xf numFmtId="0" fontId="2"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85" fillId="0" borderId="7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36"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236" fillId="0" borderId="71"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22">
      <alignment horizontal="right"/>
      <protection locked="0"/>
    </xf>
    <xf numFmtId="0" fontId="10" fillId="0" borderId="0"/>
    <xf numFmtId="3" fontId="2" fillId="74" borderId="122">
      <alignment horizontal="right"/>
      <protection locked="0"/>
    </xf>
    <xf numFmtId="0" fontId="2" fillId="0" borderId="0" applyNumberFormat="0" applyFont="0" applyFill="0" applyBorder="0" applyAlignment="0" applyProtection="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6" fontId="2" fillId="74" borderId="122">
      <alignment horizontal="right"/>
      <protection locked="0"/>
    </xf>
    <xf numFmtId="0" fontId="10" fillId="0" borderId="0"/>
    <xf numFmtId="266" fontId="2" fillId="74" borderId="122">
      <alignment horizontal="right"/>
      <protection locked="0"/>
    </xf>
    <xf numFmtId="0" fontId="2" fillId="0" borderId="0" applyNumberFormat="0" applyFont="0" applyFill="0" applyBorder="0" applyAlignment="0" applyProtection="0"/>
    <xf numFmtId="266" fontId="2" fillId="74" borderId="122">
      <alignment horizontal="right"/>
      <protection locked="0"/>
    </xf>
    <xf numFmtId="266" fontId="2" fillId="74" borderId="122">
      <alignment horizontal="right"/>
      <protection locked="0"/>
    </xf>
    <xf numFmtId="266" fontId="2" fillId="74" borderId="122">
      <alignment horizontal="right"/>
      <protection locked="0"/>
    </xf>
    <xf numFmtId="266"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266" fontId="2" fillId="74" borderId="122">
      <alignment horizontal="right"/>
      <protection locked="0"/>
    </xf>
    <xf numFmtId="266" fontId="2" fillId="74" borderId="122">
      <alignment horizontal="right"/>
      <protection locked="0"/>
    </xf>
    <xf numFmtId="266" fontId="2" fillId="74" borderId="122">
      <alignment horizontal="right"/>
      <protection locked="0"/>
    </xf>
    <xf numFmtId="266"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74" borderId="122" applyFont="0">
      <alignment horizontal="right"/>
      <protection locked="0"/>
    </xf>
    <xf numFmtId="0" fontId="10" fillId="0" borderId="0"/>
    <xf numFmtId="10" fontId="2" fillId="74" borderId="122" applyFont="0">
      <alignment horizontal="right"/>
      <protection locked="0"/>
    </xf>
    <xf numFmtId="0" fontId="2" fillId="0" borderId="0" applyNumberFormat="0" applyFont="0" applyFill="0" applyBorder="0" applyAlignment="0" applyProtection="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4" borderId="122">
      <alignment horizontal="right"/>
      <protection locked="0"/>
    </xf>
    <xf numFmtId="0" fontId="10" fillId="0" borderId="0"/>
    <xf numFmtId="9" fontId="2" fillId="74" borderId="122">
      <alignment horizontal="right"/>
      <protection locked="0"/>
    </xf>
    <xf numFmtId="0" fontId="2" fillId="0" borderId="0" applyNumberFormat="0" applyFont="0" applyFill="0" applyBorder="0" applyAlignment="0" applyProtection="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37" fontId="2" fillId="74" borderId="122" applyFont="0">
      <alignment horizontal="right" vertical="center"/>
      <protection locked="0"/>
    </xf>
    <xf numFmtId="337" fontId="2" fillId="74" borderId="122" applyFont="0">
      <alignment horizontal="right" vertical="center"/>
      <protection locked="0"/>
    </xf>
    <xf numFmtId="337" fontId="2" fillId="74" borderId="122" applyFont="0">
      <alignment horizontal="right" vertical="center"/>
      <protection locked="0"/>
    </xf>
    <xf numFmtId="337" fontId="2" fillId="74" borderId="122" applyFont="0">
      <alignment horizontal="right" vertical="center"/>
      <protection locked="0"/>
    </xf>
    <xf numFmtId="337" fontId="2" fillId="74" borderId="122"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74" borderId="122">
      <alignment horizontal="center" wrapText="1"/>
    </xf>
    <xf numFmtId="0" fontId="10" fillId="0" borderId="0"/>
    <xf numFmtId="0" fontId="2" fillId="74" borderId="122">
      <alignment horizontal="center" wrapText="1"/>
    </xf>
    <xf numFmtId="0" fontId="2" fillId="0" borderId="0" applyNumberFormat="0" applyFont="0" applyFill="0" applyBorder="0" applyAlignment="0" applyProtection="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74" borderId="122" applyNumberFormat="0" applyFont="0">
      <alignment horizontal="center" wrapText="1"/>
      <protection locked="0"/>
    </xf>
    <xf numFmtId="0" fontId="10" fillId="0" borderId="0"/>
    <xf numFmtId="0" fontId="2" fillId="74" borderId="122" applyNumberFormat="0" applyFont="0">
      <alignment horizontal="center" wrapText="1"/>
      <protection locked="0"/>
    </xf>
    <xf numFmtId="0" fontId="2" fillId="0" borderId="0" applyNumberFormat="0" applyFont="0" applyFill="0" applyBorder="0" applyAlignment="0" applyProtection="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66"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10" fillId="0" borderId="0"/>
    <xf numFmtId="0" fontId="10" fillId="0" borderId="0"/>
    <xf numFmtId="0" fontId="10" fillId="0" borderId="0"/>
    <xf numFmtId="0" fontId="10" fillId="0" borderId="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179" fontId="232" fillId="134" borderId="71"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38"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22"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87" fillId="135"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1" applyNumberFormat="0" applyFont="0" applyBorder="0" applyAlignment="0" applyProtection="0">
      <alignment horizontal="center"/>
    </xf>
    <xf numFmtId="0" fontId="19" fillId="131"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9" fillId="96" borderId="71" applyNumberFormat="0" applyFont="0" applyBorder="0" applyAlignment="0" applyProtection="0">
      <alignment horizontal="center"/>
    </xf>
    <xf numFmtId="0" fontId="19" fillId="96"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59"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0" borderId="16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52" fillId="0" borderId="0"/>
    <xf numFmtId="0" fontId="2" fillId="0" borderId="0" applyNumberFormat="0" applyFont="0" applyFill="0" applyBorder="0" applyAlignment="0" applyProtection="0"/>
    <xf numFmtId="0" fontId="10" fillId="0" borderId="0"/>
    <xf numFmtId="0" fontId="46" fillId="69" borderId="65">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3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45" fillId="92" borderId="65"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7" fontId="294" fillId="0" borderId="0" applyNumberFormat="0" applyFill="0" applyBorder="0" applyAlignment="0" applyProtection="0"/>
    <xf numFmtId="301" fontId="294" fillId="0" borderId="0" applyNumberFormat="0" applyFill="0" applyBorder="0" applyAlignment="0" applyProtection="0"/>
    <xf numFmtId="3" fontId="208" fillId="0" borderId="133">
      <alignment vertical="center"/>
    </xf>
    <xf numFmtId="0" fontId="10" fillId="0" borderId="0"/>
    <xf numFmtId="0" fontId="176" fillId="111"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44"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198" fillId="0" borderId="0"/>
    <xf numFmtId="0" fontId="10" fillId="0" borderId="0"/>
    <xf numFmtId="38" fontId="295" fillId="0" borderId="0">
      <alignment horizontal="center"/>
    </xf>
    <xf numFmtId="0" fontId="10" fillId="0" borderId="0"/>
    <xf numFmtId="0" fontId="296" fillId="45" borderId="12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171" fontId="297" fillId="0" borderId="0">
      <alignment horizontal="right"/>
    </xf>
    <xf numFmtId="0" fontId="10" fillId="0" borderId="0"/>
    <xf numFmtId="0" fontId="2" fillId="0" borderId="16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9" fillId="139" borderId="0"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1"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346" fontId="29" fillId="131" borderId="171" applyProtection="0">
      <alignment horizontal="right" vertical="center"/>
    </xf>
    <xf numFmtId="346"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1" borderId="171" applyProtection="0">
      <alignment horizontal="right" vertical="center"/>
    </xf>
    <xf numFmtId="346" fontId="29" fillId="131" borderId="171" applyProtection="0">
      <alignment horizontal="right" vertical="center"/>
    </xf>
    <xf numFmtId="346"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300" fillId="0" borderId="0"/>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301" fillId="0" borderId="0"/>
    <xf numFmtId="347" fontId="159" fillId="0" borderId="0"/>
    <xf numFmtId="348" fontId="159" fillId="0" borderId="0"/>
    <xf numFmtId="0" fontId="209" fillId="0" borderId="25"/>
    <xf numFmtId="0" fontId="302" fillId="71" borderId="10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72">
      <alignment horizontal="right"/>
    </xf>
    <xf numFmtId="0" fontId="305" fillId="141" borderId="0"/>
    <xf numFmtId="0" fontId="303" fillId="69" borderId="172">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7" fillId="0" borderId="0">
      <alignment horizontal="right"/>
    </xf>
    <xf numFmtId="0" fontId="230" fillId="0" borderId="0"/>
    <xf numFmtId="170" fontId="200" fillId="142" borderId="0" applyNumberFormat="0" applyFont="0"/>
    <xf numFmtId="0" fontId="159" fillId="143" borderId="0" applyNumberFormat="0" applyFont="0" applyBorder="0" applyAlignment="0" applyProtection="0"/>
    <xf numFmtId="352" fontId="307" fillId="0" borderId="0" applyFont="0" applyFill="0" applyBorder="0" applyAlignment="0" applyProtection="0"/>
    <xf numFmtId="1" fontId="2" fillId="0" borderId="0"/>
    <xf numFmtId="353" fontId="2" fillId="69" borderId="122">
      <alignment horizontal="center"/>
    </xf>
    <xf numFmtId="0" fontId="10" fillId="0" borderId="0"/>
    <xf numFmtId="353" fontId="2" fillId="69" borderId="122">
      <alignment horizontal="center"/>
    </xf>
    <xf numFmtId="0" fontId="2" fillId="0" borderId="0" applyNumberFormat="0" applyFont="0" applyFill="0" applyBorder="0" applyAlignment="0" applyProtection="0"/>
    <xf numFmtId="353" fontId="2" fillId="69" borderId="122">
      <alignment horizontal="center"/>
    </xf>
    <xf numFmtId="353" fontId="2" fillId="69" borderId="122">
      <alignment horizontal="center"/>
    </xf>
    <xf numFmtId="353" fontId="2" fillId="69" borderId="122">
      <alignment horizontal="center"/>
    </xf>
    <xf numFmtId="353" fontId="2" fillId="69" borderId="122">
      <alignment horizontal="center"/>
    </xf>
    <xf numFmtId="3" fontId="208" fillId="0" borderId="133">
      <alignment vertical="center"/>
    </xf>
    <xf numFmtId="0" fontId="2" fillId="0" borderId="0" applyNumberFormat="0" applyFont="0" applyFill="0" applyBorder="0" applyAlignment="0" applyProtection="0"/>
    <xf numFmtId="0" fontId="10" fillId="0" borderId="0"/>
    <xf numFmtId="353" fontId="2" fillId="69" borderId="122">
      <alignment horizontal="center"/>
    </xf>
    <xf numFmtId="353" fontId="2" fillId="69" borderId="122">
      <alignment horizontal="center"/>
    </xf>
    <xf numFmtId="353" fontId="2" fillId="69" borderId="122">
      <alignment horizontal="center"/>
    </xf>
    <xf numFmtId="353" fontId="2" fillId="69" borderId="122">
      <alignment horizontal="center"/>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 fillId="69" borderId="122" applyFont="0">
      <alignment horizontal="right"/>
    </xf>
    <xf numFmtId="0" fontId="10" fillId="0" borderId="0"/>
    <xf numFmtId="3" fontId="2" fillId="69" borderId="122"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93" fontId="2" fillId="69" borderId="122" applyFont="0">
      <alignment horizontal="right"/>
    </xf>
    <xf numFmtId="0" fontId="10" fillId="0" borderId="0"/>
    <xf numFmtId="193" fontId="2" fillId="69" borderId="122" applyFont="0">
      <alignment horizontal="right"/>
    </xf>
    <xf numFmtId="0" fontId="2" fillId="0" borderId="0" applyNumberFormat="0" applyFont="0" applyFill="0" applyBorder="0" applyAlignment="0" applyProtection="0"/>
    <xf numFmtId="193" fontId="2" fillId="69" borderId="122" applyFont="0">
      <alignment horizontal="right"/>
    </xf>
    <xf numFmtId="193" fontId="2" fillId="69" borderId="122" applyFont="0">
      <alignment horizontal="right"/>
    </xf>
    <xf numFmtId="193" fontId="2" fillId="69" borderId="122" applyFont="0">
      <alignment horizontal="right"/>
    </xf>
    <xf numFmtId="193"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93" fontId="2" fillId="69" borderId="122" applyFont="0">
      <alignment horizontal="right"/>
    </xf>
    <xf numFmtId="193" fontId="2" fillId="69" borderId="122" applyFont="0">
      <alignment horizontal="right"/>
    </xf>
    <xf numFmtId="193" fontId="2" fillId="69" borderId="122" applyFont="0">
      <alignment horizontal="right"/>
    </xf>
    <xf numFmtId="193"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6" fontId="2" fillId="69" borderId="122" applyFont="0">
      <alignment horizontal="right"/>
    </xf>
    <xf numFmtId="0" fontId="10" fillId="0" borderId="0"/>
    <xf numFmtId="266" fontId="2" fillId="69" borderId="122" applyFont="0">
      <alignment horizontal="right"/>
    </xf>
    <xf numFmtId="0" fontId="2" fillId="0" borderId="0" applyNumberFormat="0" applyFont="0" applyFill="0" applyBorder="0" applyAlignment="0" applyProtection="0"/>
    <xf numFmtId="266" fontId="2" fillId="69" borderId="122" applyFont="0">
      <alignment horizontal="right"/>
    </xf>
    <xf numFmtId="266" fontId="2" fillId="69" borderId="122" applyFont="0">
      <alignment horizontal="right"/>
    </xf>
    <xf numFmtId="266" fontId="2" fillId="69" borderId="122" applyFont="0">
      <alignment horizontal="right"/>
    </xf>
    <xf numFmtId="266"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266" fontId="2" fillId="69" borderId="122" applyFont="0">
      <alignment horizontal="right"/>
    </xf>
    <xf numFmtId="266" fontId="2" fillId="69" borderId="122" applyFont="0">
      <alignment horizontal="right"/>
    </xf>
    <xf numFmtId="266" fontId="2" fillId="69" borderId="122" applyFont="0">
      <alignment horizontal="right"/>
    </xf>
    <xf numFmtId="266"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69" borderId="122" applyFont="0">
      <alignment horizontal="right"/>
    </xf>
    <xf numFmtId="0" fontId="10" fillId="0" borderId="0"/>
    <xf numFmtId="10" fontId="2" fillId="69" borderId="122" applyFont="0">
      <alignment horizontal="right"/>
    </xf>
    <xf numFmtId="0" fontId="2" fillId="0" borderId="0" applyNumberFormat="0" applyFont="0" applyFill="0" applyBorder="0" applyAlignment="0" applyProtection="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69" borderId="122" applyFont="0">
      <alignment horizontal="right"/>
    </xf>
    <xf numFmtId="0" fontId="10" fillId="0" borderId="0"/>
    <xf numFmtId="9" fontId="2" fillId="69" borderId="122" applyFont="0">
      <alignment horizontal="right"/>
    </xf>
    <xf numFmtId="0" fontId="2" fillId="0" borderId="0" applyNumberFormat="0" applyFont="0" applyFill="0" applyBorder="0" applyAlignment="0" applyProtection="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54" fontId="2" fillId="69" borderId="122" applyFont="0">
      <alignment horizontal="center" wrapText="1"/>
    </xf>
    <xf numFmtId="0" fontId="10" fillId="0" borderId="0"/>
    <xf numFmtId="354" fontId="2" fillId="69" borderId="122" applyFont="0">
      <alignment horizontal="center" wrapText="1"/>
    </xf>
    <xf numFmtId="0" fontId="2" fillId="0" borderId="0" applyNumberFormat="0" applyFont="0" applyFill="0" applyBorder="0" applyAlignment="0" applyProtection="0"/>
    <xf numFmtId="354" fontId="2" fillId="69" borderId="122" applyFont="0">
      <alignment horizontal="center" wrapText="1"/>
    </xf>
    <xf numFmtId="354" fontId="2" fillId="69" borderId="122" applyFont="0">
      <alignment horizontal="center" wrapText="1"/>
    </xf>
    <xf numFmtId="354" fontId="2" fillId="69" borderId="122" applyFont="0">
      <alignment horizontal="center" wrapText="1"/>
    </xf>
    <xf numFmtId="354" fontId="2" fillId="69"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354" fontId="2" fillId="69" borderId="122" applyFont="0">
      <alignment horizontal="center" wrapText="1"/>
    </xf>
    <xf numFmtId="354" fontId="2" fillId="69" borderId="122" applyFont="0">
      <alignment horizontal="center" wrapText="1"/>
    </xf>
    <xf numFmtId="354" fontId="2" fillId="69" borderId="122" applyFont="0">
      <alignment horizontal="center" wrapText="1"/>
    </xf>
    <xf numFmtId="354" fontId="2" fillId="69"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71" fontId="308" fillId="0" borderId="0">
      <alignment horizontal="right"/>
    </xf>
    <xf numFmtId="0" fontId="2" fillId="0" borderId="0" applyNumberFormat="0" applyFont="0" applyFill="0" applyBorder="0" applyAlignment="0" applyProtection="0"/>
    <xf numFmtId="0" fontId="10" fillId="0" borderId="0"/>
    <xf numFmtId="0" fontId="10" fillId="0" borderId="0"/>
    <xf numFmtId="169"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73" applyNumberFormat="0" applyBorder="0">
      <alignment horizontal="centerContinuous"/>
    </xf>
    <xf numFmtId="0" fontId="309" fillId="105" borderId="173" applyNumberFormat="0" applyBorder="0">
      <alignment horizontal="centerContinuous"/>
    </xf>
    <xf numFmtId="0" fontId="309" fillId="105" borderId="173" applyNumberFormat="0" applyBorder="0">
      <alignment horizontal="centerContinuous"/>
    </xf>
    <xf numFmtId="0" fontId="309" fillId="105" borderId="173"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45" fillId="0" borderId="0" applyNumberFormat="0"/>
    <xf numFmtId="0" fontId="10" fillId="0" borderId="0"/>
    <xf numFmtId="171"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4" applyBorder="0"/>
    <xf numFmtId="3" fontId="2" fillId="68" borderId="124" applyBorder="0"/>
    <xf numFmtId="3" fontId="2" fillId="68" borderId="124" applyBorder="0"/>
    <xf numFmtId="3" fontId="2" fillId="68" borderId="124" applyBorder="0"/>
    <xf numFmtId="3" fontId="2" fillId="68" borderId="124" applyBorder="0"/>
    <xf numFmtId="0" fontId="10" fillId="0" borderId="0"/>
    <xf numFmtId="227"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1" fillId="0" borderId="0"/>
    <xf numFmtId="350"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0" fontId="2" fillId="0" borderId="0">
      <alignment vertical="top"/>
    </xf>
    <xf numFmtId="20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0" fontId="2" fillId="0" borderId="0">
      <alignment vertical="top"/>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0"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39" fontId="310" fillId="68" borderId="0">
      <alignment horizontal="center"/>
    </xf>
    <xf numFmtId="0" fontId="2" fillId="0" borderId="0" applyNumberFormat="0" applyFont="0" applyFill="0" applyBorder="0" applyAlignment="0" applyProtection="0"/>
    <xf numFmtId="0" fontId="10" fillId="0" borderId="0"/>
    <xf numFmtId="242"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22" applyNumberFormat="0" applyFont="0" applyFill="0" applyBorder="0" applyAlignment="0">
      <protection hidden="1"/>
    </xf>
    <xf numFmtId="0" fontId="10" fillId="0" borderId="0"/>
    <xf numFmtId="0" fontId="159" fillId="0" borderId="122" applyNumberFormat="0" applyFont="0" applyFill="0" applyBorder="0" applyAlignment="0">
      <protection hidden="1"/>
    </xf>
    <xf numFmtId="0" fontId="10" fillId="0" borderId="0"/>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3" fontId="208" fillId="0" borderId="133">
      <alignment vertical="center"/>
    </xf>
    <xf numFmtId="0" fontId="2" fillId="0" borderId="0" applyNumberFormat="0" applyFont="0" applyFill="0" applyBorder="0" applyAlignment="0" applyProtection="0"/>
    <xf numFmtId="0" fontId="10" fillId="0" borderId="0"/>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 fontId="2" fillId="144" borderId="122" applyFont="0">
      <alignment horizontal="right"/>
    </xf>
    <xf numFmtId="0" fontId="10" fillId="0" borderId="0"/>
    <xf numFmtId="1" fontId="2" fillId="144" borderId="122" applyFont="0">
      <alignment horizontal="right"/>
    </xf>
    <xf numFmtId="0" fontId="2" fillId="0" borderId="0" applyNumberFormat="0" applyFont="0" applyFill="0" applyBorder="0" applyAlignment="0" applyProtection="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0" fontId="2" fillId="144" borderId="122" applyFont="0"/>
    <xf numFmtId="0" fontId="10" fillId="0" borderId="0"/>
    <xf numFmtId="310" fontId="2" fillId="144" borderId="122" applyFont="0"/>
    <xf numFmtId="0" fontId="2" fillId="0" borderId="0" applyNumberFormat="0" applyFont="0" applyFill="0" applyBorder="0" applyAlignment="0" applyProtection="0"/>
    <xf numFmtId="310" fontId="2" fillId="144" borderId="122" applyFont="0"/>
    <xf numFmtId="310" fontId="2" fillId="144" borderId="122" applyFont="0"/>
    <xf numFmtId="310" fontId="2" fillId="144" borderId="122" applyFont="0"/>
    <xf numFmtId="310" fontId="2" fillId="144" borderId="122" applyFont="0"/>
    <xf numFmtId="3" fontId="208" fillId="0" borderId="133">
      <alignment vertical="center"/>
    </xf>
    <xf numFmtId="0" fontId="2" fillId="0" borderId="0" applyNumberFormat="0" applyFont="0" applyFill="0" applyBorder="0" applyAlignment="0" applyProtection="0"/>
    <xf numFmtId="0" fontId="10" fillId="0" borderId="0"/>
    <xf numFmtId="310" fontId="2" fillId="144" borderId="122" applyFont="0"/>
    <xf numFmtId="310" fontId="2" fillId="144" borderId="122" applyFont="0"/>
    <xf numFmtId="310" fontId="2" fillId="144" borderId="122" applyFont="0"/>
    <xf numFmtId="310" fontId="2" fillId="144"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144" borderId="122" applyFont="0">
      <alignment horizontal="right"/>
    </xf>
    <xf numFmtId="0" fontId="10" fillId="0" borderId="0"/>
    <xf numFmtId="9" fontId="2" fillId="144" borderId="122" applyFont="0">
      <alignment horizontal="right"/>
    </xf>
    <xf numFmtId="0" fontId="2" fillId="0" borderId="0" applyNumberFormat="0" applyFont="0" applyFill="0" applyBorder="0" applyAlignment="0" applyProtection="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7" fontId="2" fillId="144" borderId="122" applyFont="0">
      <alignment horizontal="right"/>
    </xf>
    <xf numFmtId="0" fontId="10" fillId="0" borderId="0"/>
    <xf numFmtId="337" fontId="2" fillId="144" borderId="122" applyFont="0">
      <alignment horizontal="right"/>
    </xf>
    <xf numFmtId="0" fontId="2" fillId="0" borderId="0" applyNumberFormat="0" applyFont="0" applyFill="0" applyBorder="0" applyAlignment="0" applyProtection="0"/>
    <xf numFmtId="337" fontId="2" fillId="144" borderId="122" applyFont="0">
      <alignment horizontal="right"/>
    </xf>
    <xf numFmtId="337" fontId="2" fillId="144" borderId="122" applyFont="0">
      <alignment horizontal="right"/>
    </xf>
    <xf numFmtId="337" fontId="2" fillId="144" borderId="122" applyFont="0">
      <alignment horizontal="right"/>
    </xf>
    <xf numFmtId="337"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37" fontId="2" fillId="144" borderId="122" applyFont="0">
      <alignment horizontal="right"/>
    </xf>
    <xf numFmtId="337" fontId="2" fillId="144" borderId="122" applyFont="0">
      <alignment horizontal="right"/>
    </xf>
    <xf numFmtId="337" fontId="2" fillId="144" borderId="122" applyFont="0">
      <alignment horizontal="right"/>
    </xf>
    <xf numFmtId="337"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144" borderId="122" applyFont="0">
      <alignment horizontal="right"/>
    </xf>
    <xf numFmtId="0" fontId="10" fillId="0" borderId="0"/>
    <xf numFmtId="10" fontId="2" fillId="144" borderId="122" applyFont="0">
      <alignment horizontal="right"/>
    </xf>
    <xf numFmtId="0" fontId="2" fillId="0" borderId="0" applyNumberFormat="0" applyFont="0" applyFill="0" applyBorder="0" applyAlignment="0" applyProtection="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144" borderId="122" applyFont="0">
      <alignment horizontal="center" wrapText="1"/>
    </xf>
    <xf numFmtId="0" fontId="10" fillId="0" borderId="0"/>
    <xf numFmtId="0" fontId="2" fillId="144" borderId="122" applyFont="0">
      <alignment horizontal="center" wrapText="1"/>
    </xf>
    <xf numFmtId="0" fontId="2" fillId="0" borderId="0" applyNumberFormat="0" applyFont="0" applyFill="0" applyBorder="0" applyAlignment="0" applyProtection="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144" borderId="122" applyFont="0"/>
    <xf numFmtId="0" fontId="10" fillId="0" borderId="0"/>
    <xf numFmtId="0" fontId="10" fillId="0" borderId="0"/>
    <xf numFmtId="3" fontId="208" fillId="0" borderId="133">
      <alignment vertical="center"/>
    </xf>
    <xf numFmtId="0" fontId="10" fillId="0" borderId="0"/>
    <xf numFmtId="0" fontId="10" fillId="0" borderId="0"/>
    <xf numFmtId="49" fontId="2" fillId="144" borderId="122" applyFont="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310" fontId="2" fillId="145" borderId="122" applyFont="0"/>
    <xf numFmtId="0" fontId="10" fillId="0" borderId="0"/>
    <xf numFmtId="310" fontId="2" fillId="145" borderId="122" applyFont="0"/>
    <xf numFmtId="0" fontId="2" fillId="0" borderId="0" applyNumberFormat="0" applyFont="0" applyFill="0" applyBorder="0" applyAlignment="0" applyProtection="0"/>
    <xf numFmtId="310" fontId="2" fillId="145" borderId="122" applyFont="0"/>
    <xf numFmtId="310" fontId="2" fillId="145" borderId="122" applyFont="0"/>
    <xf numFmtId="310" fontId="2" fillId="145" borderId="122" applyFont="0"/>
    <xf numFmtId="310" fontId="2" fillId="145" borderId="122" applyFont="0"/>
    <xf numFmtId="3" fontId="208" fillId="0" borderId="133">
      <alignment vertical="center"/>
    </xf>
    <xf numFmtId="0" fontId="2" fillId="0" borderId="0" applyNumberFormat="0" applyFont="0" applyFill="0" applyBorder="0" applyAlignment="0" applyProtection="0"/>
    <xf numFmtId="0" fontId="10" fillId="0" borderId="0"/>
    <xf numFmtId="310" fontId="2" fillId="145" borderId="122" applyFont="0"/>
    <xf numFmtId="310" fontId="2" fillId="145" borderId="122" applyFont="0"/>
    <xf numFmtId="310" fontId="2" fillId="145" borderId="122" applyFont="0"/>
    <xf numFmtId="310" fontId="2" fillId="145"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145" borderId="122" applyFont="0">
      <alignment horizontal="right"/>
    </xf>
    <xf numFmtId="0" fontId="10" fillId="0" borderId="0"/>
    <xf numFmtId="9" fontId="2" fillId="145" borderId="122" applyFont="0">
      <alignment horizontal="right"/>
    </xf>
    <xf numFmtId="0" fontId="2" fillId="0" borderId="0" applyNumberFormat="0" applyFont="0" applyFill="0" applyBorder="0" applyAlignment="0" applyProtection="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17" fontId="2" fillId="146" borderId="122">
      <alignment vertical="center"/>
    </xf>
    <xf numFmtId="317" fontId="2" fillId="146" borderId="122">
      <alignment vertical="center"/>
    </xf>
    <xf numFmtId="317" fontId="2" fillId="146" borderId="122">
      <alignment vertical="center"/>
    </xf>
    <xf numFmtId="317" fontId="2" fillId="146" borderId="122">
      <alignment vertical="center"/>
    </xf>
    <xf numFmtId="317" fontId="2" fillId="146" borderId="122">
      <alignment vertical="center"/>
    </xf>
    <xf numFmtId="310" fontId="2" fillId="93" borderId="122" applyFont="0">
      <alignment horizontal="right"/>
    </xf>
    <xf numFmtId="0" fontId="10" fillId="0" borderId="0"/>
    <xf numFmtId="310" fontId="2" fillId="93" borderId="122" applyFont="0">
      <alignment horizontal="right"/>
    </xf>
    <xf numFmtId="0" fontId="2" fillId="0" borderId="0" applyNumberFormat="0" applyFont="0" applyFill="0" applyBorder="0" applyAlignment="0" applyProtection="0"/>
    <xf numFmtId="310" fontId="2" fillId="93" borderId="122" applyFont="0">
      <alignment horizontal="right"/>
    </xf>
    <xf numFmtId="310" fontId="2" fillId="93" borderId="122" applyFont="0">
      <alignment horizontal="right"/>
    </xf>
    <xf numFmtId="310" fontId="2" fillId="93" borderId="122" applyFont="0">
      <alignment horizontal="right"/>
    </xf>
    <xf numFmtId="310"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10" fontId="2" fillId="93" borderId="122" applyFont="0">
      <alignment horizontal="right"/>
    </xf>
    <xf numFmtId="310" fontId="2" fillId="93" borderId="122" applyFont="0">
      <alignment horizontal="right"/>
    </xf>
    <xf numFmtId="310" fontId="2" fillId="93" borderId="122" applyFont="0">
      <alignment horizontal="right"/>
    </xf>
    <xf numFmtId="310"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 fontId="2" fillId="93" borderId="122" applyFont="0">
      <alignment horizontal="right"/>
    </xf>
    <xf numFmtId="0" fontId="10" fillId="0" borderId="0"/>
    <xf numFmtId="1" fontId="2" fillId="93" borderId="122" applyFont="0">
      <alignment horizontal="right"/>
    </xf>
    <xf numFmtId="0" fontId="2" fillId="0" borderId="0" applyNumberFormat="0" applyFont="0" applyFill="0" applyBorder="0" applyAlignment="0" applyProtection="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0" fontId="2" fillId="93" borderId="122" applyFont="0"/>
    <xf numFmtId="0" fontId="10" fillId="0" borderId="0"/>
    <xf numFmtId="310" fontId="2" fillId="93" borderId="122" applyFont="0"/>
    <xf numFmtId="0" fontId="2" fillId="0" borderId="0" applyNumberFormat="0" applyFont="0" applyFill="0" applyBorder="0" applyAlignment="0" applyProtection="0"/>
    <xf numFmtId="310" fontId="2" fillId="93" borderId="122" applyFont="0"/>
    <xf numFmtId="310" fontId="2" fillId="93" borderId="122" applyFont="0"/>
    <xf numFmtId="310" fontId="2" fillId="93" borderId="122" applyFont="0"/>
    <xf numFmtId="310"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310" fontId="2" fillId="93" borderId="122" applyFont="0"/>
    <xf numFmtId="310" fontId="2" fillId="93" borderId="122" applyFont="0"/>
    <xf numFmtId="310" fontId="2" fillId="93" borderId="122" applyFont="0"/>
    <xf numFmtId="310"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6" fontId="2" fillId="93" borderId="122" applyFont="0"/>
    <xf numFmtId="0" fontId="10" fillId="0" borderId="0"/>
    <xf numFmtId="266" fontId="2" fillId="93" borderId="122" applyFont="0"/>
    <xf numFmtId="0" fontId="2" fillId="0" borderId="0" applyNumberFormat="0" applyFont="0" applyFill="0" applyBorder="0" applyAlignment="0" applyProtection="0"/>
    <xf numFmtId="266" fontId="2" fillId="93" borderId="122" applyFont="0"/>
    <xf numFmtId="266" fontId="2" fillId="93" borderId="122" applyFont="0"/>
    <xf numFmtId="266" fontId="2" fillId="93" borderId="122" applyFont="0"/>
    <xf numFmtId="266"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266" fontId="2" fillId="93" borderId="122" applyFont="0"/>
    <xf numFmtId="266" fontId="2" fillId="93" borderId="122" applyFont="0"/>
    <xf numFmtId="266" fontId="2" fillId="93" borderId="122" applyFont="0"/>
    <xf numFmtId="266"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93" borderId="122" applyFont="0">
      <alignment horizontal="right"/>
    </xf>
    <xf numFmtId="0" fontId="10" fillId="0" borderId="0"/>
    <xf numFmtId="10" fontId="2" fillId="93" borderId="122" applyFont="0">
      <alignment horizontal="right"/>
    </xf>
    <xf numFmtId="0" fontId="2" fillId="0" borderId="0" applyNumberFormat="0" applyFont="0" applyFill="0" applyBorder="0" applyAlignment="0" applyProtection="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93" borderId="122" applyFont="0">
      <alignment horizontal="right"/>
    </xf>
    <xf numFmtId="0" fontId="10" fillId="0" borderId="0"/>
    <xf numFmtId="9" fontId="2" fillId="93" borderId="122" applyFont="0">
      <alignment horizontal="right"/>
    </xf>
    <xf numFmtId="0" fontId="2" fillId="0" borderId="0" applyNumberFormat="0" applyFont="0" applyFill="0" applyBorder="0" applyAlignment="0" applyProtection="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7" fontId="2" fillId="93" borderId="122" applyFont="0">
      <alignment horizontal="right"/>
    </xf>
    <xf numFmtId="0" fontId="10" fillId="0" borderId="0"/>
    <xf numFmtId="337" fontId="2" fillId="93" borderId="122" applyFont="0">
      <alignment horizontal="right"/>
    </xf>
    <xf numFmtId="0" fontId="2" fillId="0" borderId="0" applyNumberFormat="0" applyFont="0" applyFill="0" applyBorder="0" applyAlignment="0" applyProtection="0"/>
    <xf numFmtId="337" fontId="2" fillId="93" borderId="122" applyFont="0">
      <alignment horizontal="right"/>
    </xf>
    <xf numFmtId="337" fontId="2" fillId="93" borderId="122" applyFont="0">
      <alignment horizontal="right"/>
    </xf>
    <xf numFmtId="337" fontId="2" fillId="93" borderId="122" applyFont="0">
      <alignment horizontal="right"/>
    </xf>
    <xf numFmtId="337"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37" fontId="2" fillId="93" borderId="122" applyFont="0">
      <alignment horizontal="right"/>
    </xf>
    <xf numFmtId="337" fontId="2" fillId="93" borderId="122" applyFont="0">
      <alignment horizontal="right"/>
    </xf>
    <xf numFmtId="337" fontId="2" fillId="93" borderId="122" applyFont="0">
      <alignment horizontal="right"/>
    </xf>
    <xf numFmtId="337"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93" borderId="125"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5" applyFont="0">
      <alignment horizontal="right"/>
    </xf>
    <xf numFmtId="0" fontId="2" fillId="0" borderId="0" applyNumberFormat="0" applyFont="0" applyFill="0" applyBorder="0" applyAlignment="0" applyProtection="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93" borderId="122" applyFont="0">
      <alignment horizontal="center" wrapText="1"/>
      <protection locked="0"/>
    </xf>
    <xf numFmtId="0" fontId="10" fillId="0" borderId="0"/>
    <xf numFmtId="0" fontId="2" fillId="93" borderId="122" applyFont="0">
      <alignment horizontal="center" wrapText="1"/>
      <protection locked="0"/>
    </xf>
    <xf numFmtId="0" fontId="2" fillId="0" borderId="0" applyNumberFormat="0" applyFont="0" applyFill="0" applyBorder="0" applyAlignment="0" applyProtection="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93" borderId="122" applyFont="0"/>
    <xf numFmtId="0" fontId="10" fillId="0" borderId="0"/>
    <xf numFmtId="0" fontId="10" fillId="0" borderId="0"/>
    <xf numFmtId="3" fontId="208" fillId="0" borderId="133">
      <alignment vertical="center"/>
    </xf>
    <xf numFmtId="0" fontId="10" fillId="0" borderId="0"/>
    <xf numFmtId="0" fontId="10" fillId="0" borderId="0"/>
    <xf numFmtId="49" fontId="2" fillId="93" borderId="122" applyFont="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315" fillId="0" borderId="174" applyNumberFormat="0" applyAlignment="0" applyProtection="0"/>
    <xf numFmtId="0" fontId="316" fillId="0" borderId="17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4"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4" applyNumberFormat="0" applyProtection="0">
      <alignment horizontal="left" vertical="top"/>
    </xf>
    <xf numFmtId="0" fontId="319" fillId="0" borderId="124" applyNumberFormat="0" applyProtection="0">
      <alignment horizontal="left" vertical="top"/>
    </xf>
    <xf numFmtId="0" fontId="2" fillId="0" borderId="0" applyNumberFormat="0" applyFont="0" applyFill="0" applyBorder="0" applyAlignment="0" applyProtection="0"/>
    <xf numFmtId="0" fontId="319" fillId="0" borderId="124" applyNumberFormat="0" applyProtection="0">
      <alignment horizontal="right" vertical="top"/>
    </xf>
    <xf numFmtId="0" fontId="319" fillId="0" borderId="124" applyNumberFormat="0" applyProtection="0">
      <alignment horizontal="right" vertical="top"/>
    </xf>
    <xf numFmtId="0" fontId="319" fillId="0" borderId="124" applyNumberFormat="0" applyProtection="0">
      <alignment horizontal="right" vertical="top"/>
    </xf>
    <xf numFmtId="0" fontId="319" fillId="0" borderId="124" applyNumberFormat="0" applyProtection="0">
      <alignment horizontal="right" vertical="top"/>
    </xf>
    <xf numFmtId="0" fontId="319" fillId="0" borderId="124"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75" applyNumberFormat="0" applyFont="0" applyAlignment="0" applyProtection="0"/>
    <xf numFmtId="0" fontId="2" fillId="0" borderId="176" applyNumberFormat="0" applyFont="0" applyAlignment="0" applyProtection="0"/>
    <xf numFmtId="0" fontId="2" fillId="0" borderId="177" applyNumberFormat="0" applyFont="0" applyAlignment="0" applyProtection="0"/>
    <xf numFmtId="10" fontId="320" fillId="0" borderId="0" applyNumberFormat="0" applyFill="0" applyBorder="0" applyProtection="0">
      <alignment horizontal="right" vertical="top"/>
    </xf>
    <xf numFmtId="0" fontId="316" fillId="0" borderId="124" applyNumberFormat="0" applyFill="0" applyAlignment="0" applyProtection="0"/>
    <xf numFmtId="0" fontId="316" fillId="0" borderId="124" applyNumberFormat="0" applyFill="0" applyAlignment="0" applyProtection="0"/>
    <xf numFmtId="0" fontId="316" fillId="0" borderId="124" applyNumberFormat="0" applyFill="0" applyAlignment="0" applyProtection="0"/>
    <xf numFmtId="0" fontId="316" fillId="0" borderId="124" applyNumberFormat="0" applyFill="0" applyAlignment="0" applyProtection="0"/>
    <xf numFmtId="0" fontId="316" fillId="0" borderId="124" applyNumberFormat="0" applyFill="0" applyAlignment="0" applyProtection="0"/>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6" fillId="0" borderId="106" applyNumberFormat="0" applyFill="0" applyAlignment="0" applyProtection="0">
      <alignment vertical="top"/>
    </xf>
    <xf numFmtId="0" fontId="316" fillId="0" borderId="106" applyNumberFormat="0" applyFill="0" applyAlignment="0" applyProtection="0">
      <alignment vertical="top"/>
    </xf>
    <xf numFmtId="355"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83" fontId="321" fillId="0" borderId="10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0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65"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lignment horizontal="centerContinuous"/>
    </xf>
    <xf numFmtId="0" fontId="10" fillId="0" borderId="0"/>
    <xf numFmtId="0" fontId="10" fillId="0" borderId="0"/>
    <xf numFmtId="3" fontId="208" fillId="0" borderId="133">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7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26"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57" fontId="327" fillId="0" borderId="0">
      <protection locked="0"/>
    </xf>
    <xf numFmtId="357"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38" fillId="0" borderId="39" applyNumberFormat="0" applyFill="0" applyAlignment="0" applyProtection="0"/>
    <xf numFmtId="0" fontId="10" fillId="0" borderId="0"/>
    <xf numFmtId="0" fontId="10" fillId="0" borderId="0"/>
    <xf numFmtId="0" fontId="10" fillId="0" borderId="0"/>
    <xf numFmtId="0" fontId="39" fillId="0" borderId="40" applyNumberFormat="0" applyFill="0" applyAlignment="0" applyProtection="0"/>
    <xf numFmtId="0" fontId="10" fillId="0" borderId="0"/>
    <xf numFmtId="0" fontId="10" fillId="0" borderId="0"/>
    <xf numFmtId="0" fontId="10" fillId="0" borderId="0"/>
    <xf numFmtId="0" fontId="40" fillId="0" borderId="41"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101"/>
    <xf numFmtId="0" fontId="10" fillId="0" borderId="0"/>
    <xf numFmtId="0" fontId="330" fillId="0" borderId="101"/>
    <xf numFmtId="0" fontId="10" fillId="0" borderId="0"/>
    <xf numFmtId="0" fontId="330" fillId="0" borderId="101"/>
    <xf numFmtId="0" fontId="10" fillId="0" borderId="0"/>
    <xf numFmtId="0" fontId="330" fillId="0" borderId="101"/>
    <xf numFmtId="0" fontId="330" fillId="0" borderId="101"/>
    <xf numFmtId="252" fontId="252" fillId="0" borderId="0"/>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3" fontId="208" fillId="0" borderId="133">
      <alignment vertical="center"/>
    </xf>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38" fontId="200" fillId="0" borderId="180">
      <alignment horizontal="right"/>
    </xf>
    <xf numFmtId="0" fontId="271" fillId="0" borderId="18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81" applyProtection="0">
      <alignment horizontal="center"/>
    </xf>
    <xf numFmtId="0" fontId="271" fillId="0" borderId="181" applyProtection="0">
      <alignment horizontal="center"/>
    </xf>
    <xf numFmtId="0" fontId="271" fillId="0" borderId="181" applyProtection="0">
      <alignment horizontal="center"/>
    </xf>
    <xf numFmtId="0" fontId="271" fillId="0" borderId="181" applyProtection="0">
      <alignment horizont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3" fillId="69" borderId="0">
      <alignment horizontal="center"/>
    </xf>
    <xf numFmtId="0" fontId="103" fillId="69" borderId="0">
      <alignment horizontal="center"/>
    </xf>
    <xf numFmtId="3" fontId="208" fillId="0" borderId="133">
      <alignment vertical="center"/>
    </xf>
    <xf numFmtId="0" fontId="331" fillId="104" borderId="0" applyNumberFormat="0" applyBorder="0"/>
    <xf numFmtId="0" fontId="184" fillId="0" borderId="182" applyNumberFormat="0" applyFont="0" applyFill="0" applyAlignment="0"/>
    <xf numFmtId="0" fontId="332" fillId="0" borderId="12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78" fillId="0" borderId="58" applyNumberFormat="0" applyBorder="0">
      <protection locked="0"/>
    </xf>
    <xf numFmtId="37" fontId="333" fillId="111" borderId="0"/>
    <xf numFmtId="37" fontId="159" fillId="150" borderId="122" applyNumberFormat="0" applyAlignment="0" applyProtection="0"/>
    <xf numFmtId="0" fontId="2" fillId="0" borderId="0" applyNumberFormat="0" applyFont="0" applyFill="0" applyBorder="0" applyAlignment="0" applyProtection="0"/>
    <xf numFmtId="37" fontId="159" fillId="150" borderId="122" applyNumberFormat="0" applyAlignment="0" applyProtection="0"/>
    <xf numFmtId="37" fontId="159" fillId="150" borderId="122" applyNumberFormat="0" applyAlignment="0" applyProtection="0"/>
    <xf numFmtId="37" fontId="159" fillId="150" borderId="122" applyNumberFormat="0" applyAlignment="0" applyProtection="0"/>
    <xf numFmtId="37" fontId="159" fillId="150" borderId="122" applyNumberFormat="0" applyAlignment="0" applyProtection="0"/>
    <xf numFmtId="3" fontId="208" fillId="0" borderId="133">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7"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06">
      <alignment horizontal="center"/>
    </xf>
    <xf numFmtId="43" fontId="2" fillId="0" borderId="0" applyNumberFormat="0" applyFont="0" applyBorder="0" applyAlignment="0">
      <protection locked="0"/>
    </xf>
    <xf numFmtId="2" fontId="333" fillId="111" borderId="0" applyNumberFormat="0" applyFill="0" applyBorder="0" applyAlignment="0" applyProtection="0"/>
    <xf numFmtId="358"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10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2"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44" fontId="2" fillId="0" borderId="0"/>
    <xf numFmtId="2" fontId="232" fillId="69" borderId="122"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171" fontId="338" fillId="69" borderId="65">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360" fontId="2" fillId="0" borderId="0" applyFont="0" applyFill="0" applyBorder="0" applyAlignment="0" applyProtection="0"/>
    <xf numFmtId="361" fontId="253" fillId="0" borderId="0">
      <protection locked="0"/>
    </xf>
    <xf numFmtId="0" fontId="10" fillId="0" borderId="0"/>
    <xf numFmtId="0" fontId="10" fillId="0" borderId="0"/>
    <xf numFmtId="0" fontId="10" fillId="0" borderId="0"/>
    <xf numFmtId="0" fontId="24" fillId="64" borderId="37" applyNumberFormat="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40" fillId="74" borderId="10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33">
      <alignment vertical="center"/>
    </xf>
    <xf numFmtId="0" fontId="308" fillId="0" borderId="0" applyProtection="0">
      <alignment horizontal="center"/>
    </xf>
    <xf numFmtId="0" fontId="10" fillId="0" borderId="0"/>
    <xf numFmtId="3" fontId="208" fillId="0" borderId="133">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33">
      <alignment vertical="center"/>
    </xf>
    <xf numFmtId="0" fontId="45" fillId="0" borderId="0" applyNumberFormat="0" applyFill="0" applyBorder="0" applyProtection="0">
      <alignment horizontal="left"/>
    </xf>
    <xf numFmtId="337"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63" fontId="103" fillId="0" borderId="0"/>
    <xf numFmtId="363" fontId="103" fillId="0" borderId="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45" fillId="0" borderId="183" applyNumberFormat="0"/>
    <xf numFmtId="14" fontId="159" fillId="0" borderId="0" applyFont="0" applyFill="0" applyBorder="0" applyProtection="0"/>
    <xf numFmtId="16" fontId="159" fillId="0" borderId="0" applyFont="0" applyFill="0" applyBorder="0" applyProtection="0"/>
    <xf numFmtId="3" fontId="208" fillId="0" borderId="133">
      <alignment vertical="center"/>
    </xf>
    <xf numFmtId="364" fontId="342" fillId="0" borderId="10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14" fontId="344" fillId="0" borderId="0" applyFont="0" applyFill="0" applyBorder="0" applyAlignment="0" applyProtection="0"/>
    <xf numFmtId="215" fontId="344" fillId="0" borderId="0" applyFont="0" applyFill="0" applyBorder="0" applyAlignment="0" applyProtection="0"/>
    <xf numFmtId="213" fontId="344" fillId="0" borderId="0" applyFont="0" applyFill="0" applyBorder="0" applyAlignment="0" applyProtection="0"/>
    <xf numFmtId="216"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200" fontId="9" fillId="0" borderId="0" applyFont="0" applyFill="0" applyBorder="0" applyAlignment="0" applyProtection="0"/>
    <xf numFmtId="199" fontId="9" fillId="0" borderId="0" applyFont="0" applyFill="0" applyBorder="0" applyAlignment="0" applyProtection="0"/>
    <xf numFmtId="0" fontId="345" fillId="0" borderId="0" applyNumberFormat="0" applyFill="0" applyBorder="0" applyAlignment="0" applyProtection="0"/>
    <xf numFmtId="3" fontId="2" fillId="74" borderId="190" applyFont="0">
      <alignment horizontal="right" vertical="center"/>
      <protection locked="0"/>
    </xf>
    <xf numFmtId="0" fontId="45" fillId="69" borderId="186" applyFont="0" applyBorder="0">
      <alignment horizontal="center" wrapText="1"/>
    </xf>
    <xf numFmtId="0" fontId="146" fillId="69" borderId="189" applyNumberFormat="0" applyFill="0" applyBorder="0" applyAlignment="0" applyProtection="0">
      <alignment horizontal="left"/>
    </xf>
    <xf numFmtId="0" fontId="1" fillId="0" borderId="0"/>
    <xf numFmtId="0" fontId="173" fillId="0" borderId="194"/>
    <xf numFmtId="250" fontId="175" fillId="0" borderId="195"/>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253"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253" fontId="178" fillId="107" borderId="190" applyNumberFormat="0" applyFill="0" applyBorder="0" applyAlignment="0" applyProtection="0"/>
    <xf numFmtId="0"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0" fontId="178" fillId="107" borderId="190" applyNumberFormat="0" applyFill="0" applyBorder="0" applyAlignment="0" applyProtection="0"/>
    <xf numFmtId="0" fontId="182" fillId="108" borderId="196" applyNumberFormat="0" applyAlignment="0" applyProtection="0"/>
    <xf numFmtId="0" fontId="182" fillId="108" borderId="196" applyNumberFormat="0" applyAlignment="0" applyProtection="0"/>
    <xf numFmtId="258" fontId="103" fillId="0" borderId="196" applyNumberFormat="0" applyFont="0" applyFill="0" applyAlignment="0">
      <alignment vertical="center"/>
    </xf>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258" fontId="103" fillId="0" borderId="196" applyNumberFormat="0" applyFont="0" applyFill="0" applyAlignment="0">
      <alignment vertical="center"/>
    </xf>
    <xf numFmtId="0" fontId="103" fillId="0" borderId="196" applyNumberFormat="0" applyFont="0" applyFill="0"/>
    <xf numFmtId="258" fontId="103" fillId="0" borderId="196" applyNumberFormat="0" applyFont="0" applyFill="0" applyAlignment="0">
      <alignment vertical="center"/>
    </xf>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200" fillId="0" borderId="185" applyNumberFormat="0" applyFont="0" applyFill="0" applyAlignment="0" applyProtection="0"/>
    <xf numFmtId="0" fontId="148" fillId="0" borderId="189" applyNumberFormat="0" applyFont="0" applyFill="0" applyAlignment="0" applyProtection="0"/>
    <xf numFmtId="0" fontId="148" fillId="0" borderId="189" applyNumberFormat="0" applyFont="0" applyFill="0" applyAlignment="0" applyProtection="0"/>
    <xf numFmtId="0" fontId="148" fillId="0" borderId="189" applyNumberFormat="0" applyFont="0" applyFill="0" applyAlignment="0" applyProtection="0"/>
    <xf numFmtId="0" fontId="148" fillId="0" borderId="194" applyNumberFormat="0" applyFont="0" applyFill="0" applyAlignment="0" applyProtection="0"/>
    <xf numFmtId="0" fontId="148" fillId="0" borderId="194"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259" fontId="2" fillId="0" borderId="195">
      <alignment horizontal="left"/>
    </xf>
    <xf numFmtId="259" fontId="2" fillId="0" borderId="195">
      <alignment horizontal="left"/>
    </xf>
    <xf numFmtId="259" fontId="2" fillId="0" borderId="195">
      <alignment horizontal="left"/>
    </xf>
    <xf numFmtId="259" fontId="2" fillId="0" borderId="195">
      <alignment horizontal="left"/>
    </xf>
    <xf numFmtId="259" fontId="2" fillId="0" borderId="195">
      <alignment horizontal="left"/>
    </xf>
    <xf numFmtId="259" fontId="2" fillId="0" borderId="195">
      <alignment horizontal="left"/>
    </xf>
    <xf numFmtId="259" fontId="2" fillId="0" borderId="195">
      <alignment horizontal="left"/>
    </xf>
    <xf numFmtId="259" fontId="2" fillId="0" borderId="195">
      <alignment horizontal="left"/>
    </xf>
    <xf numFmtId="3" fontId="45" fillId="41" borderId="189">
      <protection hidden="1"/>
    </xf>
    <xf numFmtId="0" fontId="203" fillId="0" borderId="189" applyBorder="0"/>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vertical="center"/>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207" fontId="208"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19" fillId="0" borderId="197" applyNumberFormat="0" applyFill="0" applyBorder="0" applyAlignment="0" applyProtection="0">
      <alignment horizontal="center"/>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73" fontId="161" fillId="0" borderId="0" applyFont="0" applyFill="0" applyBorder="0" applyAlignment="0" applyProtection="0">
      <alignment horizontal="righ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0" fontId="231" fillId="120" borderId="190" applyNumberFormat="0" applyBorder="0" applyAlignment="0">
      <alignment horizontal="center"/>
      <protection locked="0"/>
    </xf>
    <xf numFmtId="0" fontId="231" fillId="120" borderId="190" applyNumberFormat="0" applyBorder="0" applyAlignment="0">
      <alignment horizontal="center"/>
      <protection locked="0"/>
    </xf>
    <xf numFmtId="3" fontId="232" fillId="121" borderId="197" applyNumberFormat="0" applyBorder="0" applyAlignment="0" applyProtection="0">
      <protection hidden="1"/>
    </xf>
    <xf numFmtId="287" fontId="2" fillId="0" borderId="0" applyFont="0" applyFill="0" applyBorder="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45" fillId="113" borderId="192" applyAlignment="0" applyProtection="0"/>
    <xf numFmtId="0" fontId="45" fillId="113" borderId="192" applyAlignment="0" applyProtection="0"/>
    <xf numFmtId="0" fontId="45" fillId="113" borderId="192" applyAlignment="0" applyProtection="0"/>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37" fillId="0" borderId="192">
      <alignment horizontal="left" vertical="center"/>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0" borderId="0" applyNumberFormat="0" applyFont="0" applyFill="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2" fontId="232" fillId="129" borderId="195" applyNumberFormat="0" applyBorder="0" applyAlignment="0" applyProtection="0">
      <alignment horizontal="center"/>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49" fontId="2" fillId="71" borderId="190" applyFont="0" applyAlignment="0">
      <protection locked="0"/>
    </xf>
    <xf numFmtId="49" fontId="2" fillId="71" borderId="190" applyFont="0" applyAlignment="0">
      <protection locked="0"/>
    </xf>
    <xf numFmtId="323" fontId="159" fillId="0" borderId="195" applyBorder="0"/>
    <xf numFmtId="259" fontId="227" fillId="96" borderId="195" applyBorder="0"/>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2" fontId="232" fillId="107" borderId="190" applyNumberFormat="0" applyBorder="0" applyAlignment="0">
      <protection locked="0"/>
    </xf>
    <xf numFmtId="3" fontId="208" fillId="0" borderId="133">
      <alignment vertical="center"/>
    </xf>
    <xf numFmtId="37" fontId="200" fillId="0" borderId="0" applyNumberFormat="0" applyFill="0" applyAlignment="0"/>
    <xf numFmtId="0" fontId="282" fillId="104" borderId="191">
      <alignment horizontal="center" vertical="top" wrapText="1"/>
    </xf>
    <xf numFmtId="0" fontId="282" fillId="104" borderId="191">
      <alignment horizontal="center" vertical="top" wrapText="1"/>
    </xf>
    <xf numFmtId="0" fontId="282" fillId="104" borderId="191">
      <alignment horizontal="center" vertical="top" wrapText="1"/>
    </xf>
    <xf numFmtId="0" fontId="282" fillId="104" borderId="191">
      <alignment horizontal="center" vertical="top" wrapText="1"/>
    </xf>
    <xf numFmtId="0" fontId="2" fillId="0" borderId="192"/>
    <xf numFmtId="0" fontId="2" fillId="0" borderId="192"/>
    <xf numFmtId="0" fontId="2" fillId="0" borderId="192"/>
    <xf numFmtId="0" fontId="2" fillId="0" borderId="192"/>
    <xf numFmtId="0" fontId="45" fillId="70" borderId="186"/>
    <xf numFmtId="0" fontId="45" fillId="70" borderId="186"/>
    <xf numFmtId="0" fontId="45" fillId="70" borderId="186"/>
    <xf numFmtId="0" fontId="45" fillId="70" borderId="186"/>
    <xf numFmtId="0" fontId="45" fillId="0" borderId="187"/>
    <xf numFmtId="0" fontId="45" fillId="0" borderId="187"/>
    <xf numFmtId="0" fontId="45" fillId="0" borderId="187"/>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0" fontId="282" fillId="132" borderId="191">
      <alignment horizontal="center" vertical="top"/>
    </xf>
    <xf numFmtId="0" fontId="282" fillId="132" borderId="191">
      <alignment horizontal="center" vertical="top"/>
    </xf>
    <xf numFmtId="0" fontId="45" fillId="0" borderId="186"/>
    <xf numFmtId="0" fontId="45" fillId="0" borderId="186"/>
    <xf numFmtId="0" fontId="45" fillId="0" borderId="186"/>
    <xf numFmtId="0" fontId="45" fillId="0" borderId="186"/>
    <xf numFmtId="0" fontId="2" fillId="0" borderId="191"/>
    <xf numFmtId="0" fontId="2" fillId="0" borderId="191"/>
    <xf numFmtId="0" fontId="2" fillId="0" borderId="191"/>
    <xf numFmtId="0" fontId="2" fillId="0" borderId="191"/>
    <xf numFmtId="0" fontId="2" fillId="0" borderId="191"/>
    <xf numFmtId="0" fontId="283" fillId="70" borderId="197"/>
    <xf numFmtId="0" fontId="283" fillId="70" borderId="197"/>
    <xf numFmtId="0" fontId="2" fillId="0" borderId="187">
      <alignment horizontal="center"/>
    </xf>
    <xf numFmtId="0" fontId="2" fillId="0" borderId="187">
      <alignment horizontal="center"/>
    </xf>
    <xf numFmtId="0" fontId="2" fillId="0" borderId="187">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93">
      <alignment horizontal="center"/>
    </xf>
    <xf numFmtId="0" fontId="2" fillId="0" borderId="193">
      <alignment horizontal="center"/>
    </xf>
    <xf numFmtId="0" fontId="282" fillId="132" borderId="191">
      <alignment horizontal="center" vertical="top" wrapText="1"/>
    </xf>
    <xf numFmtId="0" fontId="282" fillId="132" borderId="191">
      <alignment horizontal="center" vertical="top" wrapText="1"/>
    </xf>
    <xf numFmtId="0" fontId="282" fillId="132" borderId="191">
      <alignment horizontal="center" vertical="top" wrapText="1"/>
    </xf>
    <xf numFmtId="0" fontId="282" fillId="132" borderId="191">
      <alignment horizontal="center" vertical="top" wrapText="1"/>
    </xf>
    <xf numFmtId="3" fontId="2" fillId="0" borderId="192"/>
    <xf numFmtId="3" fontId="2" fillId="0" borderId="192"/>
    <xf numFmtId="3" fontId="2" fillId="0" borderId="192"/>
    <xf numFmtId="3" fontId="2" fillId="0" borderId="192"/>
    <xf numFmtId="0" fontId="45" fillId="70" borderId="186">
      <alignment horizontal="center"/>
    </xf>
    <xf numFmtId="0" fontId="45" fillId="70" borderId="186">
      <alignment horizontal="center"/>
    </xf>
    <xf numFmtId="0" fontId="45" fillId="70" borderId="186">
      <alignment horizontal="center"/>
    </xf>
    <xf numFmtId="0" fontId="45" fillId="70" borderId="186">
      <alignment horizontal="center"/>
    </xf>
    <xf numFmtId="0" fontId="45" fillId="70" borderId="192">
      <alignment horizontal="center"/>
    </xf>
    <xf numFmtId="0" fontId="45" fillId="70" borderId="192">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87">
      <alignment horizontal="left" vertical="top"/>
    </xf>
    <xf numFmtId="0" fontId="45" fillId="70" borderId="187">
      <alignment horizontal="left" vertical="top"/>
    </xf>
    <xf numFmtId="0" fontId="45" fillId="70" borderId="187">
      <alignment horizontal="left" vertical="top"/>
    </xf>
    <xf numFmtId="0" fontId="282" fillId="132" borderId="192">
      <alignment horizontal="center" vertical="center"/>
    </xf>
    <xf numFmtId="0" fontId="282" fillId="132" borderId="192">
      <alignment horizontal="center" vertical="center"/>
    </xf>
    <xf numFmtId="0" fontId="282" fillId="132" borderId="191">
      <alignment horizontal="center" vertical="center"/>
    </xf>
    <xf numFmtId="0" fontId="282" fillId="132" borderId="191">
      <alignment horizontal="center" vertical="center"/>
    </xf>
    <xf numFmtId="0" fontId="282" fillId="132" borderId="191">
      <alignment horizontal="center" vertical="center"/>
    </xf>
    <xf numFmtId="0" fontId="282" fillId="132" borderId="191">
      <alignment horizontal="center" vertical="center"/>
    </xf>
    <xf numFmtId="0" fontId="282" fillId="104" borderId="186">
      <alignment horizontal="center" vertical="center"/>
    </xf>
    <xf numFmtId="0" fontId="282" fillId="104" borderId="186">
      <alignment horizontal="center" vertical="center"/>
    </xf>
    <xf numFmtId="0" fontId="282" fillId="104" borderId="186">
      <alignment horizontal="center" vertical="center"/>
    </xf>
    <xf numFmtId="0" fontId="282" fillId="104" borderId="186">
      <alignment horizontal="center" vertical="center"/>
    </xf>
    <xf numFmtId="0" fontId="282" fillId="104" borderId="192">
      <alignment horizontal="center" vertical="center"/>
    </xf>
    <xf numFmtId="0" fontId="282" fillId="104" borderId="192">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 fillId="0" borderId="188"/>
    <xf numFmtId="0" fontId="2" fillId="0" borderId="188"/>
    <xf numFmtId="0" fontId="2" fillId="0" borderId="188"/>
    <xf numFmtId="0" fontId="2" fillId="0" borderId="188"/>
    <xf numFmtId="0" fontId="2" fillId="0" borderId="193"/>
    <xf numFmtId="0" fontId="2" fillId="0" borderId="193"/>
    <xf numFmtId="0" fontId="2" fillId="0" borderId="0" applyNumberFormat="0" applyFont="0" applyFill="0" applyBorder="0" applyAlignment="0" applyProtection="0"/>
    <xf numFmtId="0" fontId="285" fillId="0" borderId="195"/>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337" fontId="2" fillId="74" borderId="190" applyFont="0">
      <alignment horizontal="right" vertical="center"/>
      <protection locked="0"/>
    </xf>
    <xf numFmtId="337" fontId="2" fillId="74" borderId="190" applyFont="0">
      <alignment horizontal="right" vertical="center"/>
      <protection locked="0"/>
    </xf>
    <xf numFmtId="337" fontId="2" fillId="74" borderId="190" applyFont="0">
      <alignment horizontal="right" vertical="center"/>
      <protection locked="0"/>
    </xf>
    <xf numFmtId="337" fontId="2" fillId="74" borderId="190" applyFont="0">
      <alignment horizontal="right" vertical="center"/>
      <protection locked="0"/>
    </xf>
    <xf numFmtId="337" fontId="2" fillId="74" borderId="190" applyFont="0">
      <alignment horizontal="right" vertical="center"/>
      <protection locked="0"/>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179" fontId="232" fillId="134" borderId="195" applyNumberFormat="0" applyBorder="0" applyAlignment="0" applyProtection="0">
      <alignment horizontal="center"/>
      <protection hidden="1"/>
    </xf>
    <xf numFmtId="3" fontId="286" fillId="57" borderId="190" applyNumberFormat="0" applyBorder="0" applyAlignment="0" applyProtection="0">
      <protection hidden="1"/>
    </xf>
    <xf numFmtId="3" fontId="287" fillId="135" borderId="197" applyNumberFormat="0" applyBorder="0" applyAlignment="0" applyProtection="0">
      <protection hidden="1"/>
    </xf>
    <xf numFmtId="0" fontId="19" fillId="131" borderId="195" applyNumberFormat="0" applyFont="0" applyBorder="0" applyAlignment="0" applyProtection="0">
      <alignment horizontal="center"/>
    </xf>
    <xf numFmtId="0" fontId="19" fillId="131"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59" fillId="0" borderId="198" applyNumberFormat="0" applyAlignment="0" applyProtection="0"/>
    <xf numFmtId="0" fontId="10" fillId="0" borderId="0"/>
    <xf numFmtId="0" fontId="46" fillId="69" borderId="189">
      <alignment horizontal="center"/>
    </xf>
    <xf numFmtId="0" fontId="41" fillId="0" borderId="185">
      <alignment horizontal="center"/>
    </xf>
    <xf numFmtId="0" fontId="45" fillId="92" borderId="189" applyNumberFormat="0" applyBorder="0" applyAlignment="0"/>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0" fontId="296" fillId="45" borderId="190"/>
    <xf numFmtId="0" fontId="2" fillId="0" borderId="199">
      <alignment vertical="center"/>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 fontId="2" fillId="69" borderId="190" applyFont="0">
      <alignment horizontal="right"/>
    </xf>
    <xf numFmtId="3" fontId="2" fillId="69" borderId="190" applyFont="0">
      <alignment horizontal="right"/>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 fontId="2" fillId="68" borderId="192" applyBorder="0"/>
    <xf numFmtId="3" fontId="2" fillId="68" borderId="192" applyBorder="0"/>
    <xf numFmtId="3" fontId="2" fillId="68" borderId="192" applyBorder="0"/>
    <xf numFmtId="3" fontId="2" fillId="68" borderId="192" applyBorder="0"/>
    <xf numFmtId="3" fontId="2" fillId="68" borderId="192" applyBorder="0"/>
    <xf numFmtId="2" fontId="312" fillId="0" borderId="195" applyNumberFormat="0" applyFill="0" applyBorder="0" applyAlignment="0" applyProtection="0">
      <alignment horizontal="center"/>
      <protection locked="0"/>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49" fontId="2" fillId="144" borderId="190" applyFont="0"/>
    <xf numFmtId="49" fontId="2" fillId="144"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317" fontId="2" fillId="146" borderId="190">
      <alignment vertical="center"/>
    </xf>
    <xf numFmtId="317" fontId="2" fillId="146" borderId="190">
      <alignment vertical="center"/>
    </xf>
    <xf numFmtId="317" fontId="2" fillId="146" borderId="190">
      <alignment vertical="center"/>
    </xf>
    <xf numFmtId="317" fontId="2" fillId="146" borderId="190">
      <alignment vertical="center"/>
    </xf>
    <xf numFmtId="317" fontId="2" fillId="146" borderId="190">
      <alignment vertical="center"/>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49" fontId="2" fillId="93" borderId="190" applyFont="0"/>
    <xf numFmtId="49" fontId="2" fillId="93" borderId="190" applyFont="0"/>
    <xf numFmtId="0" fontId="319" fillId="0" borderId="192" applyNumberFormat="0" applyProtection="0">
      <alignment horizontal="left" vertical="top"/>
    </xf>
    <xf numFmtId="0" fontId="319" fillId="0" borderId="192" applyNumberFormat="0" applyProtection="0">
      <alignment horizontal="left" vertical="top"/>
    </xf>
    <xf numFmtId="0" fontId="319" fillId="0" borderId="192" applyNumberFormat="0" applyProtection="0">
      <alignment horizontal="lef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54" fillId="0" borderId="189" applyFill="0" applyBorder="0" applyProtection="0">
      <alignment horizontal="left" vertical="top"/>
    </xf>
    <xf numFmtId="0" fontId="184" fillId="131" borderId="201" applyNumberFormat="0" applyFont="0">
      <alignment horizontal="center" vertical="center"/>
    </xf>
    <xf numFmtId="356" fontId="45" fillId="68" borderId="197" applyNumberFormat="0" applyBorder="0" applyAlignment="0">
      <alignment horizontal="right"/>
    </xf>
    <xf numFmtId="0" fontId="330" fillId="0" borderId="187"/>
    <xf numFmtId="0" fontId="330" fillId="0" borderId="187"/>
    <xf numFmtId="0" fontId="330" fillId="0" borderId="187"/>
    <xf numFmtId="0" fontId="330" fillId="0" borderId="187"/>
    <xf numFmtId="0" fontId="330" fillId="0" borderId="187"/>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332" fillId="0" borderId="197" applyNumberFormat="0" applyFill="0" applyBorder="0" applyAlignment="0" applyProtection="0">
      <alignment horizontal="center"/>
      <protection locked="0"/>
    </xf>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2" fontId="232" fillId="69" borderId="190" applyBorder="0" applyAlignment="0"/>
    <xf numFmtId="171" fontId="338" fillId="69" borderId="189">
      <alignment horizontal="center"/>
    </xf>
    <xf numFmtId="0" fontId="345" fillId="0" borderId="0" applyNumberFormat="0" applyFill="0" applyBorder="0" applyAlignment="0" applyProtection="0"/>
    <xf numFmtId="0" fontId="1" fillId="0" borderId="0"/>
    <xf numFmtId="0" fontId="1" fillId="0" borderId="0"/>
  </cellStyleXfs>
  <cellXfs count="900">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6" xfId="0" applyFont="1" applyBorder="1" applyAlignment="1">
      <alignment horizontal="right" vertical="center" wrapText="1"/>
    </xf>
    <xf numFmtId="0" fontId="2" fillId="0" borderId="14" xfId="0" applyFont="1" applyBorder="1" applyAlignment="1">
      <alignment vertical="center" wrapText="1"/>
    </xf>
    <xf numFmtId="0" fontId="2" fillId="0" borderId="16"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7"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7" fillId="0" borderId="0" xfId="0" applyFont="1" applyBorder="1"/>
    <xf numFmtId="0" fontId="46" fillId="0" borderId="0" xfId="0" applyFont="1" applyFill="1" applyAlignment="1">
      <alignment horizontal="center"/>
    </xf>
    <xf numFmtId="0" fontId="84" fillId="0" borderId="16" xfId="0" applyFont="1" applyBorder="1" applyAlignment="1">
      <alignment horizontal="center" vertical="center" wrapText="1"/>
    </xf>
    <xf numFmtId="0" fontId="84" fillId="0" borderId="3" xfId="0" applyFont="1" applyFill="1" applyBorder="1" applyAlignment="1">
      <alignment vertical="center" wrapText="1"/>
    </xf>
    <xf numFmtId="0" fontId="84" fillId="0" borderId="19" xfId="0" applyFont="1" applyBorder="1" applyAlignment="1">
      <alignment horizontal="center" vertical="center" wrapText="1"/>
    </xf>
    <xf numFmtId="0" fontId="86" fillId="0" borderId="20"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3" xfId="0" applyFont="1" applyBorder="1"/>
    <xf numFmtId="0" fontId="2" fillId="0" borderId="16" xfId="0" applyFont="1" applyBorder="1" applyAlignment="1">
      <alignment vertical="center"/>
    </xf>
    <xf numFmtId="0" fontId="2" fillId="0" borderId="8" xfId="0" applyFont="1" applyBorder="1" applyAlignment="1">
      <alignment wrapText="1"/>
    </xf>
    <xf numFmtId="0" fontId="85" fillId="0" borderId="0" xfId="0" applyFont="1" applyAlignment="1">
      <alignment wrapText="1"/>
    </xf>
    <xf numFmtId="0" fontId="2" fillId="0" borderId="18" xfId="0" applyFont="1" applyBorder="1" applyAlignment="1"/>
    <xf numFmtId="0" fontId="2" fillId="0" borderId="18" xfId="0" applyFont="1" applyBorder="1" applyAlignment="1">
      <alignment wrapText="1"/>
    </xf>
    <xf numFmtId="0" fontId="2" fillId="0" borderId="19" xfId="0" applyFont="1" applyBorder="1"/>
    <xf numFmtId="0" fontId="2" fillId="0" borderId="22" xfId="0" applyFont="1" applyBorder="1" applyAlignment="1">
      <alignment wrapText="1"/>
    </xf>
    <xf numFmtId="0" fontId="84" fillId="0" borderId="35"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4" xfId="11" applyFont="1" applyFill="1" applyBorder="1" applyAlignment="1" applyProtection="1">
      <alignment horizontal="center" vertical="center"/>
    </xf>
    <xf numFmtId="0" fontId="45" fillId="0" borderId="15"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6"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3"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0" fontId="2" fillId="3" borderId="15" xfId="2" applyNumberFormat="1" applyFont="1" applyFill="1" applyBorder="1" applyAlignment="1" applyProtection="1">
      <alignment horizontal="center" vertical="center"/>
      <protection locked="0"/>
    </xf>
    <xf numFmtId="0" fontId="2" fillId="0" borderId="16"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7" fontId="2" fillId="35" borderId="17"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7" fontId="2" fillId="3" borderId="17"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7" fontId="2" fillId="35" borderId="17"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7" fontId="2" fillId="3" borderId="17"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6"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7" fontId="2" fillId="35" borderId="17"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0" xfId="13" applyFont="1" applyFill="1" applyBorder="1" applyAlignment="1" applyProtection="1">
      <alignment vertical="center" wrapText="1"/>
      <protection locked="0"/>
    </xf>
    <xf numFmtId="197" fontId="2" fillId="35" borderId="21"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5" xfId="0" applyFont="1" applyFill="1" applyBorder="1" applyAlignment="1">
      <alignment horizontal="center" vertical="center" wrapText="1"/>
    </xf>
    <xf numFmtId="0" fontId="84" fillId="0" borderId="6" xfId="0" applyFont="1" applyFill="1" applyBorder="1" applyAlignment="1">
      <alignment horizontal="center" vertical="center" wrapText="1"/>
    </xf>
    <xf numFmtId="173" fontId="85" fillId="0" borderId="0" xfId="0" applyNumberFormat="1" applyFont="1" applyBorder="1" applyAlignment="1">
      <alignment horizontal="center"/>
    </xf>
    <xf numFmtId="173" fontId="90" fillId="0" borderId="0" xfId="0" applyNumberFormat="1" applyFont="1" applyBorder="1" applyAlignment="1">
      <alignment horizontal="center"/>
    </xf>
    <xf numFmtId="173" fontId="88" fillId="0" borderId="0" xfId="0" applyNumberFormat="1" applyFont="1" applyFill="1" applyBorder="1" applyAlignment="1">
      <alignment horizontal="center"/>
    </xf>
    <xf numFmtId="0" fontId="84" fillId="0" borderId="16" xfId="0" applyFont="1" applyBorder="1" applyAlignment="1">
      <alignment vertical="center"/>
    </xf>
    <xf numFmtId="197" fontId="84" fillId="0" borderId="3" xfId="0" applyNumberFormat="1" applyFont="1" applyBorder="1" applyAlignment="1"/>
    <xf numFmtId="0" fontId="87" fillId="0" borderId="0" xfId="0" applyFont="1" applyAlignment="1"/>
    <xf numFmtId="0" fontId="2" fillId="3" borderId="19" xfId="9" applyFont="1" applyFill="1" applyBorder="1" applyAlignment="1" applyProtection="1">
      <alignment horizontal="left" vertical="center"/>
      <protection locked="0"/>
    </xf>
    <xf numFmtId="0" fontId="45" fillId="3" borderId="20" xfId="16" applyFont="1" applyFill="1" applyBorder="1" applyAlignment="1" applyProtection="1">
      <protection locked="0"/>
    </xf>
    <xf numFmtId="197" fontId="84" fillId="35" borderId="20" xfId="0" applyNumberFormat="1" applyFont="1" applyFill="1" applyBorder="1"/>
    <xf numFmtId="0" fontId="86" fillId="0" borderId="0" xfId="0" applyFont="1" applyAlignment="1">
      <alignment horizontal="center"/>
    </xf>
    <xf numFmtId="0" fontId="84" fillId="0" borderId="13" xfId="0" applyFont="1" applyBorder="1"/>
    <xf numFmtId="0" fontId="84" fillId="0" borderId="15" xfId="0" applyFont="1" applyBorder="1"/>
    <xf numFmtId="0" fontId="84" fillId="0" borderId="17" xfId="0" applyFont="1" applyBorder="1" applyAlignment="1">
      <alignment horizontal="center" vertical="center"/>
    </xf>
    <xf numFmtId="170" fontId="2" fillId="3" borderId="16" xfId="1" applyNumberFormat="1" applyFont="1" applyFill="1" applyBorder="1" applyAlignment="1" applyProtection="1">
      <alignment horizontal="center" vertical="center" wrapText="1"/>
      <protection locked="0"/>
    </xf>
    <xf numFmtId="170" fontId="2" fillId="3" borderId="3" xfId="1" applyNumberFormat="1" applyFont="1" applyFill="1" applyBorder="1" applyAlignment="1" applyProtection="1">
      <alignment horizontal="center" vertical="center" wrapText="1"/>
      <protection locked="0"/>
    </xf>
    <xf numFmtId="170" fontId="2" fillId="3" borderId="17" xfId="1" applyNumberFormat="1" applyFont="1" applyFill="1" applyBorder="1" applyAlignment="1" applyProtection="1">
      <alignment horizontal="center" vertical="center" wrapText="1"/>
      <protection locked="0"/>
    </xf>
    <xf numFmtId="0" fontId="2" fillId="3" borderId="16" xfId="5" applyFont="1" applyFill="1" applyBorder="1" applyAlignment="1" applyProtection="1">
      <alignment horizontal="right" vertical="center"/>
      <protection locked="0"/>
    </xf>
    <xf numFmtId="197" fontId="84" fillId="0" borderId="16" xfId="0" applyNumberFormat="1" applyFont="1" applyBorder="1" applyAlignment="1"/>
    <xf numFmtId="197" fontId="84" fillId="0" borderId="17" xfId="0" applyNumberFormat="1" applyFont="1" applyBorder="1" applyAlignment="1"/>
    <xf numFmtId="197" fontId="84" fillId="35" borderId="49" xfId="0" applyNumberFormat="1" applyFont="1" applyFill="1" applyBorder="1" applyAlignment="1"/>
    <xf numFmtId="0" fontId="45" fillId="3" borderId="21" xfId="16" applyFont="1" applyFill="1" applyBorder="1" applyAlignment="1" applyProtection="1">
      <protection locked="0"/>
    </xf>
    <xf numFmtId="197" fontId="84" fillId="35" borderId="19" xfId="0" applyNumberFormat="1" applyFont="1" applyFill="1" applyBorder="1"/>
    <xf numFmtId="197" fontId="84" fillId="35" borderId="21" xfId="0" applyNumberFormat="1" applyFont="1" applyFill="1" applyBorder="1"/>
    <xf numFmtId="197" fontId="84" fillId="35" borderId="50" xfId="0" applyNumberFormat="1" applyFont="1" applyFill="1" applyBorder="1"/>
    <xf numFmtId="0" fontId="84" fillId="0" borderId="0" xfId="0" applyFont="1" applyBorder="1" applyAlignment="1">
      <alignment vertical="center"/>
    </xf>
    <xf numFmtId="0" fontId="84" fillId="0" borderId="14" xfId="0" applyFont="1" applyBorder="1"/>
    <xf numFmtId="0" fontId="87" fillId="0" borderId="0" xfId="0" applyFont="1" applyAlignment="1">
      <alignment wrapText="1"/>
    </xf>
    <xf numFmtId="0" fontId="84" fillId="0" borderId="16" xfId="0" applyFont="1" applyBorder="1"/>
    <xf numFmtId="0" fontId="84" fillId="0" borderId="3" xfId="0" applyFont="1" applyBorder="1"/>
    <xf numFmtId="0" fontId="84" fillId="0" borderId="58" xfId="0" applyFont="1" applyBorder="1" applyAlignment="1">
      <alignment wrapText="1"/>
    </xf>
    <xf numFmtId="0" fontId="84" fillId="0" borderId="19" xfId="0" applyFont="1" applyBorder="1"/>
    <xf numFmtId="0" fontId="86" fillId="0" borderId="20" xfId="0" applyFont="1" applyBorder="1"/>
    <xf numFmtId="0" fontId="2" fillId="0" borderId="3" xfId="13" applyFont="1" applyFill="1" applyBorder="1" applyAlignment="1" applyProtection="1">
      <alignment horizontal="center" vertical="center" wrapText="1"/>
      <protection locked="0"/>
    </xf>
    <xf numFmtId="0" fontId="45" fillId="0" borderId="23" xfId="0" applyNumberFormat="1" applyFont="1" applyFill="1" applyBorder="1" applyAlignment="1">
      <alignment vertical="center" wrapText="1"/>
    </xf>
    <xf numFmtId="0" fontId="89"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1"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0" xfId="0" applyFont="1" applyBorder="1" applyAlignment="1">
      <alignment vertical="center" wrapText="1"/>
    </xf>
    <xf numFmtId="0" fontId="2" fillId="0" borderId="13" xfId="11" applyFont="1" applyFill="1" applyBorder="1" applyAlignment="1" applyProtection="1">
      <alignment vertical="center"/>
    </xf>
    <xf numFmtId="0" fontId="2" fillId="0" borderId="14" xfId="11" applyFont="1" applyFill="1" applyBorder="1" applyAlignment="1" applyProtection="1">
      <alignment vertical="center"/>
    </xf>
    <xf numFmtId="197" fontId="86" fillId="35" borderId="20"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0" xfId="0" applyFont="1" applyFill="1" applyBorder="1" applyAlignment="1">
      <alignment wrapText="1"/>
    </xf>
    <xf numFmtId="0" fontId="84" fillId="0" borderId="13" xfId="0" applyFont="1" applyBorder="1" applyAlignment="1">
      <alignment horizontal="center" vertical="center"/>
    </xf>
    <xf numFmtId="197" fontId="84" fillId="35" borderId="15" xfId="0" applyNumberFormat="1" applyFont="1" applyFill="1" applyBorder="1" applyAlignment="1">
      <alignment horizontal="center" vertical="center"/>
    </xf>
    <xf numFmtId="0" fontId="84" fillId="0" borderId="0" xfId="0" applyFont="1" applyAlignment="1"/>
    <xf numFmtId="197" fontId="84" fillId="0" borderId="17" xfId="0" applyNumberFormat="1" applyFont="1" applyBorder="1" applyAlignment="1">
      <alignment wrapText="1"/>
    </xf>
    <xf numFmtId="197" fontId="84" fillId="35" borderId="21"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70" fontId="2" fillId="0" borderId="3" xfId="1" applyNumberFormat="1" applyFont="1" applyFill="1" applyBorder="1" applyAlignment="1" applyProtection="1">
      <alignment horizontal="center" vertical="center" wrapText="1"/>
      <protection locked="0"/>
    </xf>
    <xf numFmtId="0" fontId="84" fillId="0" borderId="13" xfId="0" applyFont="1" applyBorder="1" applyAlignment="1">
      <alignment horizontal="center" vertical="center" wrapText="1"/>
    </xf>
    <xf numFmtId="0" fontId="84" fillId="0" borderId="14" xfId="0" applyFont="1" applyFill="1" applyBorder="1" applyAlignment="1">
      <alignment horizontal="left" vertical="center" wrapText="1" indent="2"/>
    </xf>
    <xf numFmtId="0" fontId="92" fillId="0" borderId="0" xfId="11" applyFont="1" applyFill="1" applyBorder="1" applyAlignment="1" applyProtection="1"/>
    <xf numFmtId="0" fontId="93"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7" xfId="1" applyNumberFormat="1" applyFont="1" applyFill="1" applyBorder="1" applyAlignment="1" applyProtection="1">
      <alignment horizontal="center" vertical="center" wrapText="1"/>
      <protection locked="0"/>
    </xf>
    <xf numFmtId="0" fontId="3" fillId="0" borderId="51" xfId="0" applyFont="1" applyBorder="1"/>
    <xf numFmtId="0" fontId="3" fillId="0" borderId="52" xfId="0" applyFont="1" applyBorder="1"/>
    <xf numFmtId="0" fontId="3" fillId="0" borderId="14" xfId="0" applyFont="1" applyBorder="1" applyAlignment="1">
      <alignment horizontal="center" vertical="center"/>
    </xf>
    <xf numFmtId="0" fontId="3" fillId="0" borderId="24" xfId="0" applyFont="1" applyBorder="1" applyAlignment="1">
      <alignment horizontal="center" vertical="center"/>
    </xf>
    <xf numFmtId="0" fontId="3" fillId="0" borderId="15" xfId="0" applyFont="1" applyBorder="1" applyAlignment="1">
      <alignment horizontal="center" vertical="center"/>
    </xf>
    <xf numFmtId="0" fontId="95" fillId="0" borderId="0" xfId="0" applyFont="1"/>
    <xf numFmtId="0" fontId="3" fillId="0" borderId="58" xfId="0" applyFont="1" applyBorder="1"/>
    <xf numFmtId="197" fontId="84" fillId="0" borderId="18" xfId="0" applyNumberFormat="1" applyFont="1" applyBorder="1" applyAlignment="1"/>
    <xf numFmtId="0" fontId="3" fillId="0" borderId="0" xfId="0" applyFont="1"/>
    <xf numFmtId="0" fontId="3" fillId="0" borderId="14" xfId="0" applyFont="1" applyBorder="1" applyAlignment="1">
      <alignment wrapText="1"/>
    </xf>
    <xf numFmtId="0" fontId="3" fillId="0" borderId="24" xfId="0" applyFont="1" applyBorder="1" applyAlignment="1">
      <alignment wrapText="1"/>
    </xf>
    <xf numFmtId="0" fontId="3" fillId="0" borderId="15" xfId="0" applyFont="1" applyBorder="1" applyAlignment="1">
      <alignment wrapText="1"/>
    </xf>
    <xf numFmtId="0" fontId="3" fillId="0" borderId="3" xfId="0" applyFont="1" applyFill="1" applyBorder="1" applyAlignment="1">
      <alignment horizontal="center" vertical="center" wrapText="1"/>
    </xf>
    <xf numFmtId="197" fontId="3" fillId="0" borderId="3" xfId="0" applyNumberFormat="1" applyFont="1" applyBorder="1"/>
    <xf numFmtId="197" fontId="3" fillId="0" borderId="3" xfId="0" applyNumberFormat="1" applyFont="1" applyFill="1" applyBorder="1"/>
    <xf numFmtId="197" fontId="3" fillId="0" borderId="8" xfId="0" applyNumberFormat="1" applyFont="1" applyBorder="1"/>
    <xf numFmtId="197" fontId="3" fillId="35" borderId="20" xfId="0" applyNumberFormat="1" applyFont="1" applyFill="1" applyBorder="1"/>
    <xf numFmtId="9" fontId="3" fillId="35" borderId="21" xfId="20950" applyFont="1" applyFill="1" applyBorder="1"/>
    <xf numFmtId="0" fontId="86" fillId="0" borderId="0" xfId="0" applyFont="1" applyFill="1" applyBorder="1" applyAlignment="1">
      <alignment horizontal="center" wrapText="1"/>
    </xf>
    <xf numFmtId="173" fontId="84" fillId="0" borderId="3" xfId="0" applyNumberFormat="1" applyFont="1" applyBorder="1" applyAlignment="1"/>
    <xf numFmtId="173" fontId="84" fillId="35" borderId="20" xfId="0" applyNumberFormat="1" applyFont="1" applyFill="1" applyBorder="1"/>
    <xf numFmtId="0" fontId="84" fillId="0" borderId="0" xfId="0" applyFont="1" applyFill="1" applyBorder="1" applyAlignment="1">
      <alignment vertical="center" wrapText="1"/>
    </xf>
    <xf numFmtId="0" fontId="84" fillId="0" borderId="63" xfId="0" applyFont="1" applyFill="1" applyBorder="1" applyAlignment="1">
      <alignment vertical="center" wrapText="1"/>
    </xf>
    <xf numFmtId="0" fontId="84" fillId="0" borderId="16" xfId="0" applyFont="1" applyFill="1" applyBorder="1"/>
    <xf numFmtId="197" fontId="86" fillId="35" borderId="20"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1" xfId="0" applyFont="1" applyFill="1" applyBorder="1" applyAlignment="1">
      <alignment wrapText="1"/>
    </xf>
    <xf numFmtId="0" fontId="94" fillId="0" borderId="0" xfId="0" applyFont="1" applyAlignment="1">
      <alignment wrapText="1"/>
    </xf>
    <xf numFmtId="0" fontId="2" fillId="0" borderId="0" xfId="0" applyFont="1" applyAlignment="1">
      <alignment wrapText="1"/>
    </xf>
    <xf numFmtId="0" fontId="3" fillId="0" borderId="0" xfId="0" applyFont="1" applyFill="1"/>
    <xf numFmtId="0" fontId="97" fillId="3" borderId="73" xfId="0" applyFont="1" applyFill="1" applyBorder="1" applyAlignment="1">
      <alignment horizontal="left"/>
    </xf>
    <xf numFmtId="0" fontId="97" fillId="3" borderId="74" xfId="0" applyFont="1" applyFill="1" applyBorder="1" applyAlignment="1">
      <alignment horizontal="left"/>
    </xf>
    <xf numFmtId="0" fontId="4" fillId="3" borderId="77" xfId="0" applyFont="1" applyFill="1" applyBorder="1" applyAlignment="1">
      <alignment vertical="center"/>
    </xf>
    <xf numFmtId="0" fontId="3" fillId="3" borderId="78" xfId="0" applyFont="1" applyFill="1" applyBorder="1" applyAlignment="1">
      <alignment vertical="center"/>
    </xf>
    <xf numFmtId="0" fontId="3" fillId="3" borderId="79" xfId="0" applyFont="1" applyFill="1" applyBorder="1" applyAlignment="1">
      <alignment vertical="center"/>
    </xf>
    <xf numFmtId="0" fontId="3" fillId="0" borderId="62" xfId="0" applyFont="1" applyFill="1" applyBorder="1" applyAlignment="1">
      <alignment horizontal="center" vertical="center"/>
    </xf>
    <xf numFmtId="0" fontId="3" fillId="0" borderId="7" xfId="0" applyFont="1" applyFill="1" applyBorder="1" applyAlignment="1">
      <alignment vertical="center"/>
    </xf>
    <xf numFmtId="175" fontId="9" fillId="36" borderId="0" xfId="20" applyBorder="1"/>
    <xf numFmtId="0" fontId="3" fillId="0" borderId="16" xfId="0" applyFont="1" applyFill="1" applyBorder="1" applyAlignment="1">
      <alignment horizontal="center" vertical="center"/>
    </xf>
    <xf numFmtId="0" fontId="3" fillId="0" borderId="75" xfId="0" applyFont="1" applyFill="1" applyBorder="1" applyAlignment="1">
      <alignment vertical="center"/>
    </xf>
    <xf numFmtId="0" fontId="4" fillId="0" borderId="75" xfId="0" applyFont="1" applyFill="1" applyBorder="1" applyAlignment="1">
      <alignment vertical="center"/>
    </xf>
    <xf numFmtId="0" fontId="3" fillId="0" borderId="19" xfId="0" applyFont="1" applyFill="1" applyBorder="1" applyAlignment="1">
      <alignment horizontal="center" vertical="center"/>
    </xf>
    <xf numFmtId="0" fontId="4" fillId="0" borderId="20" xfId="0" applyFont="1" applyFill="1" applyBorder="1" applyAlignment="1">
      <alignment vertical="center"/>
    </xf>
    <xf numFmtId="0" fontId="3" fillId="3" borderId="58" xfId="0" applyFont="1" applyFill="1" applyBorder="1" applyAlignment="1">
      <alignment horizontal="center" vertical="center"/>
    </xf>
    <xf numFmtId="0" fontId="3" fillId="3" borderId="0" xfId="0" applyFont="1" applyFill="1" applyBorder="1" applyAlignment="1">
      <alignment vertical="center"/>
    </xf>
    <xf numFmtId="0" fontId="3" fillId="0" borderId="13" xfId="0" applyFont="1" applyFill="1" applyBorder="1" applyAlignment="1">
      <alignment horizontal="center" vertical="center"/>
    </xf>
    <xf numFmtId="0" fontId="3" fillId="0" borderId="14" xfId="0" applyFont="1" applyFill="1" applyBorder="1" applyAlignment="1">
      <alignment vertical="center"/>
    </xf>
    <xf numFmtId="175" fontId="9" fillId="36" borderId="52" xfId="20" applyBorder="1"/>
    <xf numFmtId="0" fontId="3" fillId="0" borderId="82" xfId="0" applyFont="1" applyFill="1" applyBorder="1" applyAlignment="1">
      <alignment horizontal="center" vertical="center"/>
    </xf>
    <xf numFmtId="0" fontId="3" fillId="0" borderId="83" xfId="0" applyFont="1" applyFill="1" applyBorder="1" applyAlignment="1">
      <alignment vertical="center"/>
    </xf>
    <xf numFmtId="175" fontId="9" fillId="36" borderId="22" xfId="20" applyBorder="1"/>
    <xf numFmtId="175" fontId="9" fillId="36" borderId="84" xfId="20" applyBorder="1"/>
    <xf numFmtId="175" fontId="9" fillId="36" borderId="23" xfId="20" applyBorder="1"/>
    <xf numFmtId="0" fontId="3" fillId="0" borderId="87" xfId="0" applyFont="1" applyFill="1" applyBorder="1" applyAlignment="1">
      <alignment horizontal="center" vertical="center"/>
    </xf>
    <xf numFmtId="0" fontId="3" fillId="0" borderId="88" xfId="0" applyFont="1" applyFill="1" applyBorder="1" applyAlignment="1">
      <alignment vertical="center"/>
    </xf>
    <xf numFmtId="175" fontId="9" fillId="36" borderId="28" xfId="20" applyBorder="1"/>
    <xf numFmtId="0" fontId="4" fillId="0" borderId="0" xfId="0" applyFont="1" applyFill="1" applyAlignment="1">
      <alignment horizontal="center"/>
    </xf>
    <xf numFmtId="0" fontId="86" fillId="0" borderId="75" xfId="0" applyFont="1" applyFill="1" applyBorder="1" applyAlignment="1">
      <alignment horizontal="center" vertical="center" wrapText="1"/>
    </xf>
    <xf numFmtId="0" fontId="86" fillId="0" borderId="76" xfId="0" applyFont="1" applyFill="1" applyBorder="1" applyAlignment="1">
      <alignment horizontal="center" vertical="center" wrapText="1"/>
    </xf>
    <xf numFmtId="0" fontId="92" fillId="0" borderId="0" xfId="11" applyFont="1" applyFill="1" applyBorder="1" applyProtection="1"/>
    <xf numFmtId="0" fontId="4" fillId="35" borderId="14" xfId="0" applyFont="1" applyFill="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left" vertical="center" wrapText="1"/>
    </xf>
    <xf numFmtId="0" fontId="4" fillId="35" borderId="76" xfId="0" applyFont="1" applyFill="1" applyBorder="1" applyAlignment="1">
      <alignment horizontal="left" vertical="center" wrapText="1"/>
    </xf>
    <xf numFmtId="0" fontId="3" fillId="0" borderId="16" xfId="0" applyFont="1" applyFill="1" applyBorder="1" applyAlignment="1">
      <alignment horizontal="right" vertical="center" wrapText="1"/>
    </xf>
    <xf numFmtId="0" fontId="98" fillId="0" borderId="16" xfId="0" applyFont="1" applyFill="1" applyBorder="1" applyAlignment="1">
      <alignment horizontal="right" vertical="center" wrapText="1"/>
    </xf>
    <xf numFmtId="0" fontId="4" fillId="0" borderId="16"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8" fillId="0" borderId="0" xfId="0" applyFont="1" applyFill="1" applyAlignment="1">
      <alignment horizontal="left" vertical="center"/>
    </xf>
    <xf numFmtId="49" fontId="99" fillId="0" borderId="19" xfId="5" applyNumberFormat="1" applyFont="1" applyFill="1" applyBorder="1" applyAlignment="1" applyProtection="1">
      <alignment horizontal="left" vertical="center"/>
      <protection locked="0"/>
    </xf>
    <xf numFmtId="0" fontId="100" fillId="0" borderId="20" xfId="9" applyFont="1" applyFill="1" applyBorder="1" applyAlignment="1" applyProtection="1">
      <alignment horizontal="left" vertical="center" wrapText="1"/>
      <protection locked="0"/>
    </xf>
    <xf numFmtId="0" fontId="84" fillId="0" borderId="75" xfId="0" applyFont="1" applyBorder="1" applyAlignment="1">
      <alignment vertical="center" wrapText="1"/>
    </xf>
    <xf numFmtId="14" fontId="2" fillId="3" borderId="75" xfId="8" quotePrefix="1" applyNumberFormat="1" applyFont="1" applyFill="1" applyBorder="1" applyAlignment="1" applyProtection="1">
      <alignment horizontal="left"/>
      <protection locked="0"/>
    </xf>
    <xf numFmtId="3" fontId="101" fillId="35" borderId="76" xfId="0" applyNumberFormat="1" applyFont="1" applyFill="1" applyBorder="1" applyAlignment="1">
      <alignment vertical="center" wrapText="1"/>
    </xf>
    <xf numFmtId="3" fontId="101" fillId="35" borderId="20" xfId="0" applyNumberFormat="1" applyFont="1" applyFill="1" applyBorder="1" applyAlignment="1">
      <alignment vertical="center" wrapText="1"/>
    </xf>
    <xf numFmtId="3" fontId="101" fillId="35" borderId="21" xfId="0" applyNumberFormat="1" applyFont="1" applyFill="1" applyBorder="1" applyAlignment="1">
      <alignment vertical="center" wrapText="1"/>
    </xf>
    <xf numFmtId="0" fontId="6" fillId="0" borderId="75" xfId="17" applyFill="1" applyBorder="1" applyAlignment="1" applyProtection="1"/>
    <xf numFmtId="49" fontId="84" fillId="0" borderId="75"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8" fillId="0" borderId="94" xfId="0" applyFont="1" applyFill="1" applyBorder="1" applyAlignment="1">
      <alignment horizontal="left" vertical="center" wrapText="1"/>
    </xf>
    <xf numFmtId="10" fontId="94" fillId="0" borderId="94" xfId="20950" applyNumberFormat="1" applyFont="1" applyFill="1" applyBorder="1" applyAlignment="1">
      <alignment horizontal="left" vertical="center" wrapText="1"/>
    </xf>
    <xf numFmtId="10" fontId="3" fillId="0" borderId="94" xfId="20950" applyNumberFormat="1" applyFont="1" applyFill="1" applyBorder="1" applyAlignment="1">
      <alignment horizontal="left" vertical="center" wrapText="1"/>
    </xf>
    <xf numFmtId="10" fontId="4" fillId="35" borderId="94" xfId="0" applyNumberFormat="1" applyFont="1" applyFill="1" applyBorder="1" applyAlignment="1">
      <alignment horizontal="left" vertical="center" wrapText="1"/>
    </xf>
    <xf numFmtId="10" fontId="98" fillId="0" borderId="94" xfId="20950" applyNumberFormat="1" applyFont="1" applyFill="1" applyBorder="1" applyAlignment="1">
      <alignment horizontal="left" vertical="center" wrapText="1"/>
    </xf>
    <xf numFmtId="10" fontId="4" fillId="35" borderId="94" xfId="20950" applyNumberFormat="1" applyFont="1" applyFill="1" applyBorder="1" applyAlignment="1">
      <alignment horizontal="left" vertical="center" wrapText="1"/>
    </xf>
    <xf numFmtId="10" fontId="4" fillId="35" borderId="94" xfId="0" applyNumberFormat="1" applyFont="1" applyFill="1" applyBorder="1" applyAlignment="1">
      <alignment horizontal="center" vertical="center" wrapText="1"/>
    </xf>
    <xf numFmtId="10" fontId="100" fillId="0" borderId="20" xfId="20950" applyNumberFormat="1" applyFont="1" applyFill="1" applyBorder="1" applyAlignment="1" applyProtection="1">
      <alignment horizontal="left" vertical="center"/>
    </xf>
    <xf numFmtId="0" fontId="4" fillId="35" borderId="94" xfId="0" applyFont="1" applyFill="1" applyBorder="1" applyAlignment="1">
      <alignment horizontal="left" vertical="center" wrapText="1"/>
    </xf>
    <xf numFmtId="0" fontId="3" fillId="0" borderId="94" xfId="0" applyFont="1" applyFill="1" applyBorder="1" applyAlignment="1">
      <alignment horizontal="left" vertical="center" wrapText="1"/>
    </xf>
    <xf numFmtId="0" fontId="4" fillId="35" borderId="77" xfId="0" applyFont="1" applyFill="1" applyBorder="1" applyAlignment="1">
      <alignment vertical="center" wrapText="1"/>
    </xf>
    <xf numFmtId="0" fontId="4" fillId="35" borderId="93" xfId="0" applyFont="1" applyFill="1" applyBorder="1" applyAlignment="1">
      <alignment vertical="center" wrapText="1"/>
    </xf>
    <xf numFmtId="0" fontId="4" fillId="35" borderId="64" xfId="0" applyFont="1" applyFill="1" applyBorder="1" applyAlignment="1">
      <alignment vertical="center" wrapText="1"/>
    </xf>
    <xf numFmtId="0" fontId="4" fillId="35" borderId="27" xfId="0" applyFont="1" applyFill="1" applyBorder="1" applyAlignment="1">
      <alignment vertical="center" wrapText="1"/>
    </xf>
    <xf numFmtId="0" fontId="84" fillId="0" borderId="94" xfId="0" applyFont="1" applyBorder="1"/>
    <xf numFmtId="0" fontId="6" fillId="0" borderId="94" xfId="17" applyFill="1" applyBorder="1" applyAlignment="1" applyProtection="1">
      <alignment horizontal="left" vertical="center"/>
    </xf>
    <xf numFmtId="0" fontId="6" fillId="0" borderId="94" xfId="17" applyBorder="1" applyAlignment="1" applyProtection="1"/>
    <xf numFmtId="0" fontId="84" fillId="0" borderId="94" xfId="0" applyFont="1" applyFill="1" applyBorder="1"/>
    <xf numFmtId="0" fontId="6" fillId="0" borderId="94" xfId="17" applyFill="1" applyBorder="1" applyAlignment="1" applyProtection="1">
      <alignment horizontal="left" vertical="center" wrapText="1"/>
    </xf>
    <xf numFmtId="0" fontId="6" fillId="0" borderId="94" xfId="17" applyFill="1" applyBorder="1" applyAlignment="1" applyProtection="1"/>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3" fontId="101" fillId="35" borderId="94" xfId="0" applyNumberFormat="1" applyFont="1" applyFill="1" applyBorder="1" applyAlignment="1">
      <alignment vertical="center" wrapText="1"/>
    </xf>
    <xf numFmtId="3" fontId="101" fillId="35" borderId="95" xfId="0" applyNumberFormat="1" applyFont="1" applyFill="1" applyBorder="1" applyAlignment="1">
      <alignment vertical="center" wrapText="1"/>
    </xf>
    <xf numFmtId="3" fontId="101" fillId="35" borderId="22" xfId="0" applyNumberFormat="1" applyFont="1" applyFill="1" applyBorder="1" applyAlignment="1">
      <alignment vertical="center" wrapText="1"/>
    </xf>
    <xf numFmtId="3" fontId="101" fillId="35" borderId="79" xfId="0" applyNumberFormat="1" applyFont="1" applyFill="1" applyBorder="1" applyAlignment="1">
      <alignment vertical="center" wrapText="1"/>
    </xf>
    <xf numFmtId="3" fontId="101" fillId="35" borderId="35" xfId="0" applyNumberFormat="1" applyFont="1" applyFill="1" applyBorder="1" applyAlignment="1">
      <alignment vertical="center" wrapText="1"/>
    </xf>
    <xf numFmtId="0" fontId="2" fillId="0" borderId="14" xfId="0" applyNumberFormat="1" applyFont="1" applyFill="1" applyBorder="1" applyAlignment="1">
      <alignment horizontal="left" vertical="center" wrapText="1" indent="1"/>
    </xf>
    <xf numFmtId="0" fontId="2" fillId="0" borderId="15" xfId="0" applyNumberFormat="1" applyFont="1" applyFill="1" applyBorder="1" applyAlignment="1">
      <alignment horizontal="left" vertical="center" wrapText="1" indent="1"/>
    </xf>
    <xf numFmtId="14" fontId="2" fillId="0" borderId="0" xfId="0" applyNumberFormat="1" applyFont="1"/>
    <xf numFmtId="175" fontId="2" fillId="36" borderId="0" xfId="20" applyFont="1" applyBorder="1"/>
    <xf numFmtId="175" fontId="2" fillId="36" borderId="91" xfId="20" applyFont="1" applyBorder="1"/>
    <xf numFmtId="0" fontId="2" fillId="0" borderId="16" xfId="0" applyFont="1" applyFill="1" applyBorder="1" applyAlignment="1">
      <alignment horizontal="right" vertical="center" wrapText="1"/>
    </xf>
    <xf numFmtId="0" fontId="2" fillId="2" borderId="16" xfId="0" applyFont="1" applyFill="1" applyBorder="1" applyAlignment="1">
      <alignment horizontal="right" vertical="center"/>
    </xf>
    <xf numFmtId="0" fontId="45" fillId="0" borderId="16" xfId="0" applyFont="1" applyFill="1" applyBorder="1" applyAlignment="1">
      <alignment horizontal="center" vertical="center" wrapText="1"/>
    </xf>
    <xf numFmtId="0" fontId="2" fillId="2" borderId="19"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1" xfId="0" applyFont="1" applyFill="1" applyBorder="1"/>
    <xf numFmtId="0" fontId="3" fillId="3" borderId="97" xfId="0" applyFont="1" applyFill="1" applyBorder="1" applyAlignment="1">
      <alignment wrapText="1"/>
    </xf>
    <xf numFmtId="0" fontId="3" fillId="3" borderId="98" xfId="0" applyFont="1" applyFill="1" applyBorder="1"/>
    <xf numFmtId="0" fontId="4" fillId="3" borderId="70" xfId="0" applyFont="1" applyFill="1" applyBorder="1" applyAlignment="1">
      <alignment horizontal="center" wrapText="1"/>
    </xf>
    <xf numFmtId="0" fontId="3" fillId="0" borderId="94" xfId="0" applyFont="1" applyFill="1" applyBorder="1" applyAlignment="1">
      <alignment horizontal="center"/>
    </xf>
    <xf numFmtId="0" fontId="3" fillId="0" borderId="94" xfId="0" applyFont="1" applyBorder="1" applyAlignment="1">
      <alignment horizontal="center"/>
    </xf>
    <xf numFmtId="0" fontId="3" fillId="3" borderId="58"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1" xfId="0" applyFont="1" applyFill="1" applyBorder="1" applyAlignment="1">
      <alignment horizontal="center" vertical="center" wrapText="1"/>
    </xf>
    <xf numFmtId="0" fontId="3" fillId="0" borderId="16" xfId="0" applyFont="1" applyBorder="1"/>
    <xf numFmtId="0" fontId="3" fillId="0" borderId="94" xfId="0" applyFont="1" applyBorder="1" applyAlignment="1">
      <alignment wrapText="1"/>
    </xf>
    <xf numFmtId="0" fontId="97" fillId="0" borderId="94" xfId="0" applyFont="1" applyBorder="1" applyAlignment="1">
      <alignment horizontal="left" wrapText="1" indent="2"/>
    </xf>
    <xf numFmtId="0" fontId="4" fillId="0" borderId="16" xfId="0" applyFont="1" applyBorder="1"/>
    <xf numFmtId="0" fontId="4" fillId="0" borderId="94" xfId="0" applyFont="1" applyBorder="1" applyAlignment="1">
      <alignment wrapText="1"/>
    </xf>
    <xf numFmtId="0" fontId="107" fillId="3" borderId="58" xfId="0" applyFont="1" applyFill="1" applyBorder="1" applyAlignment="1">
      <alignment horizontal="left"/>
    </xf>
    <xf numFmtId="0" fontId="107" fillId="3" borderId="0" xfId="0" applyFont="1" applyFill="1" applyBorder="1" applyAlignment="1">
      <alignment horizontal="center"/>
    </xf>
    <xf numFmtId="170" fontId="3" fillId="3" borderId="0" xfId="7" applyNumberFormat="1" applyFont="1" applyFill="1" applyBorder="1"/>
    <xf numFmtId="170" fontId="3" fillId="3" borderId="0" xfId="7" applyNumberFormat="1" applyFont="1" applyFill="1" applyBorder="1" applyAlignment="1">
      <alignment vertical="center"/>
    </xf>
    <xf numFmtId="170" fontId="3" fillId="3" borderId="91" xfId="7" applyNumberFormat="1" applyFont="1" applyFill="1" applyBorder="1"/>
    <xf numFmtId="0" fontId="97" fillId="0" borderId="94"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1" xfId="0" applyFont="1" applyFill="1" applyBorder="1"/>
    <xf numFmtId="0" fontId="4" fillId="0" borderId="19" xfId="0" applyFont="1" applyBorder="1"/>
    <xf numFmtId="0" fontId="4" fillId="0" borderId="20" xfId="0" applyFont="1" applyBorder="1" applyAlignment="1">
      <alignment wrapText="1"/>
    </xf>
    <xf numFmtId="0" fontId="2" fillId="2" borderId="82" xfId="0" applyFont="1" applyFill="1" applyBorder="1" applyAlignment="1">
      <alignment horizontal="right" vertical="center"/>
    </xf>
    <xf numFmtId="0" fontId="2" fillId="0" borderId="92" xfId="0" applyFont="1" applyBorder="1" applyAlignment="1">
      <alignment vertical="center" wrapText="1"/>
    </xf>
    <xf numFmtId="0" fontId="108" fillId="0" borderId="0" xfId="11" applyFont="1" applyFill="1" applyBorder="1" applyProtection="1"/>
    <xf numFmtId="0" fontId="108" fillId="0" borderId="0" xfId="11" applyFont="1" applyFill="1" applyBorder="1" applyAlignment="1" applyProtection="1"/>
    <xf numFmtId="0" fontId="110" fillId="0" borderId="0" xfId="11" applyFont="1" applyFill="1" applyBorder="1" applyAlignment="1" applyProtection="1"/>
    <xf numFmtId="0" fontId="109" fillId="0" borderId="0" xfId="0" applyFont="1" applyFill="1"/>
    <xf numFmtId="0" fontId="111" fillId="0" borderId="63" xfId="0" applyNumberFormat="1" applyFont="1" applyFill="1" applyBorder="1" applyAlignment="1">
      <alignment horizontal="left" vertical="center" wrapText="1"/>
    </xf>
    <xf numFmtId="0" fontId="6" fillId="0" borderId="109" xfId="17" applyBorder="1" applyAlignment="1" applyProtection="1"/>
    <xf numFmtId="0" fontId="109" fillId="0" borderId="0" xfId="0" applyFont="1" applyFill="1" applyAlignment="1">
      <alignment horizontal="left" vertical="top" wrapText="1"/>
    </xf>
    <xf numFmtId="197" fontId="2" fillId="3" borderId="76" xfId="2" applyNumberFormat="1" applyFont="1" applyFill="1" applyBorder="1" applyAlignment="1" applyProtection="1">
      <alignment vertical="top" wrapText="1"/>
      <protection locked="0"/>
    </xf>
    <xf numFmtId="0" fontId="0" fillId="0" borderId="109" xfId="0" applyBorder="1" applyAlignment="1">
      <alignment horizontal="center"/>
    </xf>
    <xf numFmtId="0" fontId="120" fillId="3" borderId="109" xfId="20954" applyFont="1" applyFill="1" applyBorder="1" applyAlignment="1">
      <alignment horizontal="left" vertical="center" wrapText="1"/>
    </xf>
    <xf numFmtId="0" fontId="121" fillId="0" borderId="109" xfId="20954" applyFont="1" applyFill="1" applyBorder="1" applyAlignment="1">
      <alignment horizontal="left" vertical="center" wrapText="1" indent="1"/>
    </xf>
    <xf numFmtId="0" fontId="122" fillId="3" borderId="119" xfId="0" applyFont="1" applyFill="1" applyBorder="1" applyAlignment="1">
      <alignment horizontal="left" vertical="center" wrapText="1"/>
    </xf>
    <xf numFmtId="0" fontId="121" fillId="3" borderId="109" xfId="20954" applyFont="1" applyFill="1" applyBorder="1" applyAlignment="1">
      <alignment horizontal="left" vertical="center" wrapText="1" indent="1"/>
    </xf>
    <xf numFmtId="0" fontId="120" fillId="0" borderId="119" xfId="0" applyFont="1" applyFill="1" applyBorder="1" applyAlignment="1">
      <alignment horizontal="left" vertical="center" wrapText="1"/>
    </xf>
    <xf numFmtId="0" fontId="122" fillId="0" borderId="119" xfId="0" applyFont="1" applyFill="1" applyBorder="1" applyAlignment="1">
      <alignment horizontal="left" vertical="center" wrapText="1"/>
    </xf>
    <xf numFmtId="0" fontId="122" fillId="0" borderId="119" xfId="0" applyFont="1" applyFill="1" applyBorder="1" applyAlignment="1">
      <alignment vertical="center" wrapText="1"/>
    </xf>
    <xf numFmtId="0" fontId="123" fillId="0" borderId="119" xfId="0" applyFont="1" applyFill="1" applyBorder="1" applyAlignment="1">
      <alignment horizontal="left" vertical="center" wrapText="1" indent="1"/>
    </xf>
    <xf numFmtId="0" fontId="123" fillId="3" borderId="119" xfId="0" applyFont="1" applyFill="1" applyBorder="1" applyAlignment="1">
      <alignment horizontal="left" vertical="center" wrapText="1" indent="1"/>
    </xf>
    <xf numFmtId="0" fontId="122" fillId="3" borderId="120" xfId="0" applyFont="1" applyFill="1" applyBorder="1" applyAlignment="1">
      <alignment horizontal="left" vertical="center" wrapText="1"/>
    </xf>
    <xf numFmtId="0" fontId="123" fillId="0" borderId="109" xfId="20954" applyFont="1" applyFill="1" applyBorder="1" applyAlignment="1">
      <alignment horizontal="left" vertical="center" wrapText="1" indent="1"/>
    </xf>
    <xf numFmtId="0" fontId="122" fillId="0" borderId="109" xfId="0" applyFont="1" applyFill="1" applyBorder="1" applyAlignment="1">
      <alignment horizontal="left" vertical="center" wrapText="1"/>
    </xf>
    <xf numFmtId="0" fontId="124" fillId="0" borderId="109" xfId="20954" applyFont="1" applyFill="1" applyBorder="1" applyAlignment="1">
      <alignment horizontal="center" vertical="center" wrapText="1"/>
    </xf>
    <xf numFmtId="0" fontId="122" fillId="3" borderId="121" xfId="0" applyFont="1" applyFill="1" applyBorder="1" applyAlignment="1">
      <alignment horizontal="left" vertical="center" wrapText="1"/>
    </xf>
    <xf numFmtId="0" fontId="0" fillId="0" borderId="122" xfId="0" applyBorder="1" applyAlignment="1">
      <alignment horizontal="center"/>
    </xf>
    <xf numFmtId="0" fontId="121" fillId="3" borderId="122" xfId="20954" applyFont="1" applyFill="1" applyBorder="1" applyAlignment="1">
      <alignment horizontal="left" vertical="center" wrapText="1" indent="1"/>
    </xf>
    <xf numFmtId="0" fontId="121" fillId="3" borderId="119" xfId="0" applyFont="1" applyFill="1" applyBorder="1" applyAlignment="1">
      <alignment horizontal="left" vertical="center" wrapText="1" indent="1"/>
    </xf>
    <xf numFmtId="0" fontId="121" fillId="0" borderId="122" xfId="20954" applyFont="1" applyFill="1" applyBorder="1" applyAlignment="1">
      <alignment horizontal="left" vertical="center" wrapText="1" indent="1"/>
    </xf>
    <xf numFmtId="0" fontId="122" fillId="0" borderId="122" xfId="20954" applyFont="1" applyFill="1" applyBorder="1" applyAlignment="1">
      <alignment horizontal="left" vertical="center" wrapText="1"/>
    </xf>
    <xf numFmtId="0" fontId="122" fillId="0" borderId="122" xfId="0" applyFont="1" applyFill="1" applyBorder="1" applyAlignment="1">
      <alignment vertical="center" wrapText="1"/>
    </xf>
    <xf numFmtId="0" fontId="124" fillId="0" borderId="122" xfId="20954" applyFont="1" applyFill="1" applyBorder="1" applyAlignment="1">
      <alignment horizontal="center" vertical="center" wrapText="1"/>
    </xf>
    <xf numFmtId="0" fontId="122" fillId="3" borderId="122" xfId="20954" applyFont="1" applyFill="1" applyBorder="1" applyAlignment="1">
      <alignment horizontal="left" vertical="center" wrapText="1"/>
    </xf>
    <xf numFmtId="0" fontId="122" fillId="0" borderId="122" xfId="0" applyFont="1" applyFill="1" applyBorder="1" applyAlignment="1">
      <alignment horizontal="left" vertical="center" wrapText="1"/>
    </xf>
    <xf numFmtId="0" fontId="2" fillId="0" borderId="122" xfId="0" applyFont="1" applyFill="1" applyBorder="1" applyAlignment="1" applyProtection="1">
      <alignment horizontal="center" vertical="center" wrapText="1"/>
    </xf>
    <xf numFmtId="0" fontId="0" fillId="0" borderId="122" xfId="0" applyBorder="1" applyAlignment="1">
      <alignment horizontal="center" vertical="center"/>
    </xf>
    <xf numFmtId="0" fontId="122" fillId="0" borderId="127" xfId="0" applyFont="1" applyFill="1" applyBorder="1" applyAlignment="1">
      <alignment horizontal="justify" vertical="center" wrapText="1"/>
    </xf>
    <xf numFmtId="0" fontId="121" fillId="0" borderId="119" xfId="0" applyFont="1" applyFill="1" applyBorder="1" applyAlignment="1">
      <alignment horizontal="left" vertical="center" wrapText="1" indent="1"/>
    </xf>
    <xf numFmtId="0" fontId="121" fillId="0" borderId="120" xfId="0" applyFont="1" applyFill="1" applyBorder="1" applyAlignment="1">
      <alignment horizontal="left" vertical="center" wrapText="1" indent="1"/>
    </xf>
    <xf numFmtId="0" fontId="122" fillId="0" borderId="119" xfId="0" applyFont="1" applyFill="1" applyBorder="1" applyAlignment="1">
      <alignment horizontal="justify" vertical="center" wrapText="1"/>
    </xf>
    <xf numFmtId="0" fontId="120" fillId="0" borderId="119" xfId="0" applyFont="1" applyFill="1" applyBorder="1" applyAlignment="1">
      <alignment horizontal="justify" vertical="center" wrapText="1"/>
    </xf>
    <xf numFmtId="0" fontId="122" fillId="3" borderId="119" xfId="0" applyFont="1" applyFill="1" applyBorder="1" applyAlignment="1">
      <alignment horizontal="justify" vertical="center" wrapText="1"/>
    </xf>
    <xf numFmtId="0" fontId="122" fillId="0" borderId="120" xfId="0" applyFont="1" applyFill="1" applyBorder="1" applyAlignment="1">
      <alignment horizontal="justify" vertical="center" wrapText="1"/>
    </xf>
    <xf numFmtId="0" fontId="122" fillId="0" borderId="121" xfId="0" applyFont="1" applyFill="1" applyBorder="1" applyAlignment="1">
      <alignment horizontal="justify" vertical="center" wrapText="1"/>
    </xf>
    <xf numFmtId="0" fontId="120" fillId="0" borderId="119" xfId="0" applyFont="1" applyFill="1" applyBorder="1" applyAlignment="1">
      <alignment vertical="center" wrapText="1"/>
    </xf>
    <xf numFmtId="0" fontId="121" fillId="0" borderId="119" xfId="0" applyFont="1" applyFill="1" applyBorder="1" applyAlignment="1">
      <alignment horizontal="left" vertical="center" wrapText="1"/>
    </xf>
    <xf numFmtId="0" fontId="122" fillId="0" borderId="128" xfId="0" applyFont="1" applyFill="1" applyBorder="1" applyAlignment="1">
      <alignment vertical="center" wrapText="1"/>
    </xf>
    <xf numFmtId="0" fontId="122" fillId="3" borderId="119" xfId="0" applyFont="1" applyFill="1" applyBorder="1" applyAlignment="1">
      <alignment vertical="center" wrapText="1"/>
    </xf>
    <xf numFmtId="0" fontId="2" fillId="0" borderId="125" xfId="0" applyNumberFormat="1" applyFont="1" applyFill="1" applyBorder="1" applyAlignment="1">
      <alignment horizontal="left" vertical="center" wrapText="1" indent="4"/>
    </xf>
    <xf numFmtId="0" fontId="45" fillId="0" borderId="125" xfId="0" applyNumberFormat="1" applyFont="1" applyFill="1" applyBorder="1" applyAlignment="1">
      <alignment vertical="center" wrapText="1"/>
    </xf>
    <xf numFmtId="0" fontId="2" fillId="0" borderId="122" xfId="0" applyFont="1" applyFill="1" applyBorder="1" applyAlignment="1" applyProtection="1">
      <alignment horizontal="left" vertical="center" indent="11"/>
      <protection locked="0"/>
    </xf>
    <xf numFmtId="0" fontId="46" fillId="0" borderId="122" xfId="0" applyFont="1" applyFill="1" applyBorder="1" applyAlignment="1" applyProtection="1">
      <alignment horizontal="left" vertical="center" indent="17"/>
      <protection locked="0"/>
    </xf>
    <xf numFmtId="0" fontId="2" fillId="0" borderId="125" xfId="0" applyNumberFormat="1" applyFont="1" applyFill="1" applyBorder="1" applyAlignment="1">
      <alignment horizontal="left" vertical="center" wrapText="1"/>
    </xf>
    <xf numFmtId="197" fontId="92" fillId="0" borderId="0" xfId="0" applyNumberFormat="1" applyFont="1" applyFill="1" applyBorder="1" applyAlignment="1" applyProtection="1">
      <alignment horizontal="right"/>
    </xf>
    <xf numFmtId="43" fontId="84" fillId="0" borderId="75" xfId="7" applyFont="1" applyFill="1" applyBorder="1" applyAlignment="1">
      <alignment horizontal="center" vertical="center"/>
    </xf>
    <xf numFmtId="43" fontId="84" fillId="0" borderId="122" xfId="7" applyFont="1" applyFill="1" applyBorder="1" applyAlignment="1">
      <alignment horizontal="center" vertical="center"/>
    </xf>
    <xf numFmtId="0" fontId="121" fillId="3" borderId="120" xfId="0" applyFont="1" applyFill="1" applyBorder="1" applyAlignment="1">
      <alignment horizontal="left" vertical="center" wrapText="1" indent="1"/>
    </xf>
    <xf numFmtId="0" fontId="121" fillId="3" borderId="122" xfId="0" applyFont="1" applyFill="1" applyBorder="1" applyAlignment="1">
      <alignment horizontal="left" vertical="center" wrapText="1" indent="1"/>
    </xf>
    <xf numFmtId="0" fontId="122" fillId="0" borderId="122" xfId="0" applyFont="1" applyBorder="1" applyAlignment="1">
      <alignment horizontal="left" vertical="center" wrapText="1"/>
    </xf>
    <xf numFmtId="0" fontId="121" fillId="0" borderId="122" xfId="0" applyFont="1" applyBorder="1" applyAlignment="1">
      <alignment horizontal="left" vertical="center" wrapText="1" indent="1"/>
    </xf>
    <xf numFmtId="0" fontId="122" fillId="3" borderId="122" xfId="0" applyFont="1" applyFill="1" applyBorder="1" applyAlignment="1">
      <alignment horizontal="left" vertical="center" wrapText="1"/>
    </xf>
    <xf numFmtId="0" fontId="123" fillId="3" borderId="122" xfId="0" applyFont="1" applyFill="1" applyBorder="1" applyAlignment="1">
      <alignment horizontal="left" vertical="center" wrapText="1" indent="1"/>
    </xf>
    <xf numFmtId="0" fontId="125" fillId="0" borderId="122" xfId="0" applyFont="1" applyBorder="1" applyAlignment="1">
      <alignment horizontal="justify"/>
    </xf>
    <xf numFmtId="0" fontId="84" fillId="0" borderId="122" xfId="0" applyFont="1" applyBorder="1" applyAlignment="1">
      <alignment horizontal="center"/>
    </xf>
    <xf numFmtId="0" fontId="121" fillId="0" borderId="122" xfId="0" applyFont="1" applyFill="1" applyBorder="1" applyAlignment="1">
      <alignment horizontal="left" vertical="center" wrapText="1" indent="1"/>
    </xf>
    <xf numFmtId="0" fontId="109" fillId="0" borderId="0" xfId="0" applyFont="1"/>
    <xf numFmtId="0" fontId="112" fillId="0" borderId="122" xfId="0" applyFont="1" applyBorder="1"/>
    <xf numFmtId="49" fontId="114" fillId="0" borderId="122" xfId="5" applyNumberFormat="1" applyFont="1" applyFill="1" applyBorder="1" applyAlignment="1" applyProtection="1">
      <alignment horizontal="right" vertical="center"/>
      <protection locked="0"/>
    </xf>
    <xf numFmtId="0" fontId="113" fillId="3" borderId="122" xfId="13" applyFont="1" applyFill="1" applyBorder="1" applyAlignment="1" applyProtection="1">
      <alignment horizontal="left" vertical="center" wrapText="1"/>
      <protection locked="0"/>
    </xf>
    <xf numFmtId="49" fontId="113" fillId="3" borderId="122" xfId="5" applyNumberFormat="1" applyFont="1" applyFill="1" applyBorder="1" applyAlignment="1" applyProtection="1">
      <alignment horizontal="right" vertical="center"/>
      <protection locked="0"/>
    </xf>
    <xf numFmtId="0" fontId="113" fillId="0" borderId="122" xfId="13" applyFont="1" applyFill="1" applyBorder="1" applyAlignment="1" applyProtection="1">
      <alignment horizontal="left" vertical="center" wrapText="1"/>
      <protection locked="0"/>
    </xf>
    <xf numFmtId="49" fontId="113" fillId="0" borderId="122" xfId="5" applyNumberFormat="1" applyFont="1" applyFill="1" applyBorder="1" applyAlignment="1" applyProtection="1">
      <alignment horizontal="right" vertical="center"/>
      <protection locked="0"/>
    </xf>
    <xf numFmtId="0" fontId="115" fillId="0" borderId="122" xfId="13" applyFont="1" applyFill="1" applyBorder="1" applyAlignment="1" applyProtection="1">
      <alignment horizontal="left" vertical="center" wrapText="1"/>
      <protection locked="0"/>
    </xf>
    <xf numFmtId="0" fontId="112" fillId="0" borderId="122" xfId="0" applyFont="1" applyFill="1" applyBorder="1" applyAlignment="1">
      <alignment horizontal="center" vertical="center" wrapText="1"/>
    </xf>
    <xf numFmtId="14" fontId="109" fillId="0" borderId="0" xfId="0" applyNumberFormat="1" applyFont="1"/>
    <xf numFmtId="43" fontId="94" fillId="0" borderId="0" xfId="7" applyFont="1"/>
    <xf numFmtId="0" fontId="109" fillId="0" borderId="0" xfId="0" applyFont="1" applyAlignment="1">
      <alignment wrapText="1"/>
    </xf>
    <xf numFmtId="172" fontId="108" fillId="35" borderId="122" xfId="20953" applyFont="1" applyFill="1" applyBorder="1"/>
    <xf numFmtId="0" fontId="108" fillId="0" borderId="122" xfId="0" applyFont="1" applyBorder="1"/>
    <xf numFmtId="0" fontId="108" fillId="0" borderId="122" xfId="0" applyFont="1" applyFill="1" applyBorder="1"/>
    <xf numFmtId="0" fontId="108" fillId="0" borderId="122" xfId="0" applyFont="1" applyBorder="1" applyAlignment="1">
      <alignment horizontal="left" indent="8"/>
    </xf>
    <xf numFmtId="0" fontId="108" fillId="0" borderId="122" xfId="0" applyFont="1" applyBorder="1" applyAlignment="1">
      <alignment wrapText="1"/>
    </xf>
    <xf numFmtId="0" fontId="112" fillId="0" borderId="0" xfId="0" applyFont="1"/>
    <xf numFmtId="0" fontId="111" fillId="0" borderId="122" xfId="0" applyFont="1" applyBorder="1"/>
    <xf numFmtId="49" fontId="114" fillId="0" borderId="122" xfId="5" applyNumberFormat="1" applyFont="1" applyFill="1" applyBorder="1" applyAlignment="1" applyProtection="1">
      <alignment horizontal="right" vertical="center" wrapText="1"/>
      <protection locked="0"/>
    </xf>
    <xf numFmtId="49" fontId="113" fillId="3" borderId="122" xfId="5" applyNumberFormat="1" applyFont="1" applyFill="1" applyBorder="1" applyAlignment="1" applyProtection="1">
      <alignment horizontal="right" vertical="center" wrapText="1"/>
      <protection locked="0"/>
    </xf>
    <xf numFmtId="49" fontId="113" fillId="0" borderId="122" xfId="5" applyNumberFormat="1" applyFont="1" applyFill="1" applyBorder="1" applyAlignment="1" applyProtection="1">
      <alignment horizontal="right" vertical="center" wrapText="1"/>
      <protection locked="0"/>
    </xf>
    <xf numFmtId="0" fontId="108" fillId="0" borderId="122" xfId="0" applyFont="1" applyBorder="1" applyAlignment="1">
      <alignment horizontal="center" vertical="center" wrapText="1"/>
    </xf>
    <xf numFmtId="0" fontId="108" fillId="0" borderId="126" xfId="0" applyFont="1" applyFill="1" applyBorder="1" applyAlignment="1">
      <alignment horizontal="center" vertical="center" wrapText="1"/>
    </xf>
    <xf numFmtId="0" fontId="108" fillId="0" borderId="122" xfId="0" applyFont="1" applyBorder="1" applyAlignment="1">
      <alignment horizontal="center" vertical="center"/>
    </xf>
    <xf numFmtId="0" fontId="108" fillId="0" borderId="0" xfId="0" applyFont="1"/>
    <xf numFmtId="0" fontId="108" fillId="0" borderId="0" xfId="0" applyFont="1" applyAlignment="1">
      <alignment wrapText="1"/>
    </xf>
    <xf numFmtId="14" fontId="108" fillId="0" borderId="0" xfId="0" applyNumberFormat="1" applyFont="1"/>
    <xf numFmtId="0" fontId="109" fillId="0" borderId="0" xfId="0" applyFont="1" applyBorder="1"/>
    <xf numFmtId="0" fontId="109" fillId="0" borderId="0" xfId="0" applyFont="1" applyBorder="1" applyAlignment="1">
      <alignment horizontal="left"/>
    </xf>
    <xf numFmtId="0" fontId="111" fillId="0" borderId="122" xfId="0" applyFont="1" applyFill="1" applyBorder="1"/>
    <xf numFmtId="0" fontId="108" fillId="0" borderId="122" xfId="0" applyNumberFormat="1" applyFont="1" applyFill="1" applyBorder="1" applyAlignment="1">
      <alignment horizontal="left" vertical="center" wrapText="1"/>
    </xf>
    <xf numFmtId="0" fontId="111" fillId="0" borderId="122" xfId="0" applyFont="1" applyFill="1" applyBorder="1" applyAlignment="1">
      <alignment horizontal="left" wrapText="1" indent="1"/>
    </xf>
    <xf numFmtId="0" fontId="111" fillId="0" borderId="122" xfId="0" applyFont="1" applyFill="1" applyBorder="1" applyAlignment="1">
      <alignment horizontal="left" vertical="center" indent="1"/>
    </xf>
    <xf numFmtId="0" fontId="109" fillId="0" borderId="122" xfId="0" applyFont="1" applyBorder="1"/>
    <xf numFmtId="0" fontId="108" fillId="0" borderId="122" xfId="0" applyFont="1" applyFill="1" applyBorder="1" applyAlignment="1">
      <alignment horizontal="left" wrapText="1" indent="1"/>
    </xf>
    <xf numFmtId="0" fontId="108" fillId="0" borderId="122" xfId="0" applyFont="1" applyFill="1" applyBorder="1" applyAlignment="1">
      <alignment horizontal="left" indent="1"/>
    </xf>
    <xf numFmtId="0" fontId="108" fillId="0" borderId="122" xfId="0" applyFont="1" applyFill="1" applyBorder="1" applyAlignment="1">
      <alignment horizontal="left" wrapText="1" indent="4"/>
    </xf>
    <xf numFmtId="0" fontId="108" fillId="0" borderId="122" xfId="0" applyNumberFormat="1" applyFont="1" applyFill="1" applyBorder="1" applyAlignment="1">
      <alignment horizontal="left" indent="3"/>
    </xf>
    <xf numFmtId="0" fontId="111" fillId="0" borderId="122" xfId="0" applyFont="1" applyFill="1" applyBorder="1" applyAlignment="1">
      <alignment horizontal="left" indent="1"/>
    </xf>
    <xf numFmtId="0" fontId="109" fillId="77" borderId="122" xfId="0" applyFont="1" applyFill="1" applyBorder="1"/>
    <xf numFmtId="0" fontId="112" fillId="0" borderId="7" xfId="0" applyFont="1" applyBorder="1"/>
    <xf numFmtId="0" fontId="112" fillId="0" borderId="122" xfId="0" applyFont="1" applyFill="1" applyBorder="1"/>
    <xf numFmtId="0" fontId="109" fillId="0" borderId="122" xfId="0" applyFont="1" applyFill="1" applyBorder="1" applyAlignment="1">
      <alignment horizontal="left" wrapText="1" indent="2"/>
    </xf>
    <xf numFmtId="0" fontId="109" fillId="0" borderId="122" xfId="0" applyFont="1" applyFill="1" applyBorder="1"/>
    <xf numFmtId="0" fontId="109" fillId="0" borderId="122" xfId="0" applyFont="1" applyFill="1" applyBorder="1" applyAlignment="1">
      <alignment horizontal="left" wrapText="1"/>
    </xf>
    <xf numFmtId="0" fontId="108" fillId="0" borderId="0" xfId="0" applyFont="1" applyBorder="1"/>
    <xf numFmtId="0" fontId="108" fillId="0" borderId="122" xfId="0" applyFont="1" applyBorder="1" applyAlignment="1">
      <alignment horizontal="left" indent="1"/>
    </xf>
    <xf numFmtId="0" fontId="108" fillId="0" borderId="122" xfId="0" applyFont="1" applyBorder="1" applyAlignment="1">
      <alignment horizontal="center"/>
    </xf>
    <xf numFmtId="0" fontId="108" fillId="0" borderId="0" xfId="0" applyFont="1" applyBorder="1" applyAlignment="1">
      <alignment horizontal="center" vertical="center"/>
    </xf>
    <xf numFmtId="0" fontId="108" fillId="0" borderId="122" xfId="0" applyFont="1" applyFill="1" applyBorder="1" applyAlignment="1">
      <alignment horizontal="center" vertical="center" wrapText="1"/>
    </xf>
    <xf numFmtId="0" fontId="108" fillId="0" borderId="7" xfId="0" applyFont="1" applyBorder="1" applyAlignment="1">
      <alignment horizontal="center" vertical="center" wrapText="1"/>
    </xf>
    <xf numFmtId="0" fontId="108" fillId="0" borderId="7" xfId="0" applyFont="1" applyBorder="1" applyAlignment="1">
      <alignment wrapText="1"/>
    </xf>
    <xf numFmtId="0" fontId="108" fillId="0" borderId="0" xfId="0" applyFont="1" applyBorder="1" applyAlignment="1">
      <alignment horizontal="center" vertical="center" wrapText="1"/>
    </xf>
    <xf numFmtId="0" fontId="108" fillId="0" borderId="101" xfId="0" applyFont="1" applyFill="1" applyBorder="1" applyAlignment="1">
      <alignment horizontal="center" vertical="center" wrapText="1"/>
    </xf>
    <xf numFmtId="0" fontId="108" fillId="0" borderId="0" xfId="0" applyFont="1" applyFill="1" applyBorder="1" applyAlignment="1">
      <alignment horizontal="center" vertical="center" wrapText="1"/>
    </xf>
    <xf numFmtId="0" fontId="108" fillId="0" borderId="125" xfId="0" applyFont="1" applyFill="1" applyBorder="1" applyAlignment="1">
      <alignment horizontal="center" vertical="center" wrapText="1"/>
    </xf>
    <xf numFmtId="0" fontId="108" fillId="0" borderId="102" xfId="0" applyFont="1" applyFill="1" applyBorder="1" applyAlignment="1">
      <alignment horizontal="center" vertical="center" wrapText="1"/>
    </xf>
    <xf numFmtId="0" fontId="108" fillId="0" borderId="0" xfId="0" applyFont="1" applyFill="1"/>
    <xf numFmtId="0" fontId="108" fillId="0" borderId="21" xfId="0" applyFont="1" applyFill="1" applyBorder="1"/>
    <xf numFmtId="0" fontId="108" fillId="0" borderId="20" xfId="0" applyFont="1" applyFill="1" applyBorder="1"/>
    <xf numFmtId="0" fontId="108" fillId="0" borderId="23" xfId="0" applyFont="1" applyFill="1" applyBorder="1"/>
    <xf numFmtId="49" fontId="108" fillId="0" borderId="21" xfId="0" applyNumberFormat="1" applyFont="1" applyFill="1" applyBorder="1" applyAlignment="1">
      <alignment horizontal="left" wrapText="1" indent="1"/>
    </xf>
    <xf numFmtId="0" fontId="108" fillId="0" borderId="19" xfId="0" applyNumberFormat="1" applyFont="1" applyFill="1" applyBorder="1" applyAlignment="1">
      <alignment horizontal="left" wrapText="1" indent="1"/>
    </xf>
    <xf numFmtId="0" fontId="108" fillId="0" borderId="76" xfId="0" applyFont="1" applyFill="1" applyBorder="1"/>
    <xf numFmtId="0" fontId="108" fillId="0" borderId="125" xfId="0" applyFont="1" applyFill="1" applyBorder="1"/>
    <xf numFmtId="49" fontId="108" fillId="0" borderId="76" xfId="0" applyNumberFormat="1" applyFont="1" applyFill="1" applyBorder="1" applyAlignment="1">
      <alignment horizontal="left" wrapText="1" indent="1"/>
    </xf>
    <xf numFmtId="0" fontId="108" fillId="0" borderId="16" xfId="0" applyNumberFormat="1" applyFont="1" applyFill="1" applyBorder="1" applyAlignment="1">
      <alignment horizontal="left" wrapText="1" indent="1"/>
    </xf>
    <xf numFmtId="49" fontId="108" fillId="0" borderId="16" xfId="0" applyNumberFormat="1" applyFont="1" applyFill="1" applyBorder="1" applyAlignment="1">
      <alignment horizontal="left" wrapText="1" indent="3"/>
    </xf>
    <xf numFmtId="49" fontId="108" fillId="0" borderId="76" xfId="0" applyNumberFormat="1" applyFont="1" applyFill="1" applyBorder="1" applyAlignment="1">
      <alignment horizontal="left" wrapText="1" indent="3"/>
    </xf>
    <xf numFmtId="49" fontId="108" fillId="0" borderId="76" xfId="0" applyNumberFormat="1" applyFont="1" applyFill="1" applyBorder="1" applyAlignment="1">
      <alignment horizontal="left" wrapText="1" indent="2"/>
    </xf>
    <xf numFmtId="49" fontId="108" fillId="0" borderId="16" xfId="0" applyNumberFormat="1" applyFont="1" applyBorder="1" applyAlignment="1">
      <alignment horizontal="left" wrapText="1" indent="2"/>
    </xf>
    <xf numFmtId="49" fontId="108" fillId="0" borderId="76" xfId="0" applyNumberFormat="1" applyFont="1" applyFill="1" applyBorder="1" applyAlignment="1">
      <alignment horizontal="left" vertical="top" wrapText="1" indent="2"/>
    </xf>
    <xf numFmtId="0" fontId="108" fillId="78" borderId="76" xfId="0" applyFont="1" applyFill="1" applyBorder="1"/>
    <xf numFmtId="0" fontId="108" fillId="78" borderId="122" xfId="0" applyFont="1" applyFill="1" applyBorder="1"/>
    <xf numFmtId="0" fontId="108" fillId="78" borderId="125" xfId="0" applyFont="1" applyFill="1" applyBorder="1"/>
    <xf numFmtId="49" fontId="108" fillId="0" borderId="76" xfId="0" applyNumberFormat="1" applyFont="1" applyFill="1" applyBorder="1" applyAlignment="1">
      <alignment horizontal="left" indent="1"/>
    </xf>
    <xf numFmtId="0" fontId="108" fillId="0" borderId="16" xfId="0" applyNumberFormat="1" applyFont="1" applyBorder="1" applyAlignment="1">
      <alignment horizontal="left" indent="1"/>
    </xf>
    <xf numFmtId="0" fontId="108" fillId="0" borderId="76" xfId="0" applyFont="1" applyBorder="1"/>
    <xf numFmtId="0" fontId="108" fillId="0" borderId="125" xfId="0" applyFont="1" applyBorder="1"/>
    <xf numFmtId="49" fontId="108" fillId="0" borderId="16" xfId="0" applyNumberFormat="1" applyFont="1" applyBorder="1" applyAlignment="1">
      <alignment horizontal="left" indent="1"/>
    </xf>
    <xf numFmtId="49" fontId="108" fillId="0" borderId="76" xfId="0" applyNumberFormat="1" applyFont="1" applyFill="1" applyBorder="1" applyAlignment="1">
      <alignment horizontal="left" indent="3"/>
    </xf>
    <xf numFmtId="49" fontId="108" fillId="0" borderId="16" xfId="0" applyNumberFormat="1" applyFont="1" applyBorder="1" applyAlignment="1">
      <alignment horizontal="left" indent="3"/>
    </xf>
    <xf numFmtId="0" fontId="108" fillId="0" borderId="16" xfId="0" applyFont="1" applyBorder="1" applyAlignment="1">
      <alignment horizontal="left" indent="2"/>
    </xf>
    <xf numFmtId="0" fontId="108" fillId="0" borderId="76" xfId="0" applyFont="1" applyBorder="1" applyAlignment="1">
      <alignment horizontal="left" indent="2"/>
    </xf>
    <xf numFmtId="0" fontId="108" fillId="0" borderId="16" xfId="0" applyFont="1" applyBorder="1" applyAlignment="1">
      <alignment horizontal="left" indent="1"/>
    </xf>
    <xf numFmtId="0" fontId="108" fillId="0" borderId="76" xfId="0" applyFont="1" applyBorder="1" applyAlignment="1">
      <alignment horizontal="left" indent="1"/>
    </xf>
    <xf numFmtId="0" fontId="111" fillId="0" borderId="59" xfId="0" applyFont="1" applyBorder="1"/>
    <xf numFmtId="0" fontId="108" fillId="0" borderId="62" xfId="0" applyFont="1" applyBorder="1"/>
    <xf numFmtId="0" fontId="108" fillId="0" borderId="70" xfId="0" applyFont="1" applyBorder="1" applyAlignment="1">
      <alignment horizontal="center" vertical="center" wrapText="1"/>
    </xf>
    <xf numFmtId="0" fontId="108" fillId="0" borderId="76" xfId="0" applyFont="1" applyFill="1" applyBorder="1" applyAlignment="1">
      <alignment horizontal="center" vertical="center" wrapText="1"/>
    </xf>
    <xf numFmtId="0" fontId="108" fillId="0" borderId="0" xfId="0" applyFont="1" applyBorder="1" applyAlignment="1">
      <alignment wrapText="1"/>
    </xf>
    <xf numFmtId="14" fontId="108" fillId="0" borderId="0" xfId="0" applyNumberFormat="1" applyFont="1" applyBorder="1"/>
    <xf numFmtId="0" fontId="108" fillId="0" borderId="0" xfId="0" applyFont="1" applyAlignment="1">
      <alignment horizontal="center" vertical="center"/>
    </xf>
    <xf numFmtId="0" fontId="108" fillId="0" borderId="0" xfId="0" applyFont="1" applyBorder="1" applyAlignment="1">
      <alignment horizontal="left"/>
    </xf>
    <xf numFmtId="0" fontId="111" fillId="0" borderId="122" xfId="0" applyNumberFormat="1" applyFont="1" applyFill="1" applyBorder="1" applyAlignment="1">
      <alignment horizontal="left" vertical="center" wrapText="1"/>
    </xf>
    <xf numFmtId="0" fontId="108" fillId="0" borderId="7" xfId="0" applyFont="1" applyFill="1" applyBorder="1" applyAlignment="1">
      <alignment horizontal="center" vertical="center" wrapText="1"/>
    </xf>
    <xf numFmtId="0" fontId="113" fillId="0" borderId="0" xfId="0" applyFont="1"/>
    <xf numFmtId="0" fontId="92" fillId="0" borderId="0" xfId="0" applyFont="1" applyFill="1" applyBorder="1" applyAlignment="1">
      <alignment wrapText="1"/>
    </xf>
    <xf numFmtId="0" fontId="113" fillId="0" borderId="122" xfId="0" applyFont="1" applyBorder="1"/>
    <xf numFmtId="0" fontId="111" fillId="0" borderId="122" xfId="0" applyFont="1" applyBorder="1" applyAlignment="1">
      <alignment horizontal="center" vertical="center" wrapText="1"/>
    </xf>
    <xf numFmtId="0" fontId="113" fillId="0" borderId="0" xfId="0" applyFont="1" applyAlignment="1">
      <alignment horizontal="center" vertical="center"/>
    </xf>
    <xf numFmtId="0" fontId="129" fillId="0" borderId="0" xfId="0" applyFont="1"/>
    <xf numFmtId="0" fontId="108" fillId="0" borderId="117" xfId="0" applyNumberFormat="1" applyFont="1" applyFill="1" applyBorder="1" applyAlignment="1">
      <alignment horizontal="left" vertical="center" wrapText="1" indent="1" readingOrder="1"/>
    </xf>
    <xf numFmtId="0" fontId="129" fillId="0" borderId="122" xfId="0" applyFont="1" applyBorder="1" applyAlignment="1">
      <alignment horizontal="left" indent="3"/>
    </xf>
    <xf numFmtId="0" fontId="111" fillId="0" borderId="122" xfId="0" applyNumberFormat="1" applyFont="1" applyFill="1" applyBorder="1" applyAlignment="1">
      <alignment vertical="center" wrapText="1" readingOrder="1"/>
    </xf>
    <xf numFmtId="0" fontId="129" fillId="0" borderId="122" xfId="0" applyFont="1" applyFill="1" applyBorder="1" applyAlignment="1">
      <alignment horizontal="left" indent="2"/>
    </xf>
    <xf numFmtId="0" fontId="108" fillId="0" borderId="118" xfId="0" applyNumberFormat="1" applyFont="1" applyFill="1" applyBorder="1" applyAlignment="1">
      <alignment vertical="center" wrapText="1" readingOrder="1"/>
    </xf>
    <xf numFmtId="0" fontId="129" fillId="0" borderId="126" xfId="0" applyFont="1" applyBorder="1" applyAlignment="1">
      <alignment horizontal="left" indent="2"/>
    </xf>
    <xf numFmtId="0" fontId="108" fillId="0" borderId="117" xfId="0" applyNumberFormat="1" applyFont="1" applyFill="1" applyBorder="1" applyAlignment="1">
      <alignment vertical="center" wrapText="1" readingOrder="1"/>
    </xf>
    <xf numFmtId="0" fontId="129" fillId="0" borderId="122" xfId="0" applyFont="1" applyBorder="1" applyAlignment="1">
      <alignment horizontal="left" indent="2"/>
    </xf>
    <xf numFmtId="0" fontId="108" fillId="0" borderId="116" xfId="0" applyNumberFormat="1" applyFont="1" applyFill="1" applyBorder="1" applyAlignment="1">
      <alignment vertical="center" wrapText="1" readingOrder="1"/>
    </xf>
    <xf numFmtId="0" fontId="129" fillId="0" borderId="7" xfId="0" applyFont="1" applyBorder="1"/>
    <xf numFmtId="173" fontId="130" fillId="79" borderId="53" xfId="0" applyNumberFormat="1" applyFont="1" applyFill="1" applyBorder="1" applyAlignment="1">
      <alignment horizontal="center"/>
    </xf>
    <xf numFmtId="0" fontId="94" fillId="0" borderId="0" xfId="11" applyFont="1" applyFill="1" applyBorder="1" applyProtection="1"/>
    <xf numFmtId="0" fontId="94" fillId="0" borderId="0" xfId="0" applyFont="1"/>
    <xf numFmtId="14" fontId="3" fillId="0" borderId="0" xfId="0" applyNumberFormat="1" applyFont="1"/>
    <xf numFmtId="0" fontId="131" fillId="0" borderId="0" xfId="11" applyFont="1" applyFill="1" applyBorder="1" applyAlignment="1" applyProtection="1"/>
    <xf numFmtId="0" fontId="132" fillId="0" borderId="0" xfId="0" applyFont="1"/>
    <xf numFmtId="0" fontId="133" fillId="80" borderId="14" xfId="0" applyFont="1" applyFill="1" applyBorder="1" applyAlignment="1">
      <alignment horizontal="center" vertical="center"/>
    </xf>
    <xf numFmtId="0" fontId="133" fillId="80" borderId="15" xfId="0" applyFont="1" applyFill="1" applyBorder="1" applyAlignment="1">
      <alignment horizontal="center" vertical="center"/>
    </xf>
    <xf numFmtId="0" fontId="133" fillId="81" borderId="122" xfId="0" applyFont="1" applyFill="1" applyBorder="1" applyAlignment="1">
      <alignment horizontal="left" vertical="center"/>
    </xf>
    <xf numFmtId="198" fontId="133" fillId="81" borderId="76" xfId="7" applyNumberFormat="1" applyFont="1" applyFill="1" applyBorder="1" applyAlignment="1">
      <alignment horizontal="left" vertical="center"/>
    </xf>
    <xf numFmtId="49" fontId="135" fillId="0" borderId="122" xfId="0" applyNumberFormat="1" applyFont="1" applyFill="1" applyBorder="1" applyAlignment="1">
      <alignment horizontal="left" vertical="center"/>
    </xf>
    <xf numFmtId="198" fontId="135" fillId="0" borderId="76" xfId="7" applyNumberFormat="1" applyFont="1" applyFill="1" applyBorder="1" applyAlignment="1">
      <alignment horizontal="left" vertical="center"/>
    </xf>
    <xf numFmtId="0" fontId="135" fillId="0" borderId="122" xfId="0" applyFont="1" applyFill="1" applyBorder="1" applyAlignment="1">
      <alignment horizontal="left" vertical="center"/>
    </xf>
    <xf numFmtId="0" fontId="133" fillId="0" borderId="122" xfId="0" applyFont="1" applyFill="1" applyBorder="1" applyAlignment="1">
      <alignment horizontal="left" vertical="center"/>
    </xf>
    <xf numFmtId="10" fontId="94" fillId="0" borderId="76" xfId="0" applyNumberFormat="1" applyFont="1" applyFill="1" applyBorder="1" applyAlignment="1">
      <alignment horizontal="right" vertical="center" wrapText="1"/>
    </xf>
    <xf numFmtId="0" fontId="137" fillId="82" borderId="20" xfId="0" applyFont="1" applyFill="1" applyBorder="1" applyAlignment="1">
      <alignment horizontal="left" vertical="center"/>
    </xf>
    <xf numFmtId="10" fontId="131" fillId="83" borderId="21" xfId="0" applyNumberFormat="1" applyFont="1" applyFill="1" applyBorder="1" applyAlignment="1">
      <alignment horizontal="right" vertical="center" wrapText="1"/>
    </xf>
    <xf numFmtId="0" fontId="138" fillId="0" borderId="0" xfId="0" applyFont="1" applyFill="1" applyAlignment="1">
      <alignment vertical="top" wrapText="1"/>
    </xf>
    <xf numFmtId="0" fontId="140" fillId="0" borderId="0" xfId="0" applyFont="1" applyFill="1" applyAlignment="1">
      <alignment vertical="top"/>
    </xf>
    <xf numFmtId="0" fontId="140" fillId="0" borderId="0" xfId="0" applyFont="1" applyFill="1" applyAlignment="1">
      <alignment vertical="top" wrapText="1"/>
    </xf>
    <xf numFmtId="0" fontId="0" fillId="0" borderId="1" xfId="0" applyBorder="1"/>
    <xf numFmtId="0" fontId="3" fillId="84" borderId="122" xfId="0" applyFont="1" applyFill="1" applyBorder="1" applyAlignment="1" applyProtection="1">
      <alignment horizontal="center" vertical="center" wrapText="1"/>
    </xf>
    <xf numFmtId="0" fontId="4" fillId="83" borderId="122" xfId="0" applyFont="1" applyFill="1" applyBorder="1" applyAlignment="1" applyProtection="1">
      <alignment vertical="center" wrapText="1"/>
    </xf>
    <xf numFmtId="198" fontId="4" fillId="83" borderId="122" xfId="7" applyNumberFormat="1" applyFont="1" applyFill="1" applyBorder="1" applyAlignment="1">
      <alignment vertical="center"/>
    </xf>
    <xf numFmtId="198" fontId="4" fillId="83" borderId="76" xfId="7" applyNumberFormat="1" applyFont="1" applyFill="1" applyBorder="1" applyAlignment="1">
      <alignment vertical="center"/>
    </xf>
    <xf numFmtId="0" fontId="135" fillId="81" borderId="122" xfId="0" applyFont="1" applyFill="1" applyBorder="1" applyAlignment="1">
      <alignment horizontal="left" vertical="center" wrapText="1" indent="3"/>
    </xf>
    <xf numFmtId="198" fontId="4" fillId="35" borderId="122" xfId="7" applyNumberFormat="1" applyFont="1" applyFill="1" applyBorder="1" applyAlignment="1">
      <alignment vertical="center"/>
    </xf>
    <xf numFmtId="0" fontId="141" fillId="81" borderId="122" xfId="0" applyFont="1" applyFill="1" applyBorder="1" applyAlignment="1">
      <alignment horizontal="left" vertical="center" wrapText="1" indent="5"/>
    </xf>
    <xf numFmtId="0" fontId="142" fillId="80" borderId="122" xfId="0" applyFont="1" applyFill="1" applyBorder="1" applyAlignment="1" applyProtection="1">
      <alignment horizontal="left" vertical="center" wrapText="1" indent="1"/>
    </xf>
    <xf numFmtId="198" fontId="142" fillId="80" borderId="122" xfId="7" applyNumberFormat="1" applyFont="1" applyFill="1" applyBorder="1" applyAlignment="1">
      <alignment vertical="center"/>
    </xf>
    <xf numFmtId="198" fontId="142" fillId="82" borderId="76" xfId="7" applyNumberFormat="1" applyFont="1" applyFill="1" applyBorder="1" applyAlignment="1">
      <alignment vertical="center"/>
    </xf>
    <xf numFmtId="198" fontId="143" fillId="81" borderId="122" xfId="7" applyNumberFormat="1" applyFont="1" applyFill="1" applyBorder="1" applyAlignment="1">
      <alignment vertical="center"/>
    </xf>
    <xf numFmtId="198" fontId="143" fillId="82" borderId="76" xfId="7" applyNumberFormat="1" applyFont="1" applyFill="1" applyBorder="1" applyAlignment="1">
      <alignment vertical="center"/>
    </xf>
    <xf numFmtId="198" fontId="143" fillId="81" borderId="20" xfId="7" applyNumberFormat="1" applyFont="1" applyFill="1" applyBorder="1" applyAlignment="1">
      <alignment vertical="center"/>
    </xf>
    <xf numFmtId="198" fontId="143" fillId="82" borderId="21" xfId="7" applyNumberFormat="1" applyFont="1" applyFill="1" applyBorder="1" applyAlignment="1">
      <alignment vertical="center"/>
    </xf>
    <xf numFmtId="0" fontId="347" fillId="0" borderId="0" xfId="0" applyFont="1"/>
    <xf numFmtId="175" fontId="9" fillId="36" borderId="91" xfId="20" applyBorder="1"/>
    <xf numFmtId="0" fontId="92" fillId="0" borderId="184" xfId="0" applyFont="1" applyFill="1" applyBorder="1" applyAlignment="1">
      <alignment horizontal="center" vertical="center" wrapText="1"/>
    </xf>
    <xf numFmtId="0" fontId="346" fillId="0" borderId="0" xfId="0" applyFont="1"/>
    <xf numFmtId="0" fontId="0" fillId="0" borderId="0" xfId="0"/>
    <xf numFmtId="0" fontId="92" fillId="0" borderId="0" xfId="0" applyFont="1"/>
    <xf numFmtId="0" fontId="348" fillId="0" borderId="0" xfId="0" applyFont="1"/>
    <xf numFmtId="14" fontId="92" fillId="0" borderId="0" xfId="0" applyNumberFormat="1" applyFont="1"/>
    <xf numFmtId="0" fontId="92" fillId="0" borderId="0" xfId="0" applyFont="1" applyBorder="1"/>
    <xf numFmtId="0" fontId="348" fillId="0" borderId="0" xfId="0" applyFont="1" applyBorder="1"/>
    <xf numFmtId="0" fontId="92" fillId="0" borderId="109" xfId="0" applyFont="1" applyFill="1" applyBorder="1" applyAlignment="1" applyProtection="1">
      <alignment horizontal="center" vertical="center" wrapText="1"/>
    </xf>
    <xf numFmtId="0" fontId="349" fillId="0" borderId="109" xfId="0" applyFont="1" applyBorder="1" applyAlignment="1">
      <alignment horizontal="center" vertical="center"/>
    </xf>
    <xf numFmtId="0" fontId="348" fillId="0" borderId="109" xfId="0" applyFont="1" applyBorder="1" applyAlignment="1">
      <alignment horizontal="center"/>
    </xf>
    <xf numFmtId="0" fontId="118" fillId="3" borderId="109" xfId="20954" applyFont="1" applyFill="1" applyBorder="1" applyAlignment="1">
      <alignment horizontal="left" vertical="center" wrapText="1"/>
    </xf>
    <xf numFmtId="0" fontId="92" fillId="0" borderId="109" xfId="20954" applyFont="1" applyFill="1" applyBorder="1" applyAlignment="1">
      <alignment horizontal="left" vertical="center" wrapText="1" indent="1"/>
    </xf>
    <xf numFmtId="0" fontId="350" fillId="3" borderId="119" xfId="0" applyFont="1" applyFill="1" applyBorder="1" applyAlignment="1">
      <alignment horizontal="left" vertical="center" wrapText="1"/>
    </xf>
    <xf numFmtId="0" fontId="92" fillId="3" borderId="109" xfId="20954" applyFont="1" applyFill="1" applyBorder="1" applyAlignment="1">
      <alignment horizontal="left" vertical="center" wrapText="1" indent="1"/>
    </xf>
    <xf numFmtId="0" fontId="118" fillId="0" borderId="119" xfId="0" applyFont="1" applyFill="1" applyBorder="1" applyAlignment="1">
      <alignment horizontal="left" vertical="center" wrapText="1"/>
    </xf>
    <xf numFmtId="0" fontId="350" fillId="0" borderId="119" xfId="0" applyFont="1" applyFill="1" applyBorder="1" applyAlignment="1">
      <alignment horizontal="left" vertical="center" wrapText="1"/>
    </xf>
    <xf numFmtId="0" fontId="350" fillId="0" borderId="119" xfId="0" applyFont="1" applyFill="1" applyBorder="1" applyAlignment="1">
      <alignment vertical="center" wrapText="1"/>
    </xf>
    <xf numFmtId="0" fontId="351" fillId="0" borderId="119" xfId="0" applyFont="1" applyFill="1" applyBorder="1" applyAlignment="1">
      <alignment horizontal="left" vertical="center" wrapText="1" indent="1"/>
    </xf>
    <xf numFmtId="0" fontId="351" fillId="3" borderId="119" xfId="0" applyFont="1" applyFill="1" applyBorder="1" applyAlignment="1">
      <alignment horizontal="left" vertical="center" wrapText="1" indent="1"/>
    </xf>
    <xf numFmtId="0" fontId="350" fillId="3" borderId="120" xfId="0" applyFont="1" applyFill="1" applyBorder="1" applyAlignment="1">
      <alignment horizontal="left" vertical="center" wrapText="1"/>
    </xf>
    <xf numFmtId="0" fontId="351" fillId="0" borderId="109" xfId="20954" applyFont="1" applyFill="1" applyBorder="1" applyAlignment="1">
      <alignment horizontal="left" vertical="center" wrapText="1" indent="1"/>
    </xf>
    <xf numFmtId="0" fontId="350" fillId="0" borderId="109" xfId="0" applyFont="1" applyFill="1" applyBorder="1" applyAlignment="1">
      <alignment horizontal="left" vertical="center" wrapText="1"/>
    </xf>
    <xf numFmtId="0" fontId="350" fillId="0" borderId="109" xfId="20954" applyFont="1" applyFill="1" applyBorder="1" applyAlignment="1">
      <alignment horizontal="center" vertical="center" wrapText="1"/>
    </xf>
    <xf numFmtId="0" fontId="350" fillId="3" borderId="121" xfId="0" applyFont="1" applyFill="1" applyBorder="1" applyAlignment="1">
      <alignment horizontal="left" vertical="center" wrapText="1"/>
    </xf>
    <xf numFmtId="0" fontId="348" fillId="0" borderId="122" xfId="0" applyFont="1" applyBorder="1" applyAlignment="1">
      <alignment horizontal="center"/>
    </xf>
    <xf numFmtId="0" fontId="92" fillId="3" borderId="122" xfId="20954" applyFont="1" applyFill="1" applyBorder="1" applyAlignment="1">
      <alignment horizontal="left" vertical="center" wrapText="1" indent="1"/>
    </xf>
    <xf numFmtId="0" fontId="92" fillId="3" borderId="119" xfId="0" applyFont="1" applyFill="1" applyBorder="1" applyAlignment="1">
      <alignment horizontal="left" vertical="center" wrapText="1" indent="1"/>
    </xf>
    <xf numFmtId="0" fontId="92" fillId="0" borderId="122" xfId="20954" applyFont="1" applyFill="1" applyBorder="1" applyAlignment="1">
      <alignment horizontal="left" vertical="center" wrapText="1" indent="1"/>
    </xf>
    <xf numFmtId="0" fontId="350" fillId="0" borderId="119" xfId="0" applyFont="1" applyBorder="1" applyAlignment="1">
      <alignment horizontal="left" vertical="center" wrapText="1"/>
    </xf>
    <xf numFmtId="0" fontId="92" fillId="0" borderId="119" xfId="0" applyFont="1" applyBorder="1" applyAlignment="1">
      <alignment horizontal="left" vertical="center" wrapText="1" indent="1"/>
    </xf>
    <xf numFmtId="0" fontId="92" fillId="0" borderId="120" xfId="0" applyFont="1" applyBorder="1" applyAlignment="1">
      <alignment horizontal="left" vertical="center" wrapText="1" indent="1"/>
    </xf>
    <xf numFmtId="0" fontId="350" fillId="0" borderId="122" xfId="20954" applyFont="1" applyFill="1" applyBorder="1" applyAlignment="1">
      <alignment horizontal="left" vertical="center" wrapText="1"/>
    </xf>
    <xf numFmtId="0" fontId="350" fillId="0" borderId="122" xfId="0" applyFont="1" applyFill="1" applyBorder="1" applyAlignment="1">
      <alignment vertical="center" wrapText="1"/>
    </xf>
    <xf numFmtId="0" fontId="350" fillId="0" borderId="122" xfId="20954" applyFont="1" applyFill="1" applyBorder="1" applyAlignment="1">
      <alignment horizontal="center" vertical="center" wrapText="1"/>
    </xf>
    <xf numFmtId="0" fontId="350" fillId="3" borderId="122" xfId="20954" applyFont="1" applyFill="1" applyBorder="1" applyAlignment="1">
      <alignment horizontal="left" vertical="center" wrapText="1"/>
    </xf>
    <xf numFmtId="0" fontId="92" fillId="0" borderId="119" xfId="0" applyFont="1" applyFill="1" applyBorder="1" applyAlignment="1">
      <alignment horizontal="left" vertical="center" wrapText="1" indent="1"/>
    </xf>
    <xf numFmtId="0" fontId="352" fillId="0" borderId="0" xfId="0" applyFont="1" applyAlignment="1">
      <alignment horizontal="justify"/>
    </xf>
    <xf numFmtId="0" fontId="350" fillId="0" borderId="122" xfId="0" applyFont="1" applyFill="1" applyBorder="1" applyAlignment="1">
      <alignment horizontal="left" vertical="center" wrapText="1"/>
    </xf>
    <xf numFmtId="0" fontId="348" fillId="0" borderId="0" xfId="0" applyFont="1" applyAlignment="1">
      <alignment horizontal="center"/>
    </xf>
    <xf numFmtId="0" fontId="348" fillId="0" borderId="0" xfId="0" applyFont="1" applyAlignment="1">
      <alignment horizontal="left" vertical="center"/>
    </xf>
    <xf numFmtId="0" fontId="86" fillId="0" borderId="122" xfId="0" applyFont="1" applyBorder="1" applyAlignment="1">
      <alignment vertical="center"/>
    </xf>
    <xf numFmtId="0" fontId="45" fillId="0" borderId="122" xfId="0" applyNumberFormat="1" applyFont="1" applyFill="1" applyBorder="1" applyAlignment="1">
      <alignment vertical="center" wrapText="1"/>
    </xf>
    <xf numFmtId="197" fontId="92" fillId="35" borderId="190" xfId="0" applyNumberFormat="1" applyFont="1" applyFill="1" applyBorder="1" applyAlignment="1" applyProtection="1">
      <alignment horizontal="right"/>
    </xf>
    <xf numFmtId="0" fontId="0" fillId="35" borderId="190" xfId="0" applyFill="1" applyBorder="1"/>
    <xf numFmtId="0" fontId="2" fillId="0" borderId="0" xfId="13" applyFont="1" applyFill="1" applyBorder="1" applyAlignment="1" applyProtection="1">
      <alignment wrapText="1"/>
      <protection locked="0"/>
    </xf>
    <xf numFmtId="0" fontId="350" fillId="0" borderId="190" xfId="20954" applyFont="1" applyFill="1" applyBorder="1" applyAlignment="1">
      <alignment horizontal="left" vertical="center" wrapText="1"/>
    </xf>
    <xf numFmtId="197" fontId="92" fillId="0" borderId="190" xfId="0" applyNumberFormat="1" applyFont="1" applyFill="1" applyBorder="1" applyAlignment="1" applyProtection="1">
      <alignment horizontal="right"/>
    </xf>
    <xf numFmtId="49" fontId="84" fillId="0" borderId="75" xfId="0" applyNumberFormat="1" applyFont="1" applyFill="1" applyBorder="1" applyAlignment="1">
      <alignment horizontal="right"/>
    </xf>
    <xf numFmtId="0" fontId="6" fillId="0" borderId="190" xfId="17" applyFill="1" applyBorder="1" applyAlignment="1" applyProtection="1"/>
    <xf numFmtId="49" fontId="84" fillId="0" borderId="190" xfId="0" applyNumberFormat="1" applyFont="1" applyFill="1" applyBorder="1" applyAlignment="1">
      <alignment horizontal="right"/>
    </xf>
    <xf numFmtId="0" fontId="84" fillId="0" borderId="190" xfId="0" applyFont="1" applyFill="1" applyBorder="1"/>
    <xf numFmtId="0" fontId="94" fillId="0" borderId="0" xfId="0" applyFont="1" applyFill="1"/>
    <xf numFmtId="0" fontId="353" fillId="3" borderId="0" xfId="37364" applyFont="1" applyFill="1" applyAlignment="1" applyProtection="1">
      <alignment vertical="center"/>
      <protection locked="0"/>
    </xf>
    <xf numFmtId="0" fontId="129" fillId="3" borderId="190" xfId="5" applyFont="1" applyFill="1" applyBorder="1" applyAlignment="1" applyProtection="1">
      <alignment vertical="center" wrapText="1"/>
      <protection locked="0"/>
    </xf>
    <xf numFmtId="0" fontId="129" fillId="0" borderId="190" xfId="37365" applyFont="1" applyFill="1" applyBorder="1" applyAlignment="1" applyProtection="1">
      <alignment horizontal="center" vertical="center" wrapText="1"/>
      <protection locked="0"/>
    </xf>
    <xf numFmtId="3" fontId="129" fillId="3" borderId="190" xfId="1" applyNumberFormat="1" applyFont="1" applyFill="1" applyBorder="1" applyAlignment="1" applyProtection="1">
      <alignment horizontal="center" vertical="center" wrapText="1"/>
      <protection locked="0"/>
    </xf>
    <xf numFmtId="9" fontId="129" fillId="3" borderId="190" xfId="15" applyNumberFormat="1" applyFont="1" applyFill="1" applyBorder="1" applyAlignment="1" applyProtection="1">
      <alignment horizontal="center" vertical="center" wrapText="1"/>
      <protection locked="0"/>
    </xf>
    <xf numFmtId="0" fontId="129" fillId="3" borderId="190" xfId="37365" applyFont="1" applyFill="1" applyBorder="1" applyAlignment="1" applyProtection="1">
      <alignment horizontal="center" vertical="center" wrapText="1"/>
      <protection locked="0"/>
    </xf>
    <xf numFmtId="0" fontId="353" fillId="3" borderId="190" xfId="37365" applyFont="1" applyFill="1" applyBorder="1" applyAlignment="1" applyProtection="1">
      <protection locked="0"/>
    </xf>
    <xf numFmtId="3" fontId="129" fillId="151" borderId="190" xfId="5" applyNumberFormat="1" applyFont="1" applyFill="1" applyBorder="1" applyAlignment="1" applyProtection="1"/>
    <xf numFmtId="0" fontId="354" fillId="3" borderId="190" xfId="37365" applyFont="1" applyFill="1" applyBorder="1" applyAlignment="1" applyProtection="1">
      <alignment horizontal="right"/>
      <protection locked="0"/>
    </xf>
    <xf numFmtId="365" fontId="129" fillId="151" borderId="190" xfId="5" applyNumberFormat="1" applyFont="1" applyFill="1" applyBorder="1" applyAlignment="1" applyProtection="1">
      <protection locked="0"/>
    </xf>
    <xf numFmtId="170" fontId="129" fillId="151" borderId="190" xfId="1" applyNumberFormat="1" applyFont="1" applyFill="1" applyBorder="1" applyAlignment="1" applyProtection="1"/>
    <xf numFmtId="0" fontId="129" fillId="3" borderId="190" xfId="37365" applyFont="1" applyFill="1" applyBorder="1" applyAlignment="1" applyProtection="1">
      <alignment horizontal="left" vertical="center"/>
      <protection locked="0"/>
    </xf>
    <xf numFmtId="3" fontId="129" fillId="3" borderId="190" xfId="5" applyNumberFormat="1" applyFont="1" applyFill="1" applyBorder="1" applyAlignment="1" applyProtection="1">
      <protection locked="0"/>
    </xf>
    <xf numFmtId="0" fontId="129" fillId="3" borderId="190" xfId="5" applyFont="1" applyFill="1" applyBorder="1" applyAlignment="1" applyProtection="1">
      <protection locked="0"/>
    </xf>
    <xf numFmtId="0" fontId="355" fillId="3" borderId="190" xfId="37365" applyFont="1" applyFill="1" applyBorder="1" applyAlignment="1" applyProtection="1">
      <alignment horizontal="right"/>
      <protection locked="0"/>
    </xf>
    <xf numFmtId="0" fontId="129" fillId="0" borderId="190" xfId="37365" applyFont="1" applyFill="1" applyBorder="1" applyAlignment="1" applyProtection="1">
      <alignment horizontal="left" vertical="center"/>
      <protection locked="0"/>
    </xf>
    <xf numFmtId="0" fontId="353" fillId="3" borderId="190" xfId="16" applyFont="1" applyFill="1" applyBorder="1" applyAlignment="1" applyProtection="1">
      <protection locked="0"/>
    </xf>
    <xf numFmtId="3" fontId="353" fillId="75" borderId="190" xfId="16" applyNumberFormat="1" applyFont="1" applyFill="1" applyBorder="1" applyAlignment="1" applyProtection="1"/>
    <xf numFmtId="0" fontId="358" fillId="0" borderId="0" xfId="37364" applyFont="1" applyFill="1" applyAlignment="1" applyProtection="1">
      <alignment vertical="center"/>
      <protection locked="0"/>
    </xf>
    <xf numFmtId="0" fontId="129" fillId="3" borderId="190" xfId="5" applyFont="1" applyFill="1" applyBorder="1" applyProtection="1">
      <protection locked="0"/>
    </xf>
    <xf numFmtId="0" fontId="129" fillId="0" borderId="190" xfId="37365" applyFont="1" applyFill="1" applyBorder="1" applyAlignment="1" applyProtection="1">
      <alignment horizontal="center" vertical="top" wrapText="1"/>
      <protection locked="0"/>
    </xf>
    <xf numFmtId="0" fontId="353" fillId="3" borderId="190" xfId="37365" applyFont="1" applyFill="1" applyBorder="1" applyAlignment="1" applyProtection="1">
      <alignment wrapText="1"/>
      <protection locked="0"/>
    </xf>
    <xf numFmtId="3" fontId="129" fillId="0" borderId="190" xfId="5" applyNumberFormat="1" applyFont="1" applyFill="1" applyBorder="1" applyProtection="1"/>
    <xf numFmtId="0" fontId="118" fillId="75" borderId="95" xfId="20952" applyFont="1" applyFill="1" applyBorder="1" applyAlignment="1">
      <alignment vertical="center"/>
    </xf>
    <xf numFmtId="0" fontId="118" fillId="75" borderId="96" xfId="20952" applyFont="1" applyFill="1" applyBorder="1" applyAlignment="1">
      <alignment vertical="center"/>
    </xf>
    <xf numFmtId="0" fontId="118" fillId="75" borderId="93" xfId="20952" applyFont="1" applyFill="1" applyBorder="1" applyAlignment="1">
      <alignment vertical="center"/>
    </xf>
    <xf numFmtId="0" fontId="118" fillId="76" borderId="96" xfId="20952" applyFont="1" applyFill="1" applyBorder="1" applyAlignment="1">
      <alignment vertical="center"/>
    </xf>
    <xf numFmtId="0" fontId="118" fillId="3" borderId="96" xfId="20952" applyFont="1" applyFill="1" applyBorder="1" applyAlignment="1">
      <alignment vertical="center"/>
    </xf>
    <xf numFmtId="0" fontId="92" fillId="69" borderId="92" xfId="20952" applyFont="1" applyFill="1" applyBorder="1" applyAlignment="1">
      <alignment horizontal="center" vertical="center"/>
    </xf>
    <xf numFmtId="0" fontId="92" fillId="69" borderId="93" xfId="20952" applyFont="1" applyFill="1" applyBorder="1" applyAlignment="1">
      <alignment horizontal="left" vertical="center" wrapText="1"/>
    </xf>
    <xf numFmtId="0" fontId="118" fillId="76" borderId="94" xfId="20952" applyFont="1" applyFill="1" applyBorder="1" applyAlignment="1">
      <alignment horizontal="center" vertical="center"/>
    </xf>
    <xf numFmtId="0" fontId="118" fillId="76" borderId="96" xfId="20952" applyFont="1" applyFill="1" applyBorder="1" applyAlignment="1">
      <alignment vertical="top" wrapText="1"/>
    </xf>
    <xf numFmtId="0" fontId="92" fillId="69" borderId="96" xfId="20952" applyFont="1" applyFill="1" applyBorder="1" applyAlignment="1">
      <alignment vertical="center" wrapText="1"/>
    </xf>
    <xf numFmtId="0" fontId="92" fillId="69" borderId="93" xfId="20952" applyFont="1" applyFill="1" applyBorder="1" applyAlignment="1">
      <alignment horizontal="left" vertical="center"/>
    </xf>
    <xf numFmtId="0" fontId="92" fillId="3" borderId="92" xfId="20952" applyFont="1" applyFill="1" applyBorder="1" applyAlignment="1">
      <alignment horizontal="center" vertical="center"/>
    </xf>
    <xf numFmtId="0" fontId="92" fillId="69" borderId="94" xfId="20952" applyFont="1" applyFill="1" applyBorder="1" applyAlignment="1">
      <alignment horizontal="center" vertical="center"/>
    </xf>
    <xf numFmtId="0" fontId="348" fillId="0" borderId="0" xfId="0" applyFont="1" applyAlignment="1">
      <alignment wrapText="1"/>
    </xf>
    <xf numFmtId="0" fontId="104" fillId="69" borderId="197" xfId="20952" applyFont="1" applyFill="1" applyBorder="1" applyAlignment="1" applyProtection="1">
      <alignment horizontal="center" vertical="center"/>
      <protection locked="0"/>
    </xf>
    <xf numFmtId="0" fontId="105" fillId="76" borderId="190" xfId="20952" applyFont="1" applyFill="1" applyBorder="1" applyAlignment="1" applyProtection="1">
      <alignment horizontal="center" vertical="center"/>
      <protection locked="0"/>
    </xf>
    <xf numFmtId="0" fontId="360" fillId="0" borderId="0" xfId="0" applyFont="1" applyAlignment="1">
      <alignment horizontal="justify"/>
    </xf>
    <xf numFmtId="0" fontId="85" fillId="0" borderId="190" xfId="0" applyFont="1" applyBorder="1"/>
    <xf numFmtId="14" fontId="85" fillId="0" borderId="0" xfId="0" applyNumberFormat="1" applyFont="1"/>
    <xf numFmtId="197" fontId="94" fillId="0" borderId="190" xfId="0" applyNumberFormat="1" applyFont="1" applyFill="1" applyBorder="1" applyAlignment="1" applyProtection="1">
      <alignment vertical="center" wrapText="1"/>
      <protection locked="0"/>
    </xf>
    <xf numFmtId="197" fontId="3" fillId="0" borderId="190" xfId="0" applyNumberFormat="1" applyFont="1" applyFill="1" applyBorder="1" applyAlignment="1" applyProtection="1">
      <alignment vertical="center" wrapText="1"/>
      <protection locked="0"/>
    </xf>
    <xf numFmtId="197" fontId="3" fillId="0" borderId="76" xfId="0" applyNumberFormat="1" applyFont="1" applyFill="1" applyBorder="1" applyAlignment="1" applyProtection="1">
      <alignment vertical="center" wrapText="1"/>
      <protection locked="0"/>
    </xf>
    <xf numFmtId="197" fontId="94" fillId="0" borderId="190" xfId="0" applyNumberFormat="1" applyFont="1" applyFill="1" applyBorder="1" applyAlignment="1" applyProtection="1">
      <alignment horizontal="right" vertical="center" wrapText="1"/>
      <protection locked="0"/>
    </xf>
    <xf numFmtId="10" fontId="3" fillId="0" borderId="190" xfId="20950" applyNumberFormat="1" applyFont="1" applyFill="1" applyBorder="1" applyAlignment="1" applyProtection="1">
      <alignment horizontal="right" vertical="center" wrapText="1"/>
      <protection locked="0"/>
    </xf>
    <xf numFmtId="10" fontId="3" fillId="0" borderId="190" xfId="20950" applyNumberFormat="1" applyFont="1" applyBorder="1" applyAlignment="1" applyProtection="1">
      <alignment vertical="center" wrapText="1"/>
      <protection locked="0"/>
    </xf>
    <xf numFmtId="10" fontId="3" fillId="0" borderId="76" xfId="20950" applyNumberFormat="1" applyFont="1" applyBorder="1" applyAlignment="1" applyProtection="1">
      <alignment vertical="center" wrapText="1"/>
      <protection locked="0"/>
    </xf>
    <xf numFmtId="171" fontId="361" fillId="2" borderId="190" xfId="20950" applyNumberFormat="1" applyFont="1" applyFill="1" applyBorder="1" applyAlignment="1" applyProtection="1">
      <alignment vertical="center"/>
      <protection locked="0"/>
    </xf>
    <xf numFmtId="171" fontId="361" fillId="2" borderId="76" xfId="20950" applyNumberFormat="1" applyFont="1" applyFill="1" applyBorder="1" applyAlignment="1" applyProtection="1">
      <alignment vertical="center"/>
      <protection locked="0"/>
    </xf>
    <xf numFmtId="171" fontId="9" fillId="36" borderId="0" xfId="20950" applyNumberFormat="1" applyFont="1" applyFill="1" applyBorder="1"/>
    <xf numFmtId="171" fontId="9" fillId="36" borderId="91" xfId="20950" applyNumberFormat="1" applyFont="1" applyFill="1" applyBorder="1"/>
    <xf numFmtId="171" fontId="92" fillId="2" borderId="190" xfId="20950" applyNumberFormat="1" applyFont="1" applyFill="1" applyBorder="1" applyAlignment="1" applyProtection="1">
      <alignment vertical="center"/>
      <protection locked="0"/>
    </xf>
    <xf numFmtId="171" fontId="92" fillId="2" borderId="76" xfId="20950" applyNumberFormat="1" applyFont="1" applyFill="1" applyBorder="1" applyAlignment="1" applyProtection="1">
      <alignment vertical="center"/>
      <protection locked="0"/>
    </xf>
    <xf numFmtId="197" fontId="92" fillId="2" borderId="190" xfId="0" applyNumberFormat="1" applyFont="1" applyFill="1" applyBorder="1" applyAlignment="1" applyProtection="1">
      <alignment vertical="center"/>
      <protection locked="0"/>
    </xf>
    <xf numFmtId="197" fontId="92" fillId="2" borderId="76" xfId="0" applyNumberFormat="1" applyFont="1" applyFill="1" applyBorder="1" applyAlignment="1" applyProtection="1">
      <alignment vertical="center"/>
      <protection locked="0"/>
    </xf>
    <xf numFmtId="197" fontId="361" fillId="2" borderId="190" xfId="0" applyNumberFormat="1" applyFont="1" applyFill="1" applyBorder="1" applyAlignment="1" applyProtection="1">
      <alignment vertical="center"/>
      <protection locked="0"/>
    </xf>
    <xf numFmtId="197" fontId="361" fillId="2" borderId="76" xfId="0" applyNumberFormat="1" applyFont="1" applyFill="1" applyBorder="1" applyAlignment="1" applyProtection="1">
      <alignment vertical="center"/>
      <protection locked="0"/>
    </xf>
    <xf numFmtId="197" fontId="361" fillId="2" borderId="197" xfId="0" applyNumberFormat="1" applyFont="1" applyFill="1" applyBorder="1" applyAlignment="1" applyProtection="1">
      <alignment vertical="center"/>
      <protection locked="0"/>
    </xf>
    <xf numFmtId="197" fontId="361" fillId="2" borderId="86" xfId="0" applyNumberFormat="1" applyFont="1" applyFill="1" applyBorder="1" applyAlignment="1" applyProtection="1">
      <alignment vertical="center"/>
      <protection locked="0"/>
    </xf>
    <xf numFmtId="171" fontId="361" fillId="2" borderId="203" xfId="20950" applyNumberFormat="1" applyFont="1" applyFill="1" applyBorder="1" applyAlignment="1" applyProtection="1">
      <alignment vertical="center"/>
      <protection locked="0"/>
    </xf>
    <xf numFmtId="171" fontId="361" fillId="2" borderId="204" xfId="20950" applyNumberFormat="1" applyFont="1" applyFill="1" applyBorder="1" applyAlignment="1" applyProtection="1">
      <alignment vertical="center"/>
      <protection locked="0"/>
    </xf>
    <xf numFmtId="170" fontId="0" fillId="0" borderId="190" xfId="7" applyNumberFormat="1" applyFont="1" applyBorder="1"/>
    <xf numFmtId="170" fontId="0" fillId="35" borderId="190" xfId="7" applyNumberFormat="1" applyFont="1" applyFill="1" applyBorder="1"/>
    <xf numFmtId="170" fontId="0" fillId="0" borderId="190" xfId="7" applyNumberFormat="1" applyFont="1" applyBorder="1" applyAlignment="1">
      <alignment vertical="center"/>
    </xf>
    <xf numFmtId="170" fontId="0" fillId="35" borderId="190" xfId="7" applyNumberFormat="1" applyFont="1" applyFill="1" applyBorder="1" applyAlignment="1">
      <alignment vertical="center"/>
    </xf>
    <xf numFmtId="366" fontId="0" fillId="0" borderId="190" xfId="7" applyNumberFormat="1" applyFont="1" applyBorder="1"/>
    <xf numFmtId="0" fontId="0" fillId="0" borderId="190" xfId="0" applyBorder="1"/>
    <xf numFmtId="170" fontId="0" fillId="0" borderId="190" xfId="7" applyNumberFormat="1" applyFont="1" applyBorder="1" applyProtection="1"/>
    <xf numFmtId="170" fontId="0" fillId="0" borderId="190" xfId="7" applyNumberFormat="1" applyFont="1" applyFill="1" applyBorder="1"/>
    <xf numFmtId="197" fontId="92" fillId="35" borderId="76" xfId="0" applyNumberFormat="1" applyFont="1" applyFill="1" applyBorder="1" applyAlignment="1" applyProtection="1">
      <alignment horizontal="right"/>
    </xf>
    <xf numFmtId="3" fontId="101" fillId="0" borderId="190" xfId="0" applyNumberFormat="1" applyFont="1" applyBorder="1" applyAlignment="1">
      <alignment vertical="center" wrapText="1"/>
    </xf>
    <xf numFmtId="3" fontId="101" fillId="0" borderId="190" xfId="0" applyNumberFormat="1" applyFont="1" applyFill="1" applyBorder="1" applyAlignment="1">
      <alignment vertical="center" wrapText="1"/>
    </xf>
    <xf numFmtId="0" fontId="2" fillId="0" borderId="205" xfId="0" applyFont="1" applyBorder="1" applyAlignment="1">
      <alignment vertical="center"/>
    </xf>
    <xf numFmtId="0" fontId="2" fillId="0" borderId="186" xfId="0" applyFont="1" applyBorder="1" applyAlignment="1">
      <alignment wrapText="1"/>
    </xf>
    <xf numFmtId="0" fontId="84" fillId="0" borderId="79" xfId="0" applyFont="1" applyBorder="1" applyAlignment="1"/>
    <xf numFmtId="0" fontId="2" fillId="0" borderId="206" xfId="0" applyFont="1" applyBorder="1" applyAlignment="1">
      <alignment wrapText="1"/>
    </xf>
    <xf numFmtId="0" fontId="84" fillId="0" borderId="207" xfId="0" applyFont="1" applyBorder="1" applyAlignment="1"/>
    <xf numFmtId="0" fontId="45" fillId="0" borderId="206" xfId="0" applyFont="1" applyBorder="1" applyAlignment="1">
      <alignment horizontal="center" vertical="center" wrapText="1"/>
    </xf>
    <xf numFmtId="0" fontId="45" fillId="0" borderId="207" xfId="0" applyFont="1" applyBorder="1" applyAlignment="1">
      <alignment horizontal="center" vertical="center" wrapText="1"/>
    </xf>
    <xf numFmtId="0" fontId="2" fillId="0" borderId="79" xfId="0" applyFont="1" applyBorder="1" applyAlignment="1"/>
    <xf numFmtId="10" fontId="84" fillId="0" borderId="79" xfId="20950" applyNumberFormat="1" applyFont="1" applyBorder="1" applyAlignment="1"/>
    <xf numFmtId="197" fontId="85" fillId="0" borderId="0" xfId="0" applyNumberFormat="1" applyFont="1"/>
    <xf numFmtId="43" fontId="3" fillId="0" borderId="206" xfId="7" applyFont="1" applyFill="1" applyBorder="1" applyAlignment="1">
      <alignment vertical="center" wrapText="1"/>
    </xf>
    <xf numFmtId="197" fontId="0" fillId="0" borderId="207" xfId="0" applyNumberFormat="1" applyBorder="1" applyAlignment="1"/>
    <xf numFmtId="197" fontId="0" fillId="0" borderId="207" xfId="0" applyNumberFormat="1" applyBorder="1" applyAlignment="1">
      <alignment wrapText="1"/>
    </xf>
    <xf numFmtId="197" fontId="0" fillId="35" borderId="207" xfId="0" applyNumberFormat="1" applyFill="1" applyBorder="1" applyAlignment="1">
      <alignment horizontal="center" vertical="center" wrapText="1"/>
    </xf>
    <xf numFmtId="170" fontId="3" fillId="0" borderId="76" xfId="7" applyNumberFormat="1" applyFont="1" applyFill="1" applyBorder="1" applyAlignment="1">
      <alignment horizontal="right" vertical="center" wrapText="1"/>
    </xf>
    <xf numFmtId="170" fontId="4" fillId="35" borderId="76" xfId="7" applyNumberFormat="1" applyFont="1" applyFill="1" applyBorder="1" applyAlignment="1">
      <alignment horizontal="left" vertical="center" wrapText="1"/>
    </xf>
    <xf numFmtId="170" fontId="4" fillId="35" borderId="76" xfId="7" applyNumberFormat="1" applyFont="1" applyFill="1" applyBorder="1" applyAlignment="1">
      <alignment horizontal="center" vertical="center" wrapText="1"/>
    </xf>
    <xf numFmtId="170" fontId="3" fillId="0" borderId="21" xfId="7" applyNumberFormat="1" applyFont="1" applyFill="1" applyBorder="1" applyAlignment="1">
      <alignment horizontal="right" vertical="center" wrapText="1"/>
    </xf>
    <xf numFmtId="170" fontId="3" fillId="0" borderId="0" xfId="7" applyNumberFormat="1" applyFont="1"/>
    <xf numFmtId="170" fontId="3" fillId="0" borderId="0" xfId="0" applyNumberFormat="1" applyFont="1" applyFill="1" applyAlignment="1">
      <alignment horizontal="left" vertical="center"/>
    </xf>
    <xf numFmtId="43" fontId="349" fillId="0" borderId="208" xfId="7" applyFont="1" applyBorder="1" applyAlignment="1">
      <alignment horizontal="center" vertical="center"/>
    </xf>
    <xf numFmtId="173" fontId="348" fillId="0" borderId="209" xfId="0" applyNumberFormat="1" applyFont="1" applyBorder="1" applyAlignment="1">
      <alignment horizontal="center"/>
    </xf>
    <xf numFmtId="43" fontId="348" fillId="0" borderId="11" xfId="7" applyFont="1" applyBorder="1" applyAlignment="1">
      <alignment horizontal="center" vertical="center"/>
    </xf>
    <xf numFmtId="173" fontId="348" fillId="0" borderId="54" xfId="0" applyNumberFormat="1" applyFont="1" applyBorder="1" applyAlignment="1">
      <alignment horizontal="center"/>
    </xf>
    <xf numFmtId="43" fontId="349" fillId="0" borderId="11" xfId="7" applyFont="1" applyBorder="1" applyAlignment="1">
      <alignment horizontal="center" vertical="center"/>
    </xf>
    <xf numFmtId="43" fontId="130" fillId="0" borderId="11" xfId="7" applyFont="1" applyBorder="1" applyAlignment="1">
      <alignment horizontal="center" vertical="center"/>
    </xf>
    <xf numFmtId="173" fontId="130" fillId="0" borderId="54" xfId="0" applyNumberFormat="1" applyFont="1" applyBorder="1" applyAlignment="1">
      <alignment horizontal="center"/>
    </xf>
    <xf numFmtId="43" fontId="362" fillId="0" borderId="11" xfId="7" applyFont="1" applyBorder="1" applyAlignment="1">
      <alignment horizontal="center" vertical="center"/>
    </xf>
    <xf numFmtId="43" fontId="348" fillId="0" borderId="11" xfId="7" applyFont="1" applyFill="1" applyBorder="1" applyAlignment="1">
      <alignment horizontal="center" vertical="center"/>
    </xf>
    <xf numFmtId="173" fontId="359" fillId="0" borderId="54" xfId="0" applyNumberFormat="1" applyFont="1" applyFill="1" applyBorder="1" applyAlignment="1">
      <alignment horizontal="center"/>
    </xf>
    <xf numFmtId="43" fontId="348" fillId="0" borderId="12" xfId="7" applyFont="1" applyBorder="1" applyAlignment="1">
      <alignment horizontal="center" vertical="center"/>
    </xf>
    <xf numFmtId="173" fontId="348" fillId="0" borderId="56" xfId="0" applyNumberFormat="1" applyFont="1" applyBorder="1" applyAlignment="1">
      <alignment horizontal="center"/>
    </xf>
    <xf numFmtId="173" fontId="349" fillId="0" borderId="210" xfId="0" applyNumberFormat="1" applyFont="1" applyFill="1" applyBorder="1" applyAlignment="1">
      <alignment horizontal="center"/>
    </xf>
    <xf numFmtId="43" fontId="349" fillId="0" borderId="12" xfId="7" applyFont="1" applyBorder="1" applyAlignment="1">
      <alignment horizontal="center" vertical="center"/>
    </xf>
    <xf numFmtId="43" fontId="130" fillId="0" borderId="12" xfId="7" applyFont="1" applyBorder="1" applyAlignment="1">
      <alignment vertical="center"/>
    </xf>
    <xf numFmtId="173" fontId="348" fillId="0" borderId="57" xfId="0" applyNumberFormat="1" applyFont="1" applyBorder="1" applyAlignment="1">
      <alignment horizontal="center"/>
    </xf>
    <xf numFmtId="43" fontId="349" fillId="0" borderId="211" xfId="7" applyFont="1" applyFill="1" applyBorder="1" applyAlignment="1">
      <alignment horizontal="center" vertical="center"/>
    </xf>
    <xf numFmtId="43" fontId="348" fillId="0" borderId="206" xfId="7" applyFont="1" applyBorder="1" applyAlignment="1">
      <alignment horizontal="center" vertical="center"/>
    </xf>
    <xf numFmtId="173" fontId="348" fillId="0" borderId="206" xfId="0" applyNumberFormat="1" applyFont="1" applyBorder="1" applyAlignment="1">
      <alignment horizontal="center"/>
    </xf>
    <xf numFmtId="43" fontId="349" fillId="0" borderId="206" xfId="7" applyFont="1" applyFill="1" applyBorder="1" applyAlignment="1">
      <alignment horizontal="center" vertical="center"/>
    </xf>
    <xf numFmtId="173" fontId="348" fillId="0" borderId="206" xfId="0" applyNumberFormat="1" applyFont="1" applyFill="1" applyBorder="1" applyAlignment="1">
      <alignment horizontal="center"/>
    </xf>
    <xf numFmtId="0" fontId="348" fillId="0" borderId="206" xfId="0" applyFont="1" applyBorder="1"/>
    <xf numFmtId="43" fontId="348" fillId="0" borderId="206" xfId="7" applyFont="1" applyFill="1" applyBorder="1" applyAlignment="1">
      <alignment horizontal="center" vertical="center"/>
    </xf>
    <xf numFmtId="43" fontId="349" fillId="0" borderId="206" xfId="7" applyFont="1" applyBorder="1" applyAlignment="1">
      <alignment horizontal="center" vertical="center"/>
    </xf>
    <xf numFmtId="43" fontId="85" fillId="0" borderId="0" xfId="0" applyNumberFormat="1" applyFont="1"/>
    <xf numFmtId="173" fontId="87" fillId="0" borderId="0" xfId="0" applyNumberFormat="1" applyFont="1"/>
    <xf numFmtId="9" fontId="3" fillId="0" borderId="207" xfId="20950" applyFont="1" applyBorder="1"/>
    <xf numFmtId="170" fontId="103" fillId="0" borderId="206" xfId="948" applyNumberFormat="1" applyFont="1" applyFill="1" applyBorder="1" applyAlignment="1" applyProtection="1">
      <alignment horizontal="right" vertical="center"/>
      <protection locked="0"/>
    </xf>
    <xf numFmtId="170" fontId="103" fillId="76" borderId="206" xfId="948" applyNumberFormat="1" applyFont="1" applyFill="1" applyBorder="1" applyAlignment="1" applyProtection="1">
      <alignment horizontal="right" vertical="center"/>
    </xf>
    <xf numFmtId="170" fontId="45" fillId="75" borderId="191" xfId="948" applyNumberFormat="1" applyFont="1" applyFill="1" applyBorder="1" applyAlignment="1" applyProtection="1">
      <alignment horizontal="right" vertical="center"/>
      <protection locked="0"/>
    </xf>
    <xf numFmtId="170" fontId="102" fillId="75" borderId="191" xfId="948" applyNumberFormat="1" applyFont="1" applyFill="1" applyBorder="1" applyAlignment="1" applyProtection="1">
      <alignment horizontal="right" vertical="center"/>
      <protection locked="0"/>
    </xf>
    <xf numFmtId="10" fontId="103" fillId="76" borderId="206" xfId="20950" applyNumberFormat="1" applyFont="1" applyFill="1" applyBorder="1" applyAlignment="1" applyProtection="1">
      <alignment horizontal="right" vertical="center"/>
    </xf>
    <xf numFmtId="170" fontId="103" fillId="3" borderId="206" xfId="948" applyNumberFormat="1" applyFont="1" applyFill="1" applyBorder="1" applyAlignment="1" applyProtection="1">
      <alignment horizontal="right" vertical="center"/>
      <protection locked="0"/>
    </xf>
    <xf numFmtId="170" fontId="3" fillId="0" borderId="206" xfId="7" applyNumberFormat="1" applyFont="1" applyBorder="1"/>
    <xf numFmtId="170" fontId="3" fillId="0" borderId="207" xfId="7" applyNumberFormat="1" applyFont="1" applyBorder="1"/>
    <xf numFmtId="175" fontId="9" fillId="36" borderId="206" xfId="20" applyBorder="1"/>
    <xf numFmtId="170" fontId="3" fillId="0" borderId="206" xfId="7" applyNumberFormat="1" applyFont="1" applyBorder="1" applyAlignment="1">
      <alignment vertical="center"/>
    </xf>
    <xf numFmtId="170" fontId="4" fillId="0" borderId="207" xfId="7" applyNumberFormat="1" applyFont="1" applyBorder="1"/>
    <xf numFmtId="170" fontId="3" fillId="0" borderId="206" xfId="7" applyNumberFormat="1" applyFont="1" applyFill="1" applyBorder="1"/>
    <xf numFmtId="170" fontId="3" fillId="0" borderId="206" xfId="7" applyNumberFormat="1" applyFont="1" applyFill="1" applyBorder="1" applyAlignment="1">
      <alignment vertical="center"/>
    </xf>
    <xf numFmtId="175" fontId="9" fillId="36" borderId="212" xfId="20" applyBorder="1"/>
    <xf numFmtId="175" fontId="9" fillId="36" borderId="213" xfId="20" applyBorder="1"/>
    <xf numFmtId="175" fontId="9" fillId="36" borderId="214" xfId="20" applyBorder="1"/>
    <xf numFmtId="10" fontId="4" fillId="0" borderId="204" xfId="20950" applyNumberFormat="1" applyFont="1" applyBorder="1"/>
    <xf numFmtId="366" fontId="112" fillId="0" borderId="122" xfId="7" applyNumberFormat="1" applyFont="1" applyBorder="1"/>
    <xf numFmtId="366" fontId="109" fillId="0" borderId="0" xfId="0" applyNumberFormat="1" applyFont="1"/>
    <xf numFmtId="170" fontId="108" fillId="0" borderId="206" xfId="7" applyNumberFormat="1" applyFont="1" applyBorder="1"/>
    <xf numFmtId="170" fontId="108" fillId="0" borderId="206" xfId="7" applyNumberFormat="1" applyFont="1" applyFill="1" applyBorder="1"/>
    <xf numFmtId="170" fontId="111" fillId="0" borderId="206" xfId="7" applyNumberFormat="1" applyFont="1" applyBorder="1"/>
    <xf numFmtId="172" fontId="109" fillId="0" borderId="0" xfId="0" applyNumberFormat="1" applyFont="1"/>
    <xf numFmtId="366" fontId="108" fillId="0" borderId="206" xfId="7" applyNumberFormat="1" applyFont="1" applyBorder="1"/>
    <xf numFmtId="366" fontId="111" fillId="0" borderId="206" xfId="7" applyNumberFormat="1" applyFont="1" applyBorder="1"/>
    <xf numFmtId="43" fontId="109" fillId="0" borderId="206" xfId="7" applyFont="1" applyBorder="1"/>
    <xf numFmtId="43" fontId="112" fillId="0" borderId="206" xfId="7" applyFont="1" applyBorder="1"/>
    <xf numFmtId="170" fontId="112" fillId="152" borderId="206" xfId="7" applyNumberFormat="1" applyFont="1" applyFill="1" applyBorder="1"/>
    <xf numFmtId="0" fontId="108" fillId="0" borderId="206" xfId="0" applyFont="1" applyBorder="1"/>
    <xf numFmtId="170" fontId="108" fillId="0" borderId="206" xfId="7" applyNumberFormat="1" applyFont="1" applyBorder="1" applyAlignment="1">
      <alignment horizontal="left" indent="1"/>
    </xf>
    <xf numFmtId="0" fontId="108" fillId="0" borderId="206" xfId="0" applyFont="1" applyBorder="1" applyAlignment="1">
      <alignment horizontal="left" indent="1"/>
    </xf>
    <xf numFmtId="170" fontId="109" fillId="153" borderId="206" xfId="7" applyNumberFormat="1" applyFont="1" applyFill="1" applyBorder="1"/>
    <xf numFmtId="0" fontId="111" fillId="151" borderId="206" xfId="0" applyFont="1" applyFill="1" applyBorder="1"/>
    <xf numFmtId="43" fontId="108" fillId="0" borderId="206" xfId="7" applyFont="1" applyBorder="1" applyAlignment="1">
      <alignment horizontal="left" indent="1"/>
    </xf>
    <xf numFmtId="43" fontId="111" fillId="0" borderId="206" xfId="7" applyFont="1" applyBorder="1"/>
    <xf numFmtId="43" fontId="111" fillId="151" borderId="206" xfId="7" applyFont="1" applyFill="1" applyBorder="1"/>
    <xf numFmtId="0" fontId="111" fillId="0" borderId="206" xfId="0" applyFont="1" applyBorder="1"/>
    <xf numFmtId="43" fontId="108" fillId="0" borderId="206" xfId="7" applyFont="1" applyBorder="1"/>
    <xf numFmtId="170" fontId="111" fillId="0" borderId="205" xfId="7" applyNumberFormat="1" applyFont="1" applyBorder="1" applyAlignment="1">
      <alignment horizontal="left" indent="1"/>
    </xf>
    <xf numFmtId="170" fontId="108" fillId="0" borderId="205" xfId="7" applyNumberFormat="1" applyFont="1" applyBorder="1" applyAlignment="1">
      <alignment horizontal="left" indent="1"/>
    </xf>
    <xf numFmtId="170" fontId="108" fillId="78" borderId="205" xfId="7" applyNumberFormat="1" applyFont="1" applyFill="1" applyBorder="1"/>
    <xf numFmtId="170" fontId="108" fillId="78" borderId="206" xfId="7" applyNumberFormat="1" applyFont="1" applyFill="1" applyBorder="1"/>
    <xf numFmtId="0" fontId="108" fillId="78" borderId="206" xfId="0" applyFont="1" applyFill="1" applyBorder="1"/>
    <xf numFmtId="0" fontId="108" fillId="0" borderId="206" xfId="0" applyFont="1" applyFill="1" applyBorder="1"/>
    <xf numFmtId="170" fontId="108" fillId="0" borderId="215" xfId="7" applyNumberFormat="1" applyFont="1" applyFill="1" applyBorder="1" applyAlignment="1">
      <alignment horizontal="left" wrapText="1" indent="1"/>
    </xf>
    <xf numFmtId="170" fontId="108" fillId="0" borderId="203" xfId="7" applyNumberFormat="1" applyFont="1" applyFill="1" applyBorder="1"/>
    <xf numFmtId="0" fontId="108" fillId="0" borderId="203" xfId="0" applyFont="1" applyFill="1" applyBorder="1"/>
    <xf numFmtId="170" fontId="108" fillId="0" borderId="206" xfId="7" applyNumberFormat="1" applyFont="1" applyFill="1" applyBorder="1" applyAlignment="1">
      <alignment horizontal="left" vertical="center" wrapText="1"/>
    </xf>
    <xf numFmtId="170" fontId="108" fillId="0" borderId="206" xfId="7" applyNumberFormat="1" applyFont="1" applyBorder="1" applyAlignment="1">
      <alignment horizontal="center" vertical="center" textRotation="90" wrapText="1"/>
    </xf>
    <xf numFmtId="170" fontId="108" fillId="0" borderId="206" xfId="7" applyNumberFormat="1" applyFont="1" applyBorder="1" applyAlignment="1">
      <alignment horizontal="center" vertical="center" wrapText="1"/>
    </xf>
    <xf numFmtId="170" fontId="108" fillId="0" borderId="206" xfId="7" applyNumberFormat="1" applyFont="1" applyBorder="1" applyAlignment="1">
      <alignment horizontal="center" vertical="center"/>
    </xf>
    <xf numFmtId="170" fontId="111" fillId="0" borderId="206" xfId="7" applyNumberFormat="1" applyFont="1" applyFill="1" applyBorder="1" applyAlignment="1">
      <alignment horizontal="left" vertical="center" wrapText="1"/>
    </xf>
    <xf numFmtId="43" fontId="113" fillId="0" borderId="206" xfId="7" applyFont="1" applyBorder="1"/>
    <xf numFmtId="170" fontId="113" fillId="0" borderId="206" xfId="7" applyNumberFormat="1" applyFont="1" applyBorder="1"/>
    <xf numFmtId="170" fontId="113" fillId="0" borderId="197" xfId="7" applyNumberFormat="1" applyFont="1" applyBorder="1"/>
    <xf numFmtId="170" fontId="9" fillId="36" borderId="0" xfId="7" applyNumberFormat="1" applyFont="1" applyFill="1" applyBorder="1"/>
    <xf numFmtId="170" fontId="3" fillId="0" borderId="80" xfId="7" applyNumberFormat="1" applyFont="1" applyFill="1" applyBorder="1" applyAlignment="1">
      <alignment vertical="center"/>
    </xf>
    <xf numFmtId="170" fontId="3" fillId="0" borderId="59" xfId="7" applyNumberFormat="1" applyFont="1" applyFill="1" applyBorder="1" applyAlignment="1">
      <alignment vertical="center"/>
    </xf>
    <xf numFmtId="170" fontId="3" fillId="3" borderId="78" xfId="7" applyNumberFormat="1" applyFont="1" applyFill="1" applyBorder="1" applyAlignment="1">
      <alignment vertical="center"/>
    </xf>
    <xf numFmtId="170" fontId="3" fillId="3" borderId="79" xfId="7" applyNumberFormat="1" applyFont="1" applyFill="1" applyBorder="1" applyAlignment="1">
      <alignment vertical="center"/>
    </xf>
    <xf numFmtId="170" fontId="3" fillId="0" borderId="75" xfId="7" applyNumberFormat="1" applyFont="1" applyFill="1" applyBorder="1" applyAlignment="1">
      <alignment vertical="center"/>
    </xf>
    <xf numFmtId="170" fontId="3" fillId="0" borderId="81" xfId="7" applyNumberFormat="1" applyFont="1" applyFill="1" applyBorder="1" applyAlignment="1">
      <alignment vertical="center"/>
    </xf>
    <xf numFmtId="170" fontId="3" fillId="0" borderId="76" xfId="7" applyNumberFormat="1" applyFont="1" applyFill="1" applyBorder="1" applyAlignment="1">
      <alignment vertical="center"/>
    </xf>
    <xf numFmtId="170" fontId="3" fillId="0" borderId="20" xfId="7" applyNumberFormat="1" applyFont="1" applyFill="1" applyBorder="1" applyAlignment="1">
      <alignment vertical="center"/>
    </xf>
    <xf numFmtId="170" fontId="3" fillId="0" borderId="22" xfId="7" applyNumberFormat="1" applyFont="1" applyFill="1" applyBorder="1" applyAlignment="1">
      <alignment vertical="center"/>
    </xf>
    <xf numFmtId="170" fontId="3" fillId="0" borderId="21" xfId="7" applyNumberFormat="1" applyFont="1" applyFill="1" applyBorder="1" applyAlignment="1">
      <alignment vertical="center"/>
    </xf>
    <xf numFmtId="170" fontId="3" fillId="0" borderId="24" xfId="7" applyNumberFormat="1" applyFont="1" applyFill="1" applyBorder="1" applyAlignment="1">
      <alignment vertical="center"/>
    </xf>
    <xf numFmtId="170" fontId="3" fillId="0" borderId="15" xfId="7" applyNumberFormat="1" applyFont="1" applyFill="1" applyBorder="1" applyAlignment="1">
      <alignment vertical="center"/>
    </xf>
    <xf numFmtId="170" fontId="3" fillId="0" borderId="85" xfId="7" applyNumberFormat="1" applyFont="1" applyFill="1" applyBorder="1" applyAlignment="1">
      <alignment vertical="center"/>
    </xf>
    <xf numFmtId="170" fontId="3" fillId="0" borderId="86" xfId="7" applyNumberFormat="1" applyFont="1" applyFill="1" applyBorder="1" applyAlignment="1">
      <alignment vertical="center"/>
    </xf>
    <xf numFmtId="9" fontId="3" fillId="0" borderId="89" xfId="20950" applyFont="1" applyFill="1" applyBorder="1" applyAlignment="1">
      <alignment vertical="center"/>
    </xf>
    <xf numFmtId="9" fontId="3" fillId="0" borderId="90" xfId="20950" applyFont="1" applyFill="1" applyBorder="1" applyAlignment="1">
      <alignment vertical="center"/>
    </xf>
    <xf numFmtId="14" fontId="2" fillId="0" borderId="0" xfId="0" applyNumberFormat="1" applyFont="1" applyAlignment="1">
      <alignment horizontal="left"/>
    </xf>
    <xf numFmtId="0" fontId="91" fillId="0" borderId="61" xfId="0" applyFont="1" applyBorder="1" applyAlignment="1">
      <alignment horizontal="left" wrapText="1"/>
    </xf>
    <xf numFmtId="0" fontId="91" fillId="0" borderId="60" xfId="0" applyFont="1" applyBorder="1" applyAlignment="1">
      <alignment horizontal="left" wrapText="1"/>
    </xf>
    <xf numFmtId="0" fontId="91" fillId="0" borderId="130" xfId="0" applyFont="1" applyBorder="1" applyAlignment="1">
      <alignment horizontal="center" vertical="center"/>
    </xf>
    <xf numFmtId="0" fontId="91" fillId="0" borderId="28" xfId="0" applyFont="1" applyBorder="1" applyAlignment="1">
      <alignment horizontal="center" vertical="center"/>
    </xf>
    <xf numFmtId="0" fontId="91" fillId="0" borderId="131" xfId="0" applyFont="1" applyBorder="1" applyAlignment="1">
      <alignment horizontal="center" vertical="center"/>
    </xf>
    <xf numFmtId="0" fontId="0" fillId="0" borderId="186" xfId="0" applyBorder="1" applyAlignment="1">
      <alignment horizontal="center"/>
    </xf>
    <xf numFmtId="0" fontId="0" fillId="0" borderId="192" xfId="0" applyBorder="1" applyAlignment="1">
      <alignment horizontal="center"/>
    </xf>
    <xf numFmtId="0" fontId="0" fillId="0" borderId="191" xfId="0" applyBorder="1" applyAlignment="1">
      <alignment horizontal="center"/>
    </xf>
    <xf numFmtId="0" fontId="348" fillId="0" borderId="109" xfId="0" applyFont="1" applyBorder="1" applyAlignment="1">
      <alignment horizontal="center" vertical="center"/>
    </xf>
    <xf numFmtId="0" fontId="349" fillId="0" borderId="110" xfId="0" applyFont="1" applyBorder="1" applyAlignment="1">
      <alignment horizontal="center" vertical="center"/>
    </xf>
    <xf numFmtId="0" fontId="349" fillId="0" borderId="7" xfId="0" applyFont="1" applyBorder="1" applyAlignment="1">
      <alignment horizontal="center" vertical="center"/>
    </xf>
    <xf numFmtId="0" fontId="118" fillId="0" borderId="14" xfId="0" applyFont="1" applyFill="1" applyBorder="1" applyAlignment="1" applyProtection="1">
      <alignment horizontal="center" vertical="center"/>
    </xf>
    <xf numFmtId="0" fontId="118" fillId="0" borderId="15" xfId="0" applyFont="1" applyFill="1" applyBorder="1" applyAlignment="1" applyProtection="1">
      <alignment horizontal="center" vertical="center"/>
    </xf>
    <xf numFmtId="0" fontId="348" fillId="0" borderId="111" xfId="0" applyFont="1" applyBorder="1" applyAlignment="1">
      <alignment horizontal="center"/>
    </xf>
    <xf numFmtId="0" fontId="348" fillId="0" borderId="112" xfId="0" applyFont="1" applyBorder="1" applyAlignment="1">
      <alignment horizontal="center"/>
    </xf>
    <xf numFmtId="0" fontId="348" fillId="0" borderId="113" xfId="0" applyFont="1" applyBorder="1" applyAlignment="1">
      <alignment horizontal="center"/>
    </xf>
    <xf numFmtId="0" fontId="0" fillId="0" borderId="63" xfId="0" applyBorder="1" applyAlignment="1">
      <alignment horizontal="center" vertical="center"/>
    </xf>
    <xf numFmtId="0" fontId="0" fillId="0" borderId="70" xfId="0" applyBorder="1" applyAlignment="1">
      <alignment horizontal="center" vertical="center"/>
    </xf>
    <xf numFmtId="0" fontId="117" fillId="0" borderId="126" xfId="0" applyFont="1" applyBorder="1" applyAlignment="1">
      <alignment horizontal="center" vertical="center" wrapText="1"/>
    </xf>
    <xf numFmtId="0" fontId="117" fillId="0" borderId="7" xfId="0" applyFont="1" applyBorder="1" applyAlignment="1">
      <alignment horizontal="center" vertical="center" wrapText="1"/>
    </xf>
    <xf numFmtId="0" fontId="84" fillId="0" borderId="122" xfId="0" applyFont="1" applyBorder="1" applyAlignment="1">
      <alignment horizontal="center" vertical="center"/>
    </xf>
    <xf numFmtId="0" fontId="84" fillId="0" borderId="122" xfId="0" applyFont="1" applyBorder="1" applyAlignment="1">
      <alignment horizontal="center" vertical="center" wrapText="1"/>
    </xf>
    <xf numFmtId="0" fontId="45" fillId="0" borderId="14" xfId="0" applyFont="1" applyFill="1" applyBorder="1" applyAlignment="1" applyProtection="1">
      <alignment horizontal="center" vertical="center"/>
    </xf>
    <xf numFmtId="0" fontId="45" fillId="0" borderId="15" xfId="0" applyFont="1" applyFill="1" applyBorder="1" applyAlignment="1" applyProtection="1">
      <alignment horizontal="center" vertical="center"/>
    </xf>
    <xf numFmtId="0" fontId="45" fillId="0" borderId="206" xfId="0" applyFont="1" applyBorder="1" applyAlignment="1">
      <alignment horizontal="center" vertical="center" wrapText="1"/>
    </xf>
    <xf numFmtId="0" fontId="45" fillId="0" borderId="207"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7" xfId="0" applyFont="1" applyBorder="1" applyAlignment="1">
      <alignment horizontal="center" vertical="center" wrapText="1"/>
    </xf>
    <xf numFmtId="0" fontId="86" fillId="0" borderId="75" xfId="0" applyFont="1" applyFill="1" applyBorder="1" applyAlignment="1">
      <alignment horizontal="center" vertical="center" wrapText="1"/>
    </xf>
    <xf numFmtId="0" fontId="84" fillId="0" borderId="75" xfId="0" applyFont="1" applyFill="1" applyBorder="1" applyAlignment="1">
      <alignment horizontal="center" vertical="center" wrapText="1"/>
    </xf>
    <xf numFmtId="0" fontId="45" fillId="0" borderId="75" xfId="11" applyFont="1" applyFill="1" applyBorder="1" applyAlignment="1" applyProtection="1">
      <alignment horizontal="center" vertical="center" wrapText="1"/>
    </xf>
    <xf numFmtId="0" fontId="45" fillId="0" borderId="76" xfId="11" applyFont="1" applyFill="1" applyBorder="1" applyAlignment="1" applyProtection="1">
      <alignment horizontal="center" vertical="center" wrapText="1"/>
    </xf>
    <xf numFmtId="0" fontId="45" fillId="0" borderId="65"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2"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59" xfId="0" applyFont="1" applyFill="1" applyBorder="1" applyAlignment="1" applyProtection="1">
      <alignment horizontal="center" vertical="center" wrapText="1"/>
    </xf>
    <xf numFmtId="0" fontId="4" fillId="83" borderId="76"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66" xfId="13" applyFont="1" applyFill="1" applyBorder="1" applyAlignment="1" applyProtection="1">
      <alignment horizontal="center" vertical="center" wrapText="1"/>
      <protection locked="0"/>
    </xf>
    <xf numFmtId="0" fontId="96" fillId="3" borderId="59"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0" fontId="45" fillId="3" borderId="64" xfId="1" applyNumberFormat="1" applyFont="1" applyFill="1" applyBorder="1" applyAlignment="1" applyProtection="1">
      <alignment horizontal="center"/>
      <protection locked="0"/>
    </xf>
    <xf numFmtId="170" fontId="45" fillId="3" borderId="25" xfId="1" applyNumberFormat="1" applyFont="1" applyFill="1" applyBorder="1" applyAlignment="1" applyProtection="1">
      <alignment horizontal="center"/>
      <protection locked="0"/>
    </xf>
    <xf numFmtId="170" fontId="45" fillId="3" borderId="26" xfId="1" applyNumberFormat="1" applyFont="1" applyFill="1" applyBorder="1" applyAlignment="1" applyProtection="1">
      <alignment horizontal="center"/>
      <protection locked="0"/>
    </xf>
    <xf numFmtId="170" fontId="45" fillId="0" borderId="13" xfId="1" applyNumberFormat="1" applyFont="1" applyFill="1" applyBorder="1" applyAlignment="1" applyProtection="1">
      <alignment horizontal="center"/>
      <protection locked="0"/>
    </xf>
    <xf numFmtId="170" fontId="45" fillId="0" borderId="14" xfId="1" applyNumberFormat="1" applyFont="1" applyFill="1" applyBorder="1" applyAlignment="1" applyProtection="1">
      <alignment horizontal="center"/>
      <protection locked="0"/>
    </xf>
    <xf numFmtId="170" fontId="45" fillId="0" borderId="15" xfId="1" applyNumberFormat="1" applyFont="1" applyFill="1" applyBorder="1" applyAlignment="1" applyProtection="1">
      <alignment horizontal="center"/>
      <protection locked="0"/>
    </xf>
    <xf numFmtId="0" fontId="86" fillId="0" borderId="48" xfId="0" applyFont="1" applyBorder="1" applyAlignment="1">
      <alignment horizontal="center" vertical="center" wrapText="1"/>
    </xf>
    <xf numFmtId="0" fontId="86" fillId="0" borderId="49" xfId="0" applyFont="1" applyBorder="1" applyAlignment="1">
      <alignment horizontal="center" vertical="center" wrapText="1"/>
    </xf>
    <xf numFmtId="170" fontId="45" fillId="0" borderId="67" xfId="1" applyNumberFormat="1" applyFont="1" applyFill="1" applyBorder="1" applyAlignment="1" applyProtection="1">
      <alignment horizontal="center" vertical="center" wrapText="1"/>
      <protection locked="0"/>
    </xf>
    <xf numFmtId="170" fontId="45" fillId="0" borderId="68" xfId="1" applyNumberFormat="1" applyFont="1" applyFill="1" applyBorder="1" applyAlignment="1" applyProtection="1">
      <alignment horizontal="center" vertical="center" wrapText="1"/>
      <protection locked="0"/>
    </xf>
    <xf numFmtId="0" fontId="3" fillId="0" borderId="6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86" fillId="0" borderId="69" xfId="0" applyFont="1" applyBorder="1" applyAlignment="1">
      <alignment horizontal="center"/>
    </xf>
    <xf numFmtId="0" fontId="86" fillId="0" borderId="70"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7" fillId="0" borderId="51" xfId="0" applyFont="1" applyFill="1" applyBorder="1" applyAlignment="1">
      <alignment horizontal="left" vertical="center"/>
    </xf>
    <xf numFmtId="0" fontId="97" fillId="0" borderId="52" xfId="0" applyFont="1" applyFill="1" applyBorder="1" applyAlignment="1">
      <alignment horizontal="left" vertical="center"/>
    </xf>
    <xf numFmtId="0" fontId="3" fillId="0" borderId="52"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14" xfId="0" applyFont="1" applyBorder="1" applyAlignment="1">
      <alignment horizontal="center"/>
    </xf>
    <xf numFmtId="0" fontId="3" fillId="0" borderId="15" xfId="0" applyFont="1" applyBorder="1" applyAlignment="1">
      <alignment horizontal="center" vertical="center" wrapText="1"/>
    </xf>
    <xf numFmtId="0" fontId="3" fillId="0" borderId="76" xfId="0" applyFont="1" applyBorder="1" applyAlignment="1">
      <alignment horizontal="center" vertical="center" wrapText="1"/>
    </xf>
    <xf numFmtId="0" fontId="111" fillId="0" borderId="99" xfId="0" applyNumberFormat="1" applyFont="1" applyFill="1" applyBorder="1" applyAlignment="1">
      <alignment horizontal="left" vertical="center" wrapText="1"/>
    </xf>
    <xf numFmtId="0" fontId="111" fillId="0" borderId="100" xfId="0" applyNumberFormat="1" applyFont="1" applyFill="1" applyBorder="1" applyAlignment="1">
      <alignment horizontal="left" vertical="center" wrapText="1"/>
    </xf>
    <xf numFmtId="0" fontId="111" fillId="0" borderId="104" xfId="0" applyNumberFormat="1" applyFont="1" applyFill="1" applyBorder="1" applyAlignment="1">
      <alignment horizontal="left" vertical="center" wrapText="1"/>
    </xf>
    <xf numFmtId="0" fontId="111" fillId="0" borderId="105" xfId="0" applyNumberFormat="1" applyFont="1" applyFill="1" applyBorder="1" applyAlignment="1">
      <alignment horizontal="left" vertical="center" wrapText="1"/>
    </xf>
    <xf numFmtId="0" fontId="111" fillId="0" borderId="107" xfId="0" applyNumberFormat="1" applyFont="1" applyFill="1" applyBorder="1" applyAlignment="1">
      <alignment horizontal="left" vertical="center" wrapText="1"/>
    </xf>
    <xf numFmtId="0" fontId="111" fillId="0" borderId="108" xfId="0" applyNumberFormat="1" applyFont="1" applyFill="1" applyBorder="1" applyAlignment="1">
      <alignment horizontal="left" vertical="center" wrapText="1"/>
    </xf>
    <xf numFmtId="0" fontId="112" fillId="0" borderId="101" xfId="0" applyFont="1" applyFill="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3" xfId="0" applyFont="1" applyFill="1" applyBorder="1" applyAlignment="1">
      <alignment horizontal="center" vertical="center" wrapText="1"/>
    </xf>
    <xf numFmtId="0" fontId="112" fillId="0" borderId="80" xfId="0" applyFont="1" applyFill="1" applyBorder="1" applyAlignment="1">
      <alignment horizontal="center" vertical="center" wrapText="1"/>
    </xf>
    <xf numFmtId="0" fontId="112" fillId="0" borderId="106"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08" fillId="0" borderId="126" xfId="0" applyFont="1" applyBorder="1" applyAlignment="1">
      <alignment horizontal="center" vertical="center" wrapText="1"/>
    </xf>
    <xf numFmtId="0" fontId="108" fillId="0" borderId="7" xfId="0" applyFont="1" applyBorder="1" applyAlignment="1">
      <alignment horizontal="center" vertical="center" wrapText="1"/>
    </xf>
    <xf numFmtId="0" fontId="108" fillId="0" borderId="122" xfId="0" applyFont="1" applyBorder="1" applyAlignment="1">
      <alignment horizontal="center" vertical="center" wrapText="1"/>
    </xf>
    <xf numFmtId="0" fontId="116" fillId="0" borderId="122" xfId="0" applyFont="1" applyFill="1" applyBorder="1" applyAlignment="1">
      <alignment horizontal="center" vertical="center"/>
    </xf>
    <xf numFmtId="0" fontId="116" fillId="0" borderId="101" xfId="0" applyFont="1" applyFill="1" applyBorder="1" applyAlignment="1">
      <alignment horizontal="center" vertical="center"/>
    </xf>
    <xf numFmtId="0" fontId="116" fillId="0" borderId="103" xfId="0" applyFont="1" applyFill="1" applyBorder="1" applyAlignment="1">
      <alignment horizontal="center" vertical="center"/>
    </xf>
    <xf numFmtId="0" fontId="116" fillId="0" borderId="80" xfId="0" applyFont="1" applyFill="1" applyBorder="1" applyAlignment="1">
      <alignment horizontal="center" vertical="center"/>
    </xf>
    <xf numFmtId="0" fontId="116" fillId="0" borderId="70" xfId="0" applyFont="1" applyFill="1" applyBorder="1" applyAlignment="1">
      <alignment horizontal="center" vertical="center"/>
    </xf>
    <xf numFmtId="0" fontId="112" fillId="0" borderId="122" xfId="0" applyFont="1" applyFill="1" applyBorder="1" applyAlignment="1">
      <alignment horizontal="center" vertical="center" wrapText="1"/>
    </xf>
    <xf numFmtId="0" fontId="108" fillId="0" borderId="125" xfId="0" applyFont="1" applyBorder="1" applyAlignment="1">
      <alignment horizontal="center" vertical="center" wrapText="1"/>
    </xf>
    <xf numFmtId="0" fontId="111" fillId="0" borderId="101" xfId="0" applyFont="1" applyFill="1" applyBorder="1" applyAlignment="1">
      <alignment horizontal="center" vertical="center" wrapText="1"/>
    </xf>
    <xf numFmtId="0" fontId="111" fillId="0" borderId="103" xfId="0" applyFont="1" applyFill="1" applyBorder="1" applyAlignment="1">
      <alignment horizontal="center" vertical="center" wrapText="1"/>
    </xf>
    <xf numFmtId="0" fontId="111" fillId="0" borderId="65" xfId="0" applyFont="1" applyFill="1" applyBorder="1" applyAlignment="1">
      <alignment horizontal="center" vertical="center" wrapText="1"/>
    </xf>
    <xf numFmtId="0" fontId="111" fillId="0" borderId="63" xfId="0" applyFont="1" applyFill="1" applyBorder="1" applyAlignment="1">
      <alignment horizontal="center" vertical="center" wrapText="1"/>
    </xf>
    <xf numFmtId="0" fontId="111" fillId="0" borderId="80" xfId="0" applyFont="1" applyFill="1" applyBorder="1" applyAlignment="1">
      <alignment horizontal="center" vertical="center" wrapText="1"/>
    </xf>
    <xf numFmtId="0" fontId="111" fillId="0" borderId="70" xfId="0" applyFont="1" applyFill="1" applyBorder="1" applyAlignment="1">
      <alignment horizontal="center" vertical="center" wrapText="1"/>
    </xf>
    <xf numFmtId="0" fontId="108" fillId="0" borderId="123" xfId="0" applyFont="1" applyFill="1" applyBorder="1" applyAlignment="1">
      <alignment horizontal="center" vertical="center" wrapText="1"/>
    </xf>
    <xf numFmtId="0" fontId="108" fillId="0" borderId="124" xfId="0" applyFont="1" applyFill="1" applyBorder="1" applyAlignment="1">
      <alignment horizontal="center" vertical="center" wrapText="1"/>
    </xf>
    <xf numFmtId="0" fontId="111" fillId="0" borderId="71" xfId="0" applyFont="1" applyFill="1" applyBorder="1" applyAlignment="1">
      <alignment horizontal="center" vertical="center" wrapText="1"/>
    </xf>
    <xf numFmtId="0" fontId="111" fillId="0" borderId="7" xfId="0" applyFont="1" applyFill="1" applyBorder="1" applyAlignment="1">
      <alignment horizontal="center" vertical="center" wrapText="1"/>
    </xf>
    <xf numFmtId="0" fontId="108" fillId="0" borderId="71" xfId="0" applyFont="1" applyFill="1" applyBorder="1" applyAlignment="1">
      <alignment horizontal="center" vertical="center" wrapText="1"/>
    </xf>
    <xf numFmtId="0" fontId="108" fillId="0" borderId="70" xfId="0" applyFont="1" applyBorder="1" applyAlignment="1">
      <alignment horizontal="center" vertical="center" wrapText="1"/>
    </xf>
    <xf numFmtId="0" fontId="111" fillId="0" borderId="51" xfId="0" applyNumberFormat="1" applyFont="1" applyFill="1" applyBorder="1" applyAlignment="1">
      <alignment horizontal="left" vertical="top" wrapText="1"/>
    </xf>
    <xf numFmtId="0" fontId="111" fillId="0" borderId="72" xfId="0" applyNumberFormat="1" applyFont="1" applyFill="1" applyBorder="1" applyAlignment="1">
      <alignment horizontal="left" vertical="top" wrapText="1"/>
    </xf>
    <xf numFmtId="0" fontId="111" fillId="0" borderId="58" xfId="0" applyNumberFormat="1" applyFont="1" applyFill="1" applyBorder="1" applyAlignment="1">
      <alignment horizontal="left" vertical="top" wrapText="1"/>
    </xf>
    <xf numFmtId="0" fontId="111" fillId="0" borderId="91" xfId="0" applyNumberFormat="1" applyFont="1" applyFill="1" applyBorder="1" applyAlignment="1">
      <alignment horizontal="left" vertical="top" wrapText="1"/>
    </xf>
    <xf numFmtId="0" fontId="111" fillId="0" borderId="98" xfId="0" applyNumberFormat="1" applyFont="1" applyFill="1" applyBorder="1" applyAlignment="1">
      <alignment horizontal="left" vertical="top" wrapText="1"/>
    </xf>
    <xf numFmtId="0" fontId="111" fillId="0" borderId="129" xfId="0" applyNumberFormat="1" applyFont="1" applyFill="1" applyBorder="1" applyAlignment="1">
      <alignment horizontal="left" vertical="top" wrapText="1"/>
    </xf>
    <xf numFmtId="0" fontId="111" fillId="0" borderId="82" xfId="0" applyFont="1" applyFill="1" applyBorder="1" applyAlignment="1">
      <alignment horizontal="center" vertical="center" wrapText="1"/>
    </xf>
    <xf numFmtId="0" fontId="111" fillId="0" borderId="62" xfId="0" applyFont="1" applyFill="1" applyBorder="1" applyAlignment="1">
      <alignment horizontal="center" vertical="center" wrapText="1"/>
    </xf>
    <xf numFmtId="0" fontId="108" fillId="0" borderId="59" xfId="0" applyFont="1" applyBorder="1" applyAlignment="1">
      <alignment horizontal="center" vertical="center" wrapText="1"/>
    </xf>
    <xf numFmtId="0" fontId="108" fillId="0" borderId="64" xfId="0" applyFont="1" applyFill="1" applyBorder="1" applyAlignment="1">
      <alignment horizontal="center" vertical="center" wrapText="1"/>
    </xf>
    <xf numFmtId="0" fontId="108" fillId="0" borderId="25" xfId="0" applyFont="1" applyFill="1" applyBorder="1" applyAlignment="1">
      <alignment horizontal="center" vertical="center" wrapText="1"/>
    </xf>
    <xf numFmtId="0" fontId="108" fillId="0" borderId="26" xfId="0" applyFont="1" applyFill="1" applyBorder="1" applyAlignment="1">
      <alignment horizontal="center" vertical="center" wrapText="1"/>
    </xf>
    <xf numFmtId="0" fontId="108" fillId="0" borderId="101" xfId="0" applyFont="1" applyBorder="1" applyAlignment="1">
      <alignment horizontal="center" vertical="top" wrapText="1"/>
    </xf>
    <xf numFmtId="0" fontId="108" fillId="0" borderId="102" xfId="0" applyFont="1" applyBorder="1" applyAlignment="1">
      <alignment horizontal="center" vertical="top" wrapText="1"/>
    </xf>
    <xf numFmtId="0" fontId="108" fillId="0" borderId="101" xfId="0" applyFont="1" applyFill="1" applyBorder="1" applyAlignment="1">
      <alignment horizontal="center" vertical="top" wrapText="1"/>
    </xf>
    <xf numFmtId="0" fontId="108" fillId="0" borderId="124" xfId="0" applyFont="1" applyFill="1" applyBorder="1" applyAlignment="1">
      <alignment horizontal="center" vertical="top" wrapText="1"/>
    </xf>
    <xf numFmtId="0" fontId="108" fillId="0" borderId="125" xfId="0" applyFont="1" applyFill="1" applyBorder="1" applyAlignment="1">
      <alignment horizontal="center" vertical="top" wrapText="1"/>
    </xf>
    <xf numFmtId="0" fontId="128" fillId="0" borderId="114" xfId="0" applyNumberFormat="1" applyFont="1" applyFill="1" applyBorder="1" applyAlignment="1">
      <alignment horizontal="left" vertical="top" wrapText="1"/>
    </xf>
    <xf numFmtId="0" fontId="128" fillId="0" borderId="115" xfId="0" applyNumberFormat="1" applyFont="1" applyFill="1" applyBorder="1" applyAlignment="1">
      <alignment horizontal="left" vertical="top" wrapText="1"/>
    </xf>
    <xf numFmtId="0" fontId="114" fillId="0" borderId="101" xfId="0" applyFont="1" applyBorder="1" applyAlignment="1">
      <alignment horizontal="center" vertical="center"/>
    </xf>
    <xf numFmtId="0" fontId="114" fillId="0" borderId="103" xfId="0" applyFont="1" applyBorder="1" applyAlignment="1">
      <alignment horizontal="center" vertical="center"/>
    </xf>
    <xf numFmtId="0" fontId="114" fillId="0" borderId="80" xfId="0" applyFont="1" applyBorder="1" applyAlignment="1">
      <alignment horizontal="center" vertical="center"/>
    </xf>
    <xf numFmtId="0" fontId="114" fillId="0" borderId="70" xfId="0" applyFont="1" applyBorder="1" applyAlignment="1">
      <alignment horizontal="center" vertical="center"/>
    </xf>
    <xf numFmtId="0" fontId="113" fillId="0" borderId="122" xfId="0" applyFont="1" applyBorder="1" applyAlignment="1">
      <alignment horizontal="center" vertical="center" wrapText="1"/>
    </xf>
    <xf numFmtId="0" fontId="113" fillId="0" borderId="126"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eporting%20Department/Share/External%20Reporting/NBG/FSF/2025/09/FSF-BVT-MM-202509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G1_I-BVT-QQ-202509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er"/>
      <sheetName val="Info"/>
      <sheetName val="00"/>
      <sheetName val="FSF-SOFP"/>
      <sheetName val="FSF-SOPL"/>
      <sheetName val="FSF-SOCI"/>
      <sheetName val="FSF-01"/>
      <sheetName val="FSF-02"/>
      <sheetName val="FSF-03"/>
      <sheetName val="FSF-04"/>
      <sheetName val="FSF-05"/>
      <sheetName val="FSF-06"/>
      <sheetName val="FSF-07"/>
      <sheetName val="FSF-08"/>
      <sheetName val="FSF-09"/>
      <sheetName val="FSF-10"/>
      <sheetName val="FSF-11"/>
      <sheetName val="FSF-12"/>
      <sheetName val="FSF-13"/>
      <sheetName val="FSF-14"/>
      <sheetName val="FSF 15"/>
      <sheetName val="FSF-16"/>
      <sheetName val="ROL"/>
      <sheetName val="A-D"/>
      <sheetName val="FX"/>
      <sheetName val="FXD"/>
      <sheetName val="A-CP"/>
      <sheetName val="A-L"/>
      <sheetName val="A-G"/>
      <sheetName val="A-LD"/>
      <sheetName val="LCR"/>
      <sheetName val="A"/>
      <sheetName val="A-CI"/>
      <sheetName val="A-LS"/>
      <sheetName val="SD"/>
      <sheetName val="Capital"/>
      <sheetName val="Risk Weighted Risk Exposures"/>
      <sheetName val="CR-RWA"/>
      <sheetName val="Capital Requirements"/>
      <sheetName val="HHI Buffer"/>
      <sheetName val="CCR-CVA"/>
      <sheetName val="CRA Buffer"/>
      <sheetName val="CRM"/>
      <sheetName val="CICR Buffer"/>
      <sheetName val="LR"/>
    </sheetNames>
    <sheetDataSet>
      <sheetData sheetId="0"/>
      <sheetData sheetId="1"/>
      <sheetData sheetId="2"/>
      <sheetData sheetId="3">
        <row r="10">
          <cell r="S10">
            <v>105285224.04000001</v>
          </cell>
        </row>
      </sheetData>
      <sheetData sheetId="4">
        <row r="18">
          <cell r="S18">
            <v>-389578.684534</v>
          </cell>
        </row>
      </sheetData>
      <sheetData sheetId="5"/>
      <sheetData sheetId="6"/>
      <sheetData sheetId="7"/>
      <sheetData sheetId="8"/>
      <sheetData sheetId="9"/>
      <sheetData sheetId="10"/>
      <sheetData sheetId="11"/>
      <sheetData sheetId="12"/>
      <sheetData sheetId="13"/>
      <sheetData sheetId="14"/>
      <sheetData sheetId="15"/>
      <sheetData sheetId="16"/>
      <sheetData sheetId="17">
        <row r="11">
          <cell r="D11">
            <v>26496402</v>
          </cell>
        </row>
      </sheetData>
      <sheetData sheetId="18">
        <row r="48">
          <cell r="AD48">
            <v>25703232</v>
          </cell>
        </row>
      </sheetData>
      <sheetData sheetId="19"/>
      <sheetData sheetId="20"/>
      <sheetData sheetId="21"/>
      <sheetData sheetId="22"/>
      <sheetData sheetId="23"/>
      <sheetData sheetId="24"/>
      <sheetData sheetId="25"/>
      <sheetData sheetId="26"/>
      <sheetData sheetId="27"/>
      <sheetData sheetId="28"/>
      <sheetData sheetId="29"/>
      <sheetData sheetId="30">
        <row r="41">
          <cell r="N41">
            <v>194481822.64520001</v>
          </cell>
        </row>
      </sheetData>
      <sheetData sheetId="31"/>
      <sheetData sheetId="32"/>
      <sheetData sheetId="33"/>
      <sheetData sheetId="34"/>
      <sheetData sheetId="35">
        <row r="11">
          <cell r="D11">
            <v>492756469.31668466</v>
          </cell>
        </row>
      </sheetData>
      <sheetData sheetId="36">
        <row r="48">
          <cell r="P48">
            <v>249318764.79113826</v>
          </cell>
        </row>
        <row r="78">
          <cell r="O78">
            <v>105787.12540552828</v>
          </cell>
        </row>
      </sheetData>
      <sheetData sheetId="37"/>
      <sheetData sheetId="38">
        <row r="35">
          <cell r="D35">
            <v>114417141.59921861</v>
          </cell>
        </row>
      </sheetData>
      <sheetData sheetId="39"/>
      <sheetData sheetId="40"/>
      <sheetData sheetId="41"/>
      <sheetData sheetId="42"/>
      <sheetData sheetId="43"/>
      <sheetData sheetId="4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9.2. MREL1"/>
      <sheetName val="9.3. MREL2"/>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34">
          <cell r="I34">
            <v>0</v>
          </cell>
        </row>
      </sheetData>
      <sheetData sheetId="19"/>
      <sheetData sheetId="20"/>
      <sheetData sheetId="21"/>
      <sheetData sheetId="22"/>
      <sheetData sheetId="23">
        <row r="20">
          <cell r="D20">
            <v>301650724.0817126</v>
          </cell>
        </row>
      </sheetData>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38"/>
  <sheetViews>
    <sheetView tabSelected="1" zoomScale="80" zoomScaleNormal="80" workbookViewId="0">
      <selection activeCell="C3" sqref="C3"/>
    </sheetView>
  </sheetViews>
  <sheetFormatPr defaultColWidth="9.28515625" defaultRowHeight="14.25"/>
  <cols>
    <col min="1" max="1" width="10.28515625" style="4" customWidth="1"/>
    <col min="2" max="2" width="138.28515625" style="5" bestFit="1" customWidth="1"/>
    <col min="3" max="3" width="39.42578125" style="5" customWidth="1"/>
    <col min="4" max="4" width="15.42578125" style="5" customWidth="1"/>
    <col min="5" max="6" width="9.28515625" style="5"/>
    <col min="7" max="7" width="25" style="5" customWidth="1"/>
    <col min="8" max="16384" width="9.28515625" style="5"/>
  </cols>
  <sheetData>
    <row r="1" spans="1:4" ht="15">
      <c r="A1" s="111"/>
      <c r="B1" s="117" t="s">
        <v>209</v>
      </c>
      <c r="C1" s="111"/>
    </row>
    <row r="2" spans="1:4">
      <c r="A2" s="118">
        <v>1</v>
      </c>
      <c r="B2" s="239" t="s">
        <v>210</v>
      </c>
      <c r="C2" s="616" t="s">
        <v>756</v>
      </c>
      <c r="D2" s="617">
        <v>45930</v>
      </c>
    </row>
    <row r="3" spans="1:4" ht="15">
      <c r="A3" s="118">
        <v>2</v>
      </c>
      <c r="B3" s="240" t="s">
        <v>206</v>
      </c>
      <c r="C3" s="616" t="s">
        <v>753</v>
      </c>
      <c r="D3" s="525"/>
    </row>
    <row r="4" spans="1:4" ht="15">
      <c r="A4" s="118">
        <v>3</v>
      </c>
      <c r="B4" s="241" t="s">
        <v>211</v>
      </c>
      <c r="C4" s="616" t="s">
        <v>754</v>
      </c>
      <c r="D4" s="525"/>
    </row>
    <row r="5" spans="1:4" ht="15">
      <c r="A5" s="119">
        <v>4</v>
      </c>
      <c r="B5" s="242" t="s">
        <v>207</v>
      </c>
      <c r="C5" s="616" t="s">
        <v>755</v>
      </c>
      <c r="D5" s="525"/>
    </row>
    <row r="6" spans="1:4" s="120" customFormat="1" ht="45.75" customHeight="1">
      <c r="A6" s="770" t="s">
        <v>283</v>
      </c>
      <c r="B6" s="771"/>
      <c r="C6" s="771"/>
    </row>
    <row r="7" spans="1:4" ht="15">
      <c r="A7" s="121" t="s">
        <v>29</v>
      </c>
      <c r="B7" s="117" t="s">
        <v>208</v>
      </c>
    </row>
    <row r="8" spans="1:4">
      <c r="A8" s="111">
        <v>1</v>
      </c>
      <c r="B8" s="153" t="s">
        <v>20</v>
      </c>
    </row>
    <row r="9" spans="1:4">
      <c r="A9" s="111">
        <v>2</v>
      </c>
      <c r="B9" s="154" t="s">
        <v>21</v>
      </c>
    </row>
    <row r="10" spans="1:4">
      <c r="A10" s="111">
        <v>3</v>
      </c>
      <c r="B10" s="154" t="s">
        <v>22</v>
      </c>
    </row>
    <row r="11" spans="1:4">
      <c r="A11" s="111">
        <v>4</v>
      </c>
      <c r="B11" s="154" t="s">
        <v>23</v>
      </c>
      <c r="C11" s="49"/>
    </row>
    <row r="12" spans="1:4">
      <c r="A12" s="111">
        <v>5</v>
      </c>
      <c r="B12" s="154" t="s">
        <v>24</v>
      </c>
    </row>
    <row r="13" spans="1:4">
      <c r="A13" s="111">
        <v>6</v>
      </c>
      <c r="B13" s="155" t="s">
        <v>218</v>
      </c>
    </row>
    <row r="14" spans="1:4">
      <c r="A14" s="111">
        <v>7</v>
      </c>
      <c r="B14" s="154" t="s">
        <v>212</v>
      </c>
    </row>
    <row r="15" spans="1:4">
      <c r="A15" s="111">
        <v>8</v>
      </c>
      <c r="B15" s="154" t="s">
        <v>213</v>
      </c>
    </row>
    <row r="16" spans="1:4">
      <c r="A16" s="111">
        <v>9</v>
      </c>
      <c r="B16" s="154" t="s">
        <v>25</v>
      </c>
    </row>
    <row r="17" spans="1:2">
      <c r="A17" s="238" t="s">
        <v>282</v>
      </c>
      <c r="B17" s="237" t="s">
        <v>269</v>
      </c>
    </row>
    <row r="18" spans="1:2" s="15" customFormat="1">
      <c r="A18" s="571" t="s">
        <v>710</v>
      </c>
      <c r="B18" s="572" t="s">
        <v>712</v>
      </c>
    </row>
    <row r="19" spans="1:2" s="15" customFormat="1">
      <c r="A19" s="573" t="s">
        <v>711</v>
      </c>
      <c r="B19" s="572" t="s">
        <v>713</v>
      </c>
    </row>
    <row r="20" spans="1:2">
      <c r="A20" s="111">
        <v>10</v>
      </c>
      <c r="B20" s="154" t="s">
        <v>26</v>
      </c>
    </row>
    <row r="21" spans="1:2">
      <c r="A21" s="111">
        <v>11</v>
      </c>
      <c r="B21" s="155" t="s">
        <v>214</v>
      </c>
    </row>
    <row r="22" spans="1:2">
      <c r="A22" s="111">
        <v>12</v>
      </c>
      <c r="B22" s="155" t="s">
        <v>27</v>
      </c>
    </row>
    <row r="23" spans="1:2">
      <c r="A23" s="258">
        <v>13</v>
      </c>
      <c r="B23" s="259" t="s">
        <v>215</v>
      </c>
    </row>
    <row r="24" spans="1:2">
      <c r="A24" s="258">
        <v>14</v>
      </c>
      <c r="B24" s="260" t="s">
        <v>240</v>
      </c>
    </row>
    <row r="25" spans="1:2">
      <c r="A25" s="261">
        <v>15</v>
      </c>
      <c r="B25" s="262" t="s">
        <v>28</v>
      </c>
    </row>
    <row r="26" spans="1:2">
      <c r="A26" s="261">
        <v>15.1</v>
      </c>
      <c r="B26" s="263" t="s">
        <v>296</v>
      </c>
    </row>
    <row r="27" spans="1:2">
      <c r="A27" s="574">
        <v>15.2</v>
      </c>
      <c r="B27" s="572" t="s">
        <v>715</v>
      </c>
    </row>
    <row r="28" spans="1:2">
      <c r="A28" s="261">
        <v>16</v>
      </c>
      <c r="B28" s="263" t="s">
        <v>337</v>
      </c>
    </row>
    <row r="29" spans="1:2">
      <c r="A29" s="261">
        <v>17</v>
      </c>
      <c r="B29" s="263" t="s">
        <v>378</v>
      </c>
    </row>
    <row r="30" spans="1:2">
      <c r="A30" s="261">
        <v>18</v>
      </c>
      <c r="B30" s="263" t="s">
        <v>665</v>
      </c>
    </row>
    <row r="31" spans="1:2">
      <c r="A31" s="261">
        <v>19</v>
      </c>
      <c r="B31" s="263" t="s">
        <v>666</v>
      </c>
    </row>
    <row r="32" spans="1:2">
      <c r="A32" s="261">
        <v>20</v>
      </c>
      <c r="B32" s="315" t="s">
        <v>667</v>
      </c>
    </row>
    <row r="33" spans="1:2">
      <c r="A33" s="261">
        <v>21</v>
      </c>
      <c r="B33" s="263" t="s">
        <v>494</v>
      </c>
    </row>
    <row r="34" spans="1:2">
      <c r="A34" s="261">
        <v>22</v>
      </c>
      <c r="B34" s="263" t="s">
        <v>668</v>
      </c>
    </row>
    <row r="35" spans="1:2">
      <c r="A35" s="261">
        <v>23</v>
      </c>
      <c r="B35" s="263" t="s">
        <v>669</v>
      </c>
    </row>
    <row r="36" spans="1:2">
      <c r="A36" s="261">
        <v>24</v>
      </c>
      <c r="B36" s="263" t="s">
        <v>670</v>
      </c>
    </row>
    <row r="37" spans="1:2">
      <c r="A37" s="261">
        <v>25</v>
      </c>
      <c r="B37" s="263" t="s">
        <v>379</v>
      </c>
    </row>
    <row r="38" spans="1:2">
      <c r="A38" s="261">
        <v>26</v>
      </c>
      <c r="B38" s="263"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7" sqref="C7:C52"/>
    </sheetView>
  </sheetViews>
  <sheetFormatPr defaultColWidth="9.28515625" defaultRowHeight="12.75"/>
  <cols>
    <col min="1" max="1" width="9.5703125" style="52" bestFit="1" customWidth="1"/>
    <col min="2" max="2" width="132.42578125" style="4" customWidth="1"/>
    <col min="3" max="3" width="18.42578125" style="4" customWidth="1"/>
    <col min="4" max="16384" width="9.28515625" style="4"/>
  </cols>
  <sheetData>
    <row r="1" spans="1:3">
      <c r="A1" s="2" t="s">
        <v>30</v>
      </c>
      <c r="B1" s="3" t="str">
        <f>'Info '!C2</f>
        <v>VTB Bank Georgia JSC</v>
      </c>
    </row>
    <row r="2" spans="1:3" s="42" customFormat="1" ht="15.75" customHeight="1">
      <c r="A2" s="42" t="s">
        <v>31</v>
      </c>
      <c r="B2" s="273">
        <f>'1. key ratios '!B2</f>
        <v>45930</v>
      </c>
    </row>
    <row r="3" spans="1:3" s="42" customFormat="1" ht="15.75" customHeight="1"/>
    <row r="4" spans="1:3" ht="13.5" thickBot="1">
      <c r="A4" s="52" t="s">
        <v>143</v>
      </c>
      <c r="B4" s="92" t="s">
        <v>142</v>
      </c>
    </row>
    <row r="5" spans="1:3">
      <c r="A5" s="53" t="s">
        <v>6</v>
      </c>
      <c r="B5" s="54"/>
      <c r="C5" s="55" t="s">
        <v>35</v>
      </c>
    </row>
    <row r="6" spans="1:3">
      <c r="A6" s="56">
        <v>1</v>
      </c>
      <c r="B6" s="57" t="s">
        <v>141</v>
      </c>
      <c r="C6" s="58">
        <f>SUM(C7:C11)</f>
        <v>234034495.79756331</v>
      </c>
    </row>
    <row r="7" spans="1:3">
      <c r="A7" s="56">
        <v>2</v>
      </c>
      <c r="B7" s="59" t="s">
        <v>140</v>
      </c>
      <c r="C7" s="60">
        <v>209008277</v>
      </c>
    </row>
    <row r="8" spans="1:3">
      <c r="A8" s="56">
        <v>3</v>
      </c>
      <c r="B8" s="61" t="s">
        <v>139</v>
      </c>
      <c r="C8" s="60"/>
    </row>
    <row r="9" spans="1:3">
      <c r="A9" s="56">
        <v>4</v>
      </c>
      <c r="B9" s="61" t="s">
        <v>138</v>
      </c>
      <c r="C9" s="60">
        <v>12392777</v>
      </c>
    </row>
    <row r="10" spans="1:3">
      <c r="A10" s="56">
        <v>5</v>
      </c>
      <c r="B10" s="61" t="s">
        <v>137</v>
      </c>
      <c r="C10" s="60"/>
    </row>
    <row r="11" spans="1:3">
      <c r="A11" s="56">
        <v>6</v>
      </c>
      <c r="B11" s="62" t="s">
        <v>136</v>
      </c>
      <c r="C11" s="60">
        <v>12633441.7975633</v>
      </c>
    </row>
    <row r="12" spans="1:3" s="28" customFormat="1">
      <c r="A12" s="56">
        <v>7</v>
      </c>
      <c r="B12" s="57" t="s">
        <v>135</v>
      </c>
      <c r="C12" s="63">
        <f>SUM(C13:C28)</f>
        <v>13249306.25</v>
      </c>
    </row>
    <row r="13" spans="1:3" s="28" customFormat="1">
      <c r="A13" s="56">
        <v>8</v>
      </c>
      <c r="B13" s="64" t="s">
        <v>134</v>
      </c>
      <c r="C13" s="65">
        <v>12392777</v>
      </c>
    </row>
    <row r="14" spans="1:3" s="28" customFormat="1" ht="25.5">
      <c r="A14" s="56">
        <v>9</v>
      </c>
      <c r="B14" s="66" t="s">
        <v>133</v>
      </c>
      <c r="C14" s="65"/>
    </row>
    <row r="15" spans="1:3" s="28" customFormat="1">
      <c r="A15" s="56">
        <v>10</v>
      </c>
      <c r="B15" s="67" t="s">
        <v>132</v>
      </c>
      <c r="C15" s="65">
        <v>856529.25</v>
      </c>
    </row>
    <row r="16" spans="1:3" s="28" customFormat="1">
      <c r="A16" s="56">
        <v>11</v>
      </c>
      <c r="B16" s="68" t="s">
        <v>131</v>
      </c>
      <c r="C16" s="65"/>
    </row>
    <row r="17" spans="1:3" s="28" customFormat="1">
      <c r="A17" s="56">
        <v>12</v>
      </c>
      <c r="B17" s="67" t="s">
        <v>130</v>
      </c>
      <c r="C17" s="65"/>
    </row>
    <row r="18" spans="1:3" s="28" customFormat="1">
      <c r="A18" s="56">
        <v>13</v>
      </c>
      <c r="B18" s="67" t="s">
        <v>129</v>
      </c>
      <c r="C18" s="65"/>
    </row>
    <row r="19" spans="1:3" s="28" customFormat="1">
      <c r="A19" s="56">
        <v>14</v>
      </c>
      <c r="B19" s="67" t="s">
        <v>128</v>
      </c>
      <c r="C19" s="65"/>
    </row>
    <row r="20" spans="1:3" s="28" customFormat="1">
      <c r="A20" s="56">
        <v>15</v>
      </c>
      <c r="B20" s="67" t="s">
        <v>127</v>
      </c>
      <c r="C20" s="65"/>
    </row>
    <row r="21" spans="1:3" s="28" customFormat="1" ht="25.5">
      <c r="A21" s="56">
        <v>16</v>
      </c>
      <c r="B21" s="66" t="s">
        <v>126</v>
      </c>
      <c r="C21" s="65"/>
    </row>
    <row r="22" spans="1:3" s="28" customFormat="1">
      <c r="A22" s="56">
        <v>17</v>
      </c>
      <c r="B22" s="69" t="s">
        <v>125</v>
      </c>
      <c r="C22" s="65"/>
    </row>
    <row r="23" spans="1:3" s="28" customFormat="1">
      <c r="A23" s="56">
        <v>18</v>
      </c>
      <c r="B23" s="568" t="s">
        <v>517</v>
      </c>
      <c r="C23" s="317"/>
    </row>
    <row r="24" spans="1:3" s="28" customFormat="1">
      <c r="A24" s="56">
        <v>19</v>
      </c>
      <c r="B24" s="66" t="s">
        <v>124</v>
      </c>
      <c r="C24" s="65"/>
    </row>
    <row r="25" spans="1:3" s="28" customFormat="1" ht="25.5">
      <c r="A25" s="56">
        <v>20</v>
      </c>
      <c r="B25" s="66" t="s">
        <v>101</v>
      </c>
      <c r="C25" s="65"/>
    </row>
    <row r="26" spans="1:3" s="28" customFormat="1">
      <c r="A26" s="56">
        <v>21</v>
      </c>
      <c r="B26" s="70" t="s">
        <v>123</v>
      </c>
      <c r="C26" s="65"/>
    </row>
    <row r="27" spans="1:3" s="28" customFormat="1">
      <c r="A27" s="56">
        <v>22</v>
      </c>
      <c r="B27" s="70" t="s">
        <v>122</v>
      </c>
      <c r="C27" s="65"/>
    </row>
    <row r="28" spans="1:3" s="28" customFormat="1">
      <c r="A28" s="56">
        <v>23</v>
      </c>
      <c r="B28" s="70" t="s">
        <v>121</v>
      </c>
      <c r="C28" s="65"/>
    </row>
    <row r="29" spans="1:3" s="28" customFormat="1">
      <c r="A29" s="56">
        <v>24</v>
      </c>
      <c r="B29" s="71" t="s">
        <v>120</v>
      </c>
      <c r="C29" s="63">
        <f>C6-C12</f>
        <v>220785189.54756331</v>
      </c>
    </row>
    <row r="30" spans="1:3" s="28" customFormat="1">
      <c r="A30" s="72"/>
      <c r="B30" s="73"/>
      <c r="C30" s="65"/>
    </row>
    <row r="31" spans="1:3" s="28" customFormat="1">
      <c r="A31" s="72">
        <v>25</v>
      </c>
      <c r="B31" s="71" t="s">
        <v>119</v>
      </c>
      <c r="C31" s="63">
        <f>C32+C35</f>
        <v>55386000</v>
      </c>
    </row>
    <row r="32" spans="1:3" s="28" customFormat="1">
      <c r="A32" s="72">
        <v>26</v>
      </c>
      <c r="B32" s="61" t="s">
        <v>118</v>
      </c>
      <c r="C32" s="74">
        <f>C33+C34</f>
        <v>55386000</v>
      </c>
    </row>
    <row r="33" spans="1:3" s="28" customFormat="1">
      <c r="A33" s="72">
        <v>27</v>
      </c>
      <c r="B33" s="75" t="s">
        <v>179</v>
      </c>
      <c r="C33" s="65">
        <v>55386000</v>
      </c>
    </row>
    <row r="34" spans="1:3" s="28" customFormat="1">
      <c r="A34" s="72">
        <v>28</v>
      </c>
      <c r="B34" s="75" t="s">
        <v>117</v>
      </c>
      <c r="C34" s="65"/>
    </row>
    <row r="35" spans="1:3" s="28" customFormat="1">
      <c r="A35" s="72">
        <v>29</v>
      </c>
      <c r="B35" s="61" t="s">
        <v>116</v>
      </c>
      <c r="C35" s="65"/>
    </row>
    <row r="36" spans="1:3" s="28" customFormat="1">
      <c r="A36" s="72">
        <v>30</v>
      </c>
      <c r="B36" s="71" t="s">
        <v>115</v>
      </c>
      <c r="C36" s="63">
        <f>SUM(C37:C41)</f>
        <v>0</v>
      </c>
    </row>
    <row r="37" spans="1:3" s="28" customFormat="1">
      <c r="A37" s="72">
        <v>31</v>
      </c>
      <c r="B37" s="66" t="s">
        <v>114</v>
      </c>
      <c r="C37" s="65"/>
    </row>
    <row r="38" spans="1:3" s="28" customFormat="1">
      <c r="A38" s="72">
        <v>32</v>
      </c>
      <c r="B38" s="67" t="s">
        <v>113</v>
      </c>
      <c r="C38" s="65"/>
    </row>
    <row r="39" spans="1:3" s="28" customFormat="1" ht="25.5">
      <c r="A39" s="72">
        <v>33</v>
      </c>
      <c r="B39" s="66" t="s">
        <v>112</v>
      </c>
      <c r="C39" s="65"/>
    </row>
    <row r="40" spans="1:3" s="28" customFormat="1" ht="25.5">
      <c r="A40" s="72">
        <v>34</v>
      </c>
      <c r="B40" s="66" t="s">
        <v>101</v>
      </c>
      <c r="C40" s="65"/>
    </row>
    <row r="41" spans="1:3" s="28" customFormat="1">
      <c r="A41" s="72">
        <v>35</v>
      </c>
      <c r="B41" s="70" t="s">
        <v>111</v>
      </c>
      <c r="C41" s="65"/>
    </row>
    <row r="42" spans="1:3" s="28" customFormat="1">
      <c r="A42" s="72">
        <v>36</v>
      </c>
      <c r="B42" s="71" t="s">
        <v>110</v>
      </c>
      <c r="C42" s="63">
        <f>C31-C36</f>
        <v>55386000</v>
      </c>
    </row>
    <row r="43" spans="1:3" s="28" customFormat="1">
      <c r="A43" s="72"/>
      <c r="B43" s="73"/>
      <c r="C43" s="65"/>
    </row>
    <row r="44" spans="1:3" s="28" customFormat="1">
      <c r="A44" s="72">
        <v>37</v>
      </c>
      <c r="B44" s="76" t="s">
        <v>109</v>
      </c>
      <c r="C44" s="63">
        <f>SUM(C45:C47)</f>
        <v>49855319.225759998</v>
      </c>
    </row>
    <row r="45" spans="1:3" s="28" customFormat="1">
      <c r="A45" s="72">
        <v>38</v>
      </c>
      <c r="B45" s="61" t="s">
        <v>108</v>
      </c>
      <c r="C45" s="65">
        <v>49855319.225759998</v>
      </c>
    </row>
    <row r="46" spans="1:3" s="28" customFormat="1">
      <c r="A46" s="72">
        <v>39</v>
      </c>
      <c r="B46" s="61" t="s">
        <v>107</v>
      </c>
      <c r="C46" s="65"/>
    </row>
    <row r="47" spans="1:3" s="28" customFormat="1">
      <c r="A47" s="72">
        <v>40</v>
      </c>
      <c r="B47" s="61" t="s">
        <v>106</v>
      </c>
      <c r="C47" s="65"/>
    </row>
    <row r="48" spans="1:3" s="28" customFormat="1">
      <c r="A48" s="72">
        <v>41</v>
      </c>
      <c r="B48" s="76" t="s">
        <v>105</v>
      </c>
      <c r="C48" s="63">
        <f>SUM(C49:C52)</f>
        <v>0</v>
      </c>
    </row>
    <row r="49" spans="1:3" s="28" customFormat="1">
      <c r="A49" s="72">
        <v>42</v>
      </c>
      <c r="B49" s="66" t="s">
        <v>104</v>
      </c>
      <c r="C49" s="65"/>
    </row>
    <row r="50" spans="1:3" s="28" customFormat="1">
      <c r="A50" s="72">
        <v>43</v>
      </c>
      <c r="B50" s="67" t="s">
        <v>103</v>
      </c>
      <c r="C50" s="65"/>
    </row>
    <row r="51" spans="1:3" s="28" customFormat="1">
      <c r="A51" s="72">
        <v>44</v>
      </c>
      <c r="B51" s="66" t="s">
        <v>102</v>
      </c>
      <c r="C51" s="65"/>
    </row>
    <row r="52" spans="1:3" s="28" customFormat="1" ht="25.5">
      <c r="A52" s="72">
        <v>45</v>
      </c>
      <c r="B52" s="66" t="s">
        <v>101</v>
      </c>
      <c r="C52" s="65"/>
    </row>
    <row r="53" spans="1:3" s="28" customFormat="1" ht="13.5" thickBot="1">
      <c r="A53" s="72">
        <v>46</v>
      </c>
      <c r="B53" s="77" t="s">
        <v>100</v>
      </c>
      <c r="C53" s="78">
        <f>C44-C48</f>
        <v>49855319.225759998</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5"/>
  <sheetViews>
    <sheetView topLeftCell="A3" zoomScaleNormal="100" workbookViewId="0">
      <selection activeCell="C11" sqref="C11:C17"/>
    </sheetView>
  </sheetViews>
  <sheetFormatPr defaultColWidth="9.28515625" defaultRowHeight="12.75"/>
  <cols>
    <col min="1" max="1" width="9.42578125" style="167" bestFit="1" customWidth="1"/>
    <col min="2" max="2" width="36.7109375" style="167" bestFit="1" customWidth="1"/>
    <col min="3" max="3" width="16.7109375" style="167" bestFit="1" customWidth="1"/>
    <col min="4" max="4" width="14" style="167" bestFit="1" customWidth="1"/>
    <col min="5" max="16384" width="9.28515625" style="167"/>
  </cols>
  <sheetData>
    <row r="1" spans="1:4" ht="15">
      <c r="A1" s="218" t="s">
        <v>30</v>
      </c>
      <c r="B1" s="3" t="str">
        <f>'Info '!C2</f>
        <v>VTB Bank Georgia JSC</v>
      </c>
    </row>
    <row r="2" spans="1:4" s="141" customFormat="1" ht="15.75" customHeight="1">
      <c r="A2" s="141" t="s">
        <v>31</v>
      </c>
      <c r="B2" s="273">
        <f>'1. key ratios '!B2</f>
        <v>45930</v>
      </c>
    </row>
    <row r="3" spans="1:4" s="141" customFormat="1" ht="15.75" customHeight="1"/>
    <row r="4" spans="1:4" ht="13.5" thickBot="1">
      <c r="A4" s="188" t="s">
        <v>268</v>
      </c>
      <c r="B4" s="226" t="s">
        <v>269</v>
      </c>
    </row>
    <row r="5" spans="1:4" s="227" customFormat="1" ht="12.75" customHeight="1">
      <c r="A5" s="256"/>
      <c r="B5" s="257" t="s">
        <v>272</v>
      </c>
      <c r="C5" s="219" t="s">
        <v>270</v>
      </c>
      <c r="D5" s="220" t="s">
        <v>271</v>
      </c>
    </row>
    <row r="6" spans="1:4" s="228" customFormat="1">
      <c r="A6" s="221">
        <v>1</v>
      </c>
      <c r="B6" s="252" t="s">
        <v>273</v>
      </c>
      <c r="C6" s="252"/>
      <c r="D6" s="222"/>
    </row>
    <row r="7" spans="1:4" s="228" customFormat="1">
      <c r="A7" s="223" t="s">
        <v>259</v>
      </c>
      <c r="B7" s="253" t="s">
        <v>274</v>
      </c>
      <c r="C7" s="245">
        <v>4.4999999999999998E-2</v>
      </c>
      <c r="D7" s="664">
        <f>C7*'5. RWA '!$C$13</f>
        <v>22174041.119250808</v>
      </c>
    </row>
    <row r="8" spans="1:4" s="228" customFormat="1">
      <c r="A8" s="223" t="s">
        <v>260</v>
      </c>
      <c r="B8" s="253" t="s">
        <v>275</v>
      </c>
      <c r="C8" s="246">
        <v>0.06</v>
      </c>
      <c r="D8" s="664">
        <f>C8*'5. RWA '!$C$13</f>
        <v>29565388.159001078</v>
      </c>
    </row>
    <row r="9" spans="1:4" s="228" customFormat="1">
      <c r="A9" s="223" t="s">
        <v>261</v>
      </c>
      <c r="B9" s="253" t="s">
        <v>276</v>
      </c>
      <c r="C9" s="246">
        <v>0.08</v>
      </c>
      <c r="D9" s="664">
        <f>C9*'5. RWA '!$C$13</f>
        <v>39420517.545334771</v>
      </c>
    </row>
    <row r="10" spans="1:4" s="228" customFormat="1">
      <c r="A10" s="221" t="s">
        <v>262</v>
      </c>
      <c r="B10" s="252" t="s">
        <v>277</v>
      </c>
      <c r="C10" s="247"/>
      <c r="D10" s="665"/>
    </row>
    <row r="11" spans="1:4" s="229" customFormat="1">
      <c r="A11" s="224" t="s">
        <v>263</v>
      </c>
      <c r="B11" s="244" t="s">
        <v>746</v>
      </c>
      <c r="C11" s="248">
        <v>2.5000000000000001E-2</v>
      </c>
      <c r="D11" s="664">
        <f>C11*'5. RWA '!$C$13</f>
        <v>12318911.732917117</v>
      </c>
    </row>
    <row r="12" spans="1:4" s="229" customFormat="1">
      <c r="A12" s="224" t="s">
        <v>264</v>
      </c>
      <c r="B12" s="244" t="s">
        <v>278</v>
      </c>
      <c r="C12" s="248">
        <v>5.0000000000000001E-3</v>
      </c>
      <c r="D12" s="664">
        <f>C12*'5. RWA '!$C$13</f>
        <v>2463782.3465834232</v>
      </c>
    </row>
    <row r="13" spans="1:4" s="229" customFormat="1">
      <c r="A13" s="224" t="s">
        <v>265</v>
      </c>
      <c r="B13" s="244" t="s">
        <v>279</v>
      </c>
      <c r="C13" s="248"/>
      <c r="D13" s="664">
        <f>C13*'5. RWA '!$C$13</f>
        <v>0</v>
      </c>
    </row>
    <row r="14" spans="1:4" s="229" customFormat="1">
      <c r="A14" s="221" t="s">
        <v>266</v>
      </c>
      <c r="B14" s="252" t="s">
        <v>326</v>
      </c>
      <c r="C14" s="249"/>
      <c r="D14" s="665"/>
    </row>
    <row r="15" spans="1:4" s="229" customFormat="1">
      <c r="A15" s="224">
        <v>3.1</v>
      </c>
      <c r="B15" s="244" t="s">
        <v>284</v>
      </c>
      <c r="C15" s="248">
        <v>0.15719815207679194</v>
      </c>
      <c r="D15" s="664">
        <f>C15*'5. RWA '!$C$13</f>
        <v>77460406.400467262</v>
      </c>
    </row>
    <row r="16" spans="1:4" s="229" customFormat="1">
      <c r="A16" s="224">
        <v>3.2</v>
      </c>
      <c r="B16" s="244" t="s">
        <v>285</v>
      </c>
      <c r="C16" s="248">
        <v>0.1714735348447558</v>
      </c>
      <c r="D16" s="664">
        <f>C16*'5. RWA '!$C$13</f>
        <v>84494693.611353368</v>
      </c>
    </row>
    <row r="17" spans="1:6" s="228" customFormat="1">
      <c r="A17" s="224">
        <v>3.3</v>
      </c>
      <c r="B17" s="244" t="s">
        <v>286</v>
      </c>
      <c r="C17" s="248">
        <v>0.19025693322365556</v>
      </c>
      <c r="D17" s="664">
        <f>C17*'5. RWA '!$C$13</f>
        <v>93750334.678308755</v>
      </c>
    </row>
    <row r="18" spans="1:6" s="227" customFormat="1" ht="12.75" customHeight="1">
      <c r="A18" s="254"/>
      <c r="B18" s="255" t="s">
        <v>325</v>
      </c>
      <c r="C18" s="250" t="s">
        <v>270</v>
      </c>
      <c r="D18" s="666" t="s">
        <v>271</v>
      </c>
    </row>
    <row r="19" spans="1:6" s="228" customFormat="1">
      <c r="A19" s="225">
        <v>4</v>
      </c>
      <c r="B19" s="244" t="s">
        <v>280</v>
      </c>
      <c r="C19" s="248">
        <f>C7+C11+C12+C13+C15</f>
        <v>0.23219815207679195</v>
      </c>
      <c r="D19" s="664">
        <f>C19*'5. RWA '!$C$13</f>
        <v>114417141.59921861</v>
      </c>
      <c r="E19" s="669"/>
    </row>
    <row r="20" spans="1:6" s="228" customFormat="1">
      <c r="A20" s="225">
        <v>5</v>
      </c>
      <c r="B20" s="244" t="s">
        <v>90</v>
      </c>
      <c r="C20" s="248">
        <f>C8+C11+C12+C13+C16</f>
        <v>0.26147353484475577</v>
      </c>
      <c r="D20" s="664">
        <f>C20*'5. RWA '!$C$13</f>
        <v>128842775.84985498</v>
      </c>
      <c r="E20" s="669"/>
    </row>
    <row r="21" spans="1:6" s="228" customFormat="1" ht="13.5" thickBot="1">
      <c r="A21" s="230" t="s">
        <v>267</v>
      </c>
      <c r="B21" s="231" t="s">
        <v>281</v>
      </c>
      <c r="C21" s="251">
        <f>C9+C11+C12+C13+C17</f>
        <v>0.30025693322365554</v>
      </c>
      <c r="D21" s="667">
        <f>C21*'5. RWA '!$C$13</f>
        <v>147953546.30314407</v>
      </c>
      <c r="E21" s="669"/>
    </row>
    <row r="22" spans="1:6">
      <c r="D22" s="668"/>
      <c r="F22" s="188"/>
    </row>
    <row r="23" spans="1:6">
      <c r="B23" s="187"/>
      <c r="D23" s="668"/>
    </row>
    <row r="24" spans="1:6">
      <c r="D24" s="668"/>
    </row>
    <row r="25" spans="1:6">
      <c r="D25" s="668"/>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90" zoomScaleNormal="90" workbookViewId="0">
      <selection activeCell="B18" sqref="B18:B19"/>
    </sheetView>
  </sheetViews>
  <sheetFormatPr defaultRowHeight="15"/>
  <cols>
    <col min="1" max="1" width="107.140625" bestFit="1" customWidth="1"/>
    <col min="2" max="2" width="50.85546875" bestFit="1" customWidth="1"/>
    <col min="3" max="3" width="28.140625" bestFit="1" customWidth="1"/>
    <col min="4" max="4" width="28.28515625" customWidth="1"/>
    <col min="5" max="7" width="28.140625" customWidth="1"/>
  </cols>
  <sheetData>
    <row r="1" spans="1:3">
      <c r="A1" s="487" t="str">
        <f>'9.1. Capital Requirements'!A1</f>
        <v>Bank:</v>
      </c>
      <c r="B1" s="488"/>
    </row>
    <row r="2" spans="1:3">
      <c r="A2" s="487" t="str">
        <f>'9.1. Capital Requirements'!A2</f>
        <v>Date:</v>
      </c>
      <c r="B2" s="489"/>
    </row>
    <row r="3" spans="1:3">
      <c r="A3" s="490" t="s">
        <v>674</v>
      </c>
      <c r="B3" s="491" t="s">
        <v>675</v>
      </c>
    </row>
    <row r="4" spans="1:3" ht="15.75" thickBot="1"/>
    <row r="5" spans="1:3">
      <c r="A5" s="492"/>
      <c r="B5" s="493" t="s">
        <v>676</v>
      </c>
      <c r="C5" s="524"/>
    </row>
    <row r="6" spans="1:3">
      <c r="A6" s="494" t="s">
        <v>696</v>
      </c>
      <c r="B6" s="495">
        <f>SUM(B7,B11)</f>
        <v>0</v>
      </c>
      <c r="C6" s="524"/>
    </row>
    <row r="7" spans="1:3">
      <c r="A7" s="494" t="s">
        <v>682</v>
      </c>
      <c r="B7" s="495">
        <f>SUM(B8:B10)</f>
        <v>0</v>
      </c>
      <c r="C7" s="524"/>
    </row>
    <row r="8" spans="1:3">
      <c r="A8" s="496" t="s">
        <v>677</v>
      </c>
      <c r="B8" s="497"/>
      <c r="C8" s="524"/>
    </row>
    <row r="9" spans="1:3">
      <c r="A9" s="496" t="s">
        <v>678</v>
      </c>
      <c r="B9" s="497"/>
      <c r="C9" s="524"/>
    </row>
    <row r="10" spans="1:3">
      <c r="A10" s="496" t="s">
        <v>679</v>
      </c>
      <c r="B10" s="497"/>
      <c r="C10" s="524"/>
    </row>
    <row r="11" spans="1:3">
      <c r="A11" s="494" t="s">
        <v>683</v>
      </c>
      <c r="B11" s="495">
        <f>SUM(B12:B13)</f>
        <v>0</v>
      </c>
      <c r="C11" s="524"/>
    </row>
    <row r="12" spans="1:3">
      <c r="A12" s="496" t="s">
        <v>702</v>
      </c>
      <c r="B12" s="497"/>
      <c r="C12" s="524"/>
    </row>
    <row r="13" spans="1:3">
      <c r="A13" s="496" t="s">
        <v>684</v>
      </c>
      <c r="B13" s="497"/>
      <c r="C13" s="524"/>
    </row>
    <row r="14" spans="1:3">
      <c r="A14" s="494" t="s">
        <v>685</v>
      </c>
      <c r="B14" s="495">
        <f>SUM(B15:B16)</f>
        <v>0</v>
      </c>
      <c r="C14" s="524"/>
    </row>
    <row r="15" spans="1:3">
      <c r="A15" s="498" t="s">
        <v>686</v>
      </c>
      <c r="B15" s="497"/>
      <c r="C15" s="524"/>
    </row>
    <row r="16" spans="1:3">
      <c r="A16" s="498" t="s">
        <v>687</v>
      </c>
      <c r="B16" s="497">
        <f>B7</f>
        <v>0</v>
      </c>
      <c r="C16" s="524"/>
    </row>
    <row r="17" spans="1:5">
      <c r="A17" s="494" t="s">
        <v>690</v>
      </c>
      <c r="B17" s="495"/>
      <c r="C17" s="524"/>
    </row>
    <row r="18" spans="1:5">
      <c r="A18" s="498" t="s">
        <v>688</v>
      </c>
      <c r="B18" s="497"/>
      <c r="C18" s="524"/>
    </row>
    <row r="19" spans="1:5">
      <c r="A19" s="498" t="s">
        <v>689</v>
      </c>
      <c r="B19" s="497"/>
      <c r="C19" s="524"/>
    </row>
    <row r="20" spans="1:5">
      <c r="A20" s="494" t="s">
        <v>704</v>
      </c>
      <c r="B20" s="495"/>
      <c r="C20" s="524"/>
    </row>
    <row r="21" spans="1:5">
      <c r="A21" s="499" t="s">
        <v>691</v>
      </c>
      <c r="B21" s="500">
        <f>IFERROR(B6/B18,0)</f>
        <v>0</v>
      </c>
      <c r="C21" s="524"/>
    </row>
    <row r="22" spans="1:5">
      <c r="A22" s="499" t="s">
        <v>708</v>
      </c>
      <c r="B22" s="500">
        <f>IFERROR(B6/B19,0)</f>
        <v>0</v>
      </c>
      <c r="C22" s="524"/>
    </row>
    <row r="23" spans="1:5" ht="15.75" thickBot="1">
      <c r="A23" s="501" t="s">
        <v>692</v>
      </c>
      <c r="B23" s="502">
        <f>IFERROR(B6/B14,0)</f>
        <v>0</v>
      </c>
    </row>
    <row r="24" spans="1:5" ht="16.5" customHeight="1">
      <c r="A24" s="503" t="s">
        <v>680</v>
      </c>
      <c r="B24" s="504"/>
      <c r="C24" s="504"/>
      <c r="D24" s="504"/>
      <c r="E24" s="504"/>
    </row>
    <row r="25" spans="1:5" ht="25.5" customHeight="1">
      <c r="A25" s="503" t="s">
        <v>701</v>
      </c>
    </row>
    <row r="26" spans="1:5" ht="42.4" customHeight="1">
      <c r="A26" s="503" t="s">
        <v>703</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70" zoomScaleNormal="70" workbookViewId="0">
      <selection activeCell="B2" sqref="B2"/>
    </sheetView>
  </sheetViews>
  <sheetFormatPr defaultRowHeight="15"/>
  <cols>
    <col min="1" max="1" width="56.7109375" customWidth="1"/>
    <col min="2" max="2" width="28.140625" bestFit="1" customWidth="1"/>
    <col min="3" max="3" width="28.28515625" customWidth="1"/>
    <col min="4" max="6" width="28.140625" customWidth="1"/>
  </cols>
  <sheetData>
    <row r="1" spans="1:7">
      <c r="A1" s="487" t="s">
        <v>30</v>
      </c>
      <c r="B1" s="488">
        <v>0</v>
      </c>
      <c r="C1" s="167"/>
    </row>
    <row r="2" spans="1:7">
      <c r="A2" s="487" t="s">
        <v>31</v>
      </c>
      <c r="B2" s="489"/>
      <c r="C2" s="167"/>
    </row>
    <row r="3" spans="1:7">
      <c r="A3" s="490" t="s">
        <v>681</v>
      </c>
      <c r="B3" s="491" t="s">
        <v>675</v>
      </c>
      <c r="C3" s="167"/>
    </row>
    <row r="5" spans="1:7">
      <c r="A5" s="505"/>
    </row>
    <row r="6" spans="1:7" ht="15.75" thickBot="1">
      <c r="A6" s="506"/>
      <c r="B6" s="506"/>
      <c r="C6" s="506"/>
      <c r="D6" s="506"/>
      <c r="E6" s="506"/>
      <c r="F6" s="506"/>
    </row>
    <row r="7" spans="1:7">
      <c r="A7" s="804"/>
      <c r="B7" s="806" t="s">
        <v>707</v>
      </c>
      <c r="C7" s="806"/>
      <c r="D7" s="806"/>
      <c r="E7" s="806"/>
      <c r="F7" s="807" t="s">
        <v>64</v>
      </c>
    </row>
    <row r="8" spans="1:7">
      <c r="A8" s="805"/>
      <c r="B8" s="507" t="s">
        <v>693</v>
      </c>
      <c r="C8" s="507" t="s">
        <v>694</v>
      </c>
      <c r="D8" s="507" t="s">
        <v>695</v>
      </c>
      <c r="E8" s="507" t="s">
        <v>705</v>
      </c>
      <c r="F8" s="808"/>
      <c r="G8" s="525"/>
    </row>
    <row r="9" spans="1:7">
      <c r="A9" s="508" t="s">
        <v>696</v>
      </c>
      <c r="B9" s="509">
        <f>B13+B17</f>
        <v>0</v>
      </c>
      <c r="C9" s="509">
        <f t="shared" ref="C9:E9" si="0">C13+C17</f>
        <v>0</v>
      </c>
      <c r="D9" s="509">
        <f t="shared" si="0"/>
        <v>0</v>
      </c>
      <c r="E9" s="509">
        <f t="shared" si="0"/>
        <v>0</v>
      </c>
      <c r="F9" s="510">
        <f>F13+F17</f>
        <v>0</v>
      </c>
    </row>
    <row r="10" spans="1:7">
      <c r="A10" s="511" t="s">
        <v>698</v>
      </c>
      <c r="B10" s="512">
        <f t="shared" ref="B10:E12" si="1">B14+B18</f>
        <v>0</v>
      </c>
      <c r="C10" s="512">
        <f t="shared" si="1"/>
        <v>0</v>
      </c>
      <c r="D10" s="512">
        <f t="shared" si="1"/>
        <v>0</v>
      </c>
      <c r="E10" s="512">
        <f t="shared" si="1"/>
        <v>0</v>
      </c>
      <c r="F10" s="510">
        <f>SUM(B10:E10)</f>
        <v>0</v>
      </c>
      <c r="G10" s="524"/>
    </row>
    <row r="11" spans="1:7">
      <c r="A11" s="511" t="s">
        <v>706</v>
      </c>
      <c r="B11" s="512">
        <f t="shared" si="1"/>
        <v>0</v>
      </c>
      <c r="C11" s="512">
        <f t="shared" si="1"/>
        <v>0</v>
      </c>
      <c r="D11" s="512">
        <f t="shared" si="1"/>
        <v>0</v>
      </c>
      <c r="E11" s="512">
        <f t="shared" si="1"/>
        <v>0</v>
      </c>
      <c r="F11" s="510">
        <f t="shared" ref="F11:F12" si="2">SUM(B11:E11)</f>
        <v>0</v>
      </c>
      <c r="G11" s="524"/>
    </row>
    <row r="12" spans="1:7">
      <c r="A12" s="513" t="s">
        <v>697</v>
      </c>
      <c r="B12" s="512">
        <f t="shared" si="1"/>
        <v>0</v>
      </c>
      <c r="C12" s="512">
        <f t="shared" si="1"/>
        <v>0</v>
      </c>
      <c r="D12" s="512">
        <f t="shared" si="1"/>
        <v>0</v>
      </c>
      <c r="E12" s="512">
        <f t="shared" si="1"/>
        <v>0</v>
      </c>
      <c r="F12" s="510">
        <f t="shared" si="2"/>
        <v>0</v>
      </c>
      <c r="G12" s="524"/>
    </row>
    <row r="13" spans="1:7">
      <c r="A13" s="514" t="s">
        <v>687</v>
      </c>
      <c r="B13" s="515"/>
      <c r="C13" s="515"/>
      <c r="D13" s="515"/>
      <c r="E13" s="515"/>
      <c r="F13" s="516"/>
    </row>
    <row r="14" spans="1:7">
      <c r="A14" s="511" t="s">
        <v>698</v>
      </c>
      <c r="B14" s="517"/>
      <c r="C14" s="517"/>
      <c r="D14" s="517"/>
      <c r="E14" s="517"/>
      <c r="F14" s="518"/>
    </row>
    <row r="15" spans="1:7">
      <c r="A15" s="511" t="s">
        <v>706</v>
      </c>
      <c r="B15" s="517"/>
      <c r="C15" s="517"/>
      <c r="D15" s="517"/>
      <c r="E15" s="517"/>
      <c r="F15" s="518"/>
    </row>
    <row r="16" spans="1:7">
      <c r="A16" s="513" t="s">
        <v>697</v>
      </c>
      <c r="B16" s="517"/>
      <c r="C16" s="517"/>
      <c r="D16" s="517"/>
      <c r="E16" s="517"/>
      <c r="F16" s="518"/>
    </row>
    <row r="17" spans="1:6">
      <c r="A17" s="514" t="s">
        <v>683</v>
      </c>
      <c r="B17" s="515"/>
      <c r="C17" s="515"/>
      <c r="D17" s="515"/>
      <c r="E17" s="515"/>
      <c r="F17" s="518"/>
    </row>
    <row r="18" spans="1:6">
      <c r="A18" s="511" t="s">
        <v>698</v>
      </c>
      <c r="B18" s="517"/>
      <c r="C18" s="517"/>
      <c r="D18" s="517"/>
      <c r="E18" s="517"/>
      <c r="F18" s="518"/>
    </row>
    <row r="19" spans="1:6">
      <c r="A19" s="511" t="s">
        <v>706</v>
      </c>
      <c r="B19" s="517"/>
      <c r="C19" s="517"/>
      <c r="D19" s="517"/>
      <c r="E19" s="517"/>
      <c r="F19" s="518"/>
    </row>
    <row r="20" spans="1:6" ht="15.75" thickBot="1">
      <c r="A20" s="513" t="s">
        <v>697</v>
      </c>
      <c r="B20" s="519"/>
      <c r="C20" s="519"/>
      <c r="D20" s="519"/>
      <c r="E20" s="519"/>
      <c r="F20" s="52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zoomScale="80" zoomScaleNormal="80" workbookViewId="0">
      <pane xSplit="1" ySplit="5" topLeftCell="B44" activePane="bottomRight" state="frozen"/>
      <selection activeCell="B19" sqref="B19"/>
      <selection pane="topRight" activeCell="B19" sqref="B19"/>
      <selection pane="bottomLeft" activeCell="B19" sqref="B19"/>
      <selection pane="bottomRight" activeCell="C44" sqref="C44"/>
    </sheetView>
  </sheetViews>
  <sheetFormatPr defaultColWidth="9.28515625" defaultRowHeight="14.25"/>
  <cols>
    <col min="1" max="1" width="10.7109375" style="4" customWidth="1"/>
    <col min="2" max="2" width="91.7109375" style="4" customWidth="1"/>
    <col min="3" max="3" width="53.28515625" style="4" customWidth="1"/>
    <col min="4" max="4" width="32.28515625" style="4" customWidth="1"/>
    <col min="5" max="5" width="9.42578125" style="5" customWidth="1"/>
    <col min="6" max="16384" width="9.28515625" style="5"/>
  </cols>
  <sheetData>
    <row r="1" spans="1:6">
      <c r="A1" s="2" t="s">
        <v>30</v>
      </c>
      <c r="B1" s="3" t="str">
        <f>'Info '!C2</f>
        <v>VTB Bank Georgia JSC</v>
      </c>
      <c r="E1" s="4"/>
      <c r="F1" s="4"/>
    </row>
    <row r="2" spans="1:6" s="42" customFormat="1" ht="15.75" customHeight="1">
      <c r="A2" s="2" t="s">
        <v>31</v>
      </c>
      <c r="B2" s="273">
        <f>'1. key ratios '!B2</f>
        <v>45930</v>
      </c>
    </row>
    <row r="3" spans="1:6" s="42" customFormat="1" ht="15.75" customHeight="1">
      <c r="A3" s="79"/>
    </row>
    <row r="4" spans="1:6" s="42" customFormat="1" ht="15.75" customHeight="1" thickBot="1">
      <c r="A4" s="42" t="s">
        <v>47</v>
      </c>
      <c r="B4" s="137" t="s">
        <v>165</v>
      </c>
      <c r="D4" s="18" t="s">
        <v>35</v>
      </c>
    </row>
    <row r="5" spans="1:6" ht="25.5">
      <c r="A5" s="80" t="s">
        <v>6</v>
      </c>
      <c r="B5" s="157" t="s">
        <v>205</v>
      </c>
      <c r="C5" s="81" t="s">
        <v>624</v>
      </c>
      <c r="D5" s="82" t="s">
        <v>49</v>
      </c>
    </row>
    <row r="6" spans="1:6" ht="15.75">
      <c r="A6" s="318">
        <v>1</v>
      </c>
      <c r="B6" s="319" t="s">
        <v>525</v>
      </c>
      <c r="C6" s="670">
        <f>SUM(C7:C9)</f>
        <v>204592845.81150001</v>
      </c>
      <c r="D6" s="671"/>
      <c r="E6" s="83"/>
    </row>
    <row r="7" spans="1:6" ht="15.75">
      <c r="A7" s="318">
        <v>1.1000000000000001</v>
      </c>
      <c r="B7" s="320" t="s">
        <v>526</v>
      </c>
      <c r="C7" s="672">
        <f>'2. SOFP'!E8</f>
        <v>197510224.88429999</v>
      </c>
      <c r="D7" s="673"/>
      <c r="E7" s="83"/>
    </row>
    <row r="8" spans="1:6" ht="15.75">
      <c r="A8" s="318">
        <v>1.2</v>
      </c>
      <c r="B8" s="320" t="s">
        <v>527</v>
      </c>
      <c r="C8" s="672">
        <f>'2. SOFP'!E9</f>
        <v>351.36</v>
      </c>
      <c r="D8" s="673"/>
      <c r="E8" s="83"/>
    </row>
    <row r="9" spans="1:6" ht="15.75">
      <c r="A9" s="318">
        <v>1.3</v>
      </c>
      <c r="B9" s="320" t="s">
        <v>528</v>
      </c>
      <c r="C9" s="672">
        <f>'2. SOFP'!E10</f>
        <v>7082269.5671999995</v>
      </c>
      <c r="D9" s="673"/>
      <c r="E9" s="83"/>
    </row>
    <row r="10" spans="1:6" ht="15.75">
      <c r="A10" s="318">
        <v>2</v>
      </c>
      <c r="B10" s="321" t="s">
        <v>529</v>
      </c>
      <c r="C10" s="674"/>
      <c r="D10" s="673"/>
      <c r="E10" s="83"/>
    </row>
    <row r="11" spans="1:6" ht="15.75">
      <c r="A11" s="318">
        <v>2.1</v>
      </c>
      <c r="B11" s="322" t="s">
        <v>530</v>
      </c>
      <c r="C11" s="675"/>
      <c r="D11" s="676"/>
      <c r="E11" s="84"/>
    </row>
    <row r="12" spans="1:6" ht="15.75">
      <c r="A12" s="318">
        <v>3</v>
      </c>
      <c r="B12" s="323" t="s">
        <v>531</v>
      </c>
      <c r="C12" s="677"/>
      <c r="D12" s="676"/>
      <c r="E12" s="84"/>
    </row>
    <row r="13" spans="1:6" ht="15.75">
      <c r="A13" s="318">
        <v>4</v>
      </c>
      <c r="B13" s="324" t="s">
        <v>532</v>
      </c>
      <c r="C13" s="677"/>
      <c r="D13" s="676"/>
      <c r="E13" s="84"/>
    </row>
    <row r="14" spans="1:6" ht="15.75">
      <c r="A14" s="318">
        <v>5</v>
      </c>
      <c r="B14" s="325" t="s">
        <v>533</v>
      </c>
      <c r="C14" s="677">
        <f>SUM(C15:C17)</f>
        <v>54000</v>
      </c>
      <c r="D14" s="676"/>
      <c r="E14" s="84"/>
    </row>
    <row r="15" spans="1:6" ht="15.75">
      <c r="A15" s="318">
        <v>5.0999999999999996</v>
      </c>
      <c r="B15" s="326" t="s">
        <v>534</v>
      </c>
      <c r="C15" s="678">
        <f>'2. SOFP'!E16</f>
        <v>54000</v>
      </c>
      <c r="D15" s="676"/>
      <c r="E15" s="83"/>
    </row>
    <row r="16" spans="1:6" ht="15.75">
      <c r="A16" s="318">
        <v>5.2</v>
      </c>
      <c r="B16" s="326" t="s">
        <v>535</v>
      </c>
      <c r="C16" s="678">
        <f>'2. SOFP'!E17</f>
        <v>0</v>
      </c>
      <c r="D16" s="673"/>
      <c r="E16" s="83"/>
    </row>
    <row r="17" spans="1:5" ht="15.75">
      <c r="A17" s="318">
        <v>5.3</v>
      </c>
      <c r="B17" s="327" t="s">
        <v>536</v>
      </c>
      <c r="C17" s="678">
        <f>'2. SOFP'!E18</f>
        <v>0</v>
      </c>
      <c r="D17" s="673"/>
      <c r="E17" s="83"/>
    </row>
    <row r="18" spans="1:5" ht="15.75">
      <c r="A18" s="318">
        <v>6</v>
      </c>
      <c r="B18" s="323" t="s">
        <v>537</v>
      </c>
      <c r="C18" s="674">
        <f>SUM(C19:C20)</f>
        <v>133960285.86515713</v>
      </c>
      <c r="D18" s="673"/>
      <c r="E18" s="83"/>
    </row>
    <row r="19" spans="1:5" ht="15.75">
      <c r="A19" s="318">
        <v>6.1</v>
      </c>
      <c r="B19" s="326" t="s">
        <v>535</v>
      </c>
      <c r="C19" s="675">
        <f>'2. SOFP'!E20</f>
        <v>0</v>
      </c>
      <c r="D19" s="673"/>
      <c r="E19" s="83"/>
    </row>
    <row r="20" spans="1:5" ht="15.75">
      <c r="A20" s="318">
        <v>6.2</v>
      </c>
      <c r="B20" s="327" t="s">
        <v>536</v>
      </c>
      <c r="C20" s="675">
        <f>'2. SOFP'!E21</f>
        <v>133960285.86515713</v>
      </c>
      <c r="D20" s="673"/>
      <c r="E20" s="83"/>
    </row>
    <row r="21" spans="1:5" ht="15.75">
      <c r="A21" s="318">
        <v>7</v>
      </c>
      <c r="B21" s="321" t="s">
        <v>538</v>
      </c>
      <c r="C21" s="677">
        <v>0</v>
      </c>
      <c r="D21" s="673"/>
      <c r="E21" s="83"/>
    </row>
    <row r="22" spans="1:5" ht="15.75">
      <c r="A22" s="318">
        <v>8</v>
      </c>
      <c r="B22" s="328" t="s">
        <v>539</v>
      </c>
      <c r="C22" s="674"/>
      <c r="D22" s="673"/>
      <c r="E22" s="83"/>
    </row>
    <row r="23" spans="1:5" ht="15.75">
      <c r="A23" s="318">
        <v>9</v>
      </c>
      <c r="B23" s="324" t="s">
        <v>540</v>
      </c>
      <c r="C23" s="674">
        <f>SUM(C24:C25)</f>
        <v>60494587.259999998</v>
      </c>
      <c r="D23" s="679"/>
      <c r="E23" s="83"/>
    </row>
    <row r="24" spans="1:5" ht="15.75">
      <c r="A24" s="318">
        <v>9.1</v>
      </c>
      <c r="B24" s="326" t="s">
        <v>541</v>
      </c>
      <c r="C24" s="680">
        <f>'2. SOFP'!E25</f>
        <v>33138780.259999998</v>
      </c>
      <c r="D24" s="681"/>
      <c r="E24" s="83"/>
    </row>
    <row r="25" spans="1:5" ht="15.75">
      <c r="A25" s="318">
        <v>9.1999999999999993</v>
      </c>
      <c r="B25" s="326" t="s">
        <v>542</v>
      </c>
      <c r="C25" s="680">
        <f>'2. SOFP'!E26</f>
        <v>27355807</v>
      </c>
      <c r="D25" s="682"/>
      <c r="E25" s="85"/>
    </row>
    <row r="26" spans="1:5" ht="15.75">
      <c r="A26" s="318">
        <v>10</v>
      </c>
      <c r="B26" s="324" t="s">
        <v>543</v>
      </c>
      <c r="C26" s="674">
        <f>SUM(C27:C28)</f>
        <v>856529.25</v>
      </c>
      <c r="D26" s="486" t="s">
        <v>776</v>
      </c>
      <c r="E26" s="83"/>
    </row>
    <row r="27" spans="1:5" ht="15.75">
      <c r="A27" s="318">
        <v>10.1</v>
      </c>
      <c r="B27" s="326" t="s">
        <v>544</v>
      </c>
      <c r="C27" s="672">
        <v>0</v>
      </c>
      <c r="D27" s="673"/>
      <c r="E27" s="83"/>
    </row>
    <row r="28" spans="1:5" ht="15.75">
      <c r="A28" s="318">
        <v>10.199999999999999</v>
      </c>
      <c r="B28" s="326" t="s">
        <v>545</v>
      </c>
      <c r="C28" s="672">
        <f>'2. SOFP'!E29</f>
        <v>856529.25</v>
      </c>
      <c r="D28" s="673"/>
      <c r="E28" s="83"/>
    </row>
    <row r="29" spans="1:5" ht="15.75">
      <c r="A29" s="318">
        <v>11</v>
      </c>
      <c r="B29" s="324" t="s">
        <v>546</v>
      </c>
      <c r="C29" s="674">
        <f>SUM(C30:C31)</f>
        <v>0</v>
      </c>
      <c r="D29" s="673"/>
      <c r="E29" s="83"/>
    </row>
    <row r="30" spans="1:5" ht="15.75">
      <c r="A30" s="318">
        <v>11.1</v>
      </c>
      <c r="B30" s="326" t="s">
        <v>547</v>
      </c>
      <c r="C30" s="672">
        <f>'2. SOFP'!E31</f>
        <v>0</v>
      </c>
      <c r="D30" s="673"/>
      <c r="E30" s="83"/>
    </row>
    <row r="31" spans="1:5" ht="15.75">
      <c r="A31" s="318">
        <v>11.2</v>
      </c>
      <c r="B31" s="326" t="s">
        <v>548</v>
      </c>
      <c r="C31" s="672">
        <f>'2. SOFP'!E32</f>
        <v>0</v>
      </c>
      <c r="D31" s="673"/>
      <c r="E31" s="83"/>
    </row>
    <row r="32" spans="1:5" ht="15.75">
      <c r="A32" s="318">
        <v>13</v>
      </c>
      <c r="B32" s="324" t="s">
        <v>549</v>
      </c>
      <c r="C32" s="674">
        <f>'2. SOFP'!E33</f>
        <v>42735382.451999612</v>
      </c>
      <c r="D32" s="673"/>
      <c r="E32" s="83"/>
    </row>
    <row r="33" spans="1:5" ht="15.75">
      <c r="A33" s="318">
        <v>13.1</v>
      </c>
      <c r="B33" s="329" t="s">
        <v>550</v>
      </c>
      <c r="C33" s="672">
        <f>'2. SOFP'!E34</f>
        <v>26496402</v>
      </c>
      <c r="D33" s="673"/>
      <c r="E33" s="83"/>
    </row>
    <row r="34" spans="1:5" ht="15.75">
      <c r="A34" s="318">
        <v>13.2</v>
      </c>
      <c r="B34" s="329" t="s">
        <v>551</v>
      </c>
      <c r="C34" s="680"/>
      <c r="D34" s="681"/>
      <c r="E34" s="83"/>
    </row>
    <row r="35" spans="1:5" ht="15.75">
      <c r="A35" s="318">
        <v>14</v>
      </c>
      <c r="B35" s="330" t="s">
        <v>552</v>
      </c>
      <c r="C35" s="683">
        <f>SUM(C32,C29,C26,C23,C21:C22,C18,C12:C14,C10,C6)</f>
        <v>442693630.63865674</v>
      </c>
      <c r="D35" s="681"/>
      <c r="E35" s="83">
        <f>C35-'2. SOFP'!E36</f>
        <v>0</v>
      </c>
    </row>
    <row r="36" spans="1:5" ht="15.75">
      <c r="A36" s="318"/>
      <c r="B36" s="331" t="s">
        <v>553</v>
      </c>
      <c r="C36" s="684"/>
      <c r="D36" s="685"/>
      <c r="E36" s="83"/>
    </row>
    <row r="37" spans="1:5" ht="15.75">
      <c r="A37" s="318">
        <v>15</v>
      </c>
      <c r="B37" s="332" t="s">
        <v>554</v>
      </c>
      <c r="C37" s="686"/>
      <c r="D37" s="682"/>
      <c r="E37" s="85"/>
    </row>
    <row r="38" spans="1:5" ht="15.75">
      <c r="A38" s="333">
        <v>15.1</v>
      </c>
      <c r="B38" s="334" t="s">
        <v>530</v>
      </c>
      <c r="C38" s="672"/>
      <c r="D38" s="673"/>
      <c r="E38" s="83"/>
    </row>
    <row r="39" spans="1:5" ht="15.75">
      <c r="A39" s="333">
        <v>16</v>
      </c>
      <c r="B39" s="321" t="s">
        <v>555</v>
      </c>
      <c r="C39" s="674"/>
      <c r="D39" s="673"/>
      <c r="E39" s="83"/>
    </row>
    <row r="40" spans="1:5" ht="15.75">
      <c r="A40" s="333">
        <v>17</v>
      </c>
      <c r="B40" s="321" t="s">
        <v>556</v>
      </c>
      <c r="C40" s="674">
        <f>C41+C42+C43+C44</f>
        <v>12996218.512400001</v>
      </c>
      <c r="D40" s="673"/>
      <c r="E40" s="83"/>
    </row>
    <row r="41" spans="1:5" ht="15.75">
      <c r="A41" s="333">
        <v>17.100000000000001</v>
      </c>
      <c r="B41" s="335" t="s">
        <v>557</v>
      </c>
      <c r="C41" s="672">
        <f>'2. SOFP'!E42</f>
        <v>12996218.512400001</v>
      </c>
      <c r="D41" s="673"/>
      <c r="E41" s="83"/>
    </row>
    <row r="42" spans="1:5" ht="15.75">
      <c r="A42" s="333">
        <v>17.2</v>
      </c>
      <c r="B42" s="336" t="s">
        <v>558</v>
      </c>
      <c r="C42" s="680"/>
      <c r="D42" s="681"/>
      <c r="E42" s="83"/>
    </row>
    <row r="43" spans="1:5" ht="15.75">
      <c r="A43" s="333">
        <v>17.3</v>
      </c>
      <c r="B43" s="364" t="s">
        <v>559</v>
      </c>
      <c r="C43" s="687"/>
      <c r="D43" s="688"/>
      <c r="E43" s="83"/>
    </row>
    <row r="44" spans="1:5" ht="15.75">
      <c r="A44" s="333">
        <v>17.399999999999999</v>
      </c>
      <c r="B44" s="365" t="s">
        <v>560</v>
      </c>
      <c r="C44" s="687"/>
      <c r="D44" s="688"/>
      <c r="E44" s="83"/>
    </row>
    <row r="45" spans="1:5" ht="15.75">
      <c r="A45" s="333">
        <v>18</v>
      </c>
      <c r="B45" s="366" t="s">
        <v>561</v>
      </c>
      <c r="C45" s="689">
        <f>'2. SOFP'!E46</f>
        <v>7958.6608015558977</v>
      </c>
      <c r="D45" s="690"/>
      <c r="E45" s="85"/>
    </row>
    <row r="46" spans="1:5" ht="15.75">
      <c r="A46" s="333">
        <v>19</v>
      </c>
      <c r="B46" s="366" t="s">
        <v>562</v>
      </c>
      <c r="C46" s="689">
        <f>'2. SOFP'!E47</f>
        <v>58240</v>
      </c>
      <c r="D46" s="691"/>
    </row>
    <row r="47" spans="1:5" ht="15.75">
      <c r="A47" s="333">
        <v>19.100000000000001</v>
      </c>
      <c r="B47" s="367" t="s">
        <v>563</v>
      </c>
      <c r="C47" s="692">
        <f>'2. SOFP'!E48</f>
        <v>0</v>
      </c>
      <c r="D47" s="691"/>
    </row>
    <row r="48" spans="1:5" ht="15.75">
      <c r="A48" s="333">
        <v>19.2</v>
      </c>
      <c r="B48" s="367" t="s">
        <v>564</v>
      </c>
      <c r="C48" s="692">
        <f>'2. SOFP'!E49</f>
        <v>58240</v>
      </c>
      <c r="D48" s="691"/>
    </row>
    <row r="49" spans="1:5" ht="15.75">
      <c r="A49" s="333">
        <v>20</v>
      </c>
      <c r="B49" s="337" t="s">
        <v>565</v>
      </c>
      <c r="C49" s="689">
        <f>'2. SOFP'!E50</f>
        <v>121963695.57439999</v>
      </c>
      <c r="D49" s="691"/>
    </row>
    <row r="50" spans="1:5" ht="15.75">
      <c r="A50" s="333">
        <v>21</v>
      </c>
      <c r="B50" s="368" t="s">
        <v>566</v>
      </c>
      <c r="C50" s="689">
        <f>'2. SOFP'!E51</f>
        <v>18247022.098300003</v>
      </c>
      <c r="D50" s="691"/>
    </row>
    <row r="51" spans="1:5" ht="15.75">
      <c r="A51" s="333">
        <v>21.1</v>
      </c>
      <c r="B51" s="336" t="s">
        <v>567</v>
      </c>
      <c r="C51" s="692">
        <f>'2. SOFP'!E52</f>
        <v>1060412.6299999999</v>
      </c>
      <c r="D51" s="691"/>
    </row>
    <row r="52" spans="1:5" ht="15.75">
      <c r="A52" s="333">
        <v>22</v>
      </c>
      <c r="B52" s="338" t="s">
        <v>568</v>
      </c>
      <c r="C52" s="693">
        <f>SUM(C49:C50,C45:C46,C39:C40,C37)</f>
        <v>153273134.84590155</v>
      </c>
      <c r="D52" s="691"/>
      <c r="E52" s="694">
        <f>C52-'2. SOFP'!E53</f>
        <v>0</v>
      </c>
    </row>
    <row r="53" spans="1:5" ht="15.75">
      <c r="A53" s="333"/>
      <c r="B53" s="339" t="s">
        <v>569</v>
      </c>
      <c r="C53" s="687"/>
      <c r="D53" s="691"/>
    </row>
    <row r="54" spans="1:5" ht="15.75">
      <c r="A54" s="333">
        <v>23</v>
      </c>
      <c r="B54" s="337" t="s">
        <v>570</v>
      </c>
      <c r="C54" s="693">
        <f>'2. SOFP'!E55</f>
        <v>209008277</v>
      </c>
      <c r="D54" s="691"/>
    </row>
    <row r="55" spans="1:5" ht="15.75">
      <c r="A55" s="333">
        <v>24</v>
      </c>
      <c r="B55" s="337" t="s">
        <v>571</v>
      </c>
      <c r="C55" s="693">
        <f>'2. SOFP'!E56</f>
        <v>0</v>
      </c>
      <c r="D55" s="691"/>
    </row>
    <row r="56" spans="1:5" ht="15.75">
      <c r="A56" s="333">
        <v>25</v>
      </c>
      <c r="B56" s="366" t="s">
        <v>572</v>
      </c>
      <c r="C56" s="693">
        <f>'2. SOFP'!E57</f>
        <v>0</v>
      </c>
      <c r="D56" s="691"/>
    </row>
    <row r="57" spans="1:5" ht="15.75">
      <c r="A57" s="333">
        <v>26</v>
      </c>
      <c r="B57" s="366" t="s">
        <v>573</v>
      </c>
      <c r="C57" s="693">
        <f>'2. SOFP'!E58</f>
        <v>0</v>
      </c>
      <c r="D57" s="691"/>
    </row>
    <row r="58" spans="1:5" ht="15.75">
      <c r="A58" s="333">
        <v>27</v>
      </c>
      <c r="B58" s="366" t="s">
        <v>574</v>
      </c>
      <c r="C58" s="693">
        <f>'2. SOFP'!E59</f>
        <v>55386000</v>
      </c>
      <c r="D58" s="691"/>
    </row>
    <row r="59" spans="1:5" ht="15.75">
      <c r="A59" s="333">
        <v>27.1</v>
      </c>
      <c r="B59" s="365" t="s">
        <v>575</v>
      </c>
      <c r="C59" s="687"/>
      <c r="D59" s="691"/>
    </row>
    <row r="60" spans="1:5" ht="15.75">
      <c r="A60" s="333">
        <v>27.2</v>
      </c>
      <c r="B60" s="365" t="s">
        <v>576</v>
      </c>
      <c r="C60" s="687">
        <f>'2. SOFP'!E59</f>
        <v>55386000</v>
      </c>
      <c r="D60" s="691"/>
    </row>
    <row r="61" spans="1:5" ht="15.75">
      <c r="A61" s="333">
        <v>28</v>
      </c>
      <c r="B61" s="340" t="s">
        <v>577</v>
      </c>
      <c r="C61" s="693">
        <v>0</v>
      </c>
      <c r="D61" s="691"/>
    </row>
    <row r="62" spans="1:5" ht="15.75">
      <c r="A62" s="333">
        <v>29</v>
      </c>
      <c r="B62" s="366" t="s">
        <v>578</v>
      </c>
      <c r="C62" s="693">
        <f>SUM(C63:C65)</f>
        <v>12392777</v>
      </c>
      <c r="D62" s="691"/>
    </row>
    <row r="63" spans="1:5" ht="15.75">
      <c r="A63" s="333">
        <v>29.1</v>
      </c>
      <c r="B63" s="369" t="s">
        <v>579</v>
      </c>
      <c r="C63" s="687">
        <f>'2. SOFP'!E64</f>
        <v>12392777</v>
      </c>
      <c r="D63" s="691"/>
    </row>
    <row r="64" spans="1:5" ht="15.75">
      <c r="A64" s="333">
        <v>29.2</v>
      </c>
      <c r="B64" s="372" t="s">
        <v>580</v>
      </c>
      <c r="C64" s="687">
        <f>'2. SOFP'!E65</f>
        <v>0</v>
      </c>
      <c r="D64" s="691"/>
    </row>
    <row r="65" spans="1:4" ht="15.75">
      <c r="A65" s="333">
        <v>29.3</v>
      </c>
      <c r="B65" s="372" t="s">
        <v>581</v>
      </c>
      <c r="C65" s="687">
        <f>'2. SOFP'!E66</f>
        <v>0</v>
      </c>
      <c r="D65" s="691"/>
    </row>
    <row r="66" spans="1:4" ht="15.75">
      <c r="A66" s="333">
        <v>30</v>
      </c>
      <c r="B66" s="341" t="s">
        <v>582</v>
      </c>
      <c r="C66" s="693">
        <f>'2. SOFP'!E67</f>
        <v>12633441.7975633</v>
      </c>
      <c r="D66" s="691"/>
    </row>
    <row r="67" spans="1:4" ht="15.75">
      <c r="A67" s="333">
        <v>31</v>
      </c>
      <c r="B67" s="370" t="s">
        <v>583</v>
      </c>
      <c r="C67" s="693">
        <f>SUM(C54:C58,C61:C62,C66)</f>
        <v>289420495.79756331</v>
      </c>
      <c r="D67" s="691"/>
    </row>
    <row r="68" spans="1:4" ht="15.75">
      <c r="A68" s="333">
        <v>32</v>
      </c>
      <c r="B68" s="341" t="s">
        <v>584</v>
      </c>
      <c r="C68" s="693">
        <f>C67+C52</f>
        <v>442693630.64346486</v>
      </c>
      <c r="D68" s="69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3"/>
  <sheetViews>
    <sheetView zoomScale="60" zoomScaleNormal="60" workbookViewId="0">
      <pane xSplit="1" ySplit="4" topLeftCell="C5" activePane="bottomRight" state="frozen"/>
      <selection activeCell="B19" sqref="B19"/>
      <selection pane="topRight" activeCell="B19" sqref="B19"/>
      <selection pane="bottomLeft" activeCell="B19" sqref="B19"/>
      <selection pane="bottomRight" activeCell="N14" sqref="N14"/>
    </sheetView>
  </sheetViews>
  <sheetFormatPr defaultColWidth="9.28515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28515625" style="4" bestFit="1" customWidth="1"/>
    <col min="9" max="9" width="13" style="4" bestFit="1" customWidth="1"/>
    <col min="10" max="10" width="13.28515625" style="4" bestFit="1" customWidth="1"/>
    <col min="11" max="11" width="13" style="4" bestFit="1" customWidth="1"/>
    <col min="12" max="16" width="13" style="17" bestFit="1" customWidth="1"/>
    <col min="17" max="17" width="14.7109375" style="17" customWidth="1"/>
    <col min="18" max="18" width="13" style="17" bestFit="1" customWidth="1"/>
    <col min="19" max="19" width="34.7109375" style="17" customWidth="1"/>
    <col min="20" max="16384" width="9.28515625" style="17"/>
  </cols>
  <sheetData>
    <row r="1" spans="1:19">
      <c r="A1" s="2" t="s">
        <v>30</v>
      </c>
      <c r="B1" s="3" t="str">
        <f>'Info '!C2</f>
        <v>VTB Bank Georgia JSC</v>
      </c>
    </row>
    <row r="2" spans="1:19">
      <c r="A2" s="2" t="s">
        <v>31</v>
      </c>
      <c r="B2" s="273">
        <f>'1. key ratios '!B2</f>
        <v>45930</v>
      </c>
    </row>
    <row r="4" spans="1:19" ht="26.25" thickBot="1">
      <c r="A4" s="4" t="s">
        <v>146</v>
      </c>
      <c r="B4" s="177" t="s">
        <v>238</v>
      </c>
    </row>
    <row r="5" spans="1:19" s="164" customFormat="1">
      <c r="A5" s="159"/>
      <c r="B5" s="160"/>
      <c r="C5" s="161" t="s">
        <v>0</v>
      </c>
      <c r="D5" s="161" t="s">
        <v>1</v>
      </c>
      <c r="E5" s="161" t="s">
        <v>2</v>
      </c>
      <c r="F5" s="161" t="s">
        <v>3</v>
      </c>
      <c r="G5" s="161" t="s">
        <v>4</v>
      </c>
      <c r="H5" s="161" t="s">
        <v>5</v>
      </c>
      <c r="I5" s="161" t="s">
        <v>8</v>
      </c>
      <c r="J5" s="161" t="s">
        <v>9</v>
      </c>
      <c r="K5" s="161" t="s">
        <v>10</v>
      </c>
      <c r="L5" s="161" t="s">
        <v>11</v>
      </c>
      <c r="M5" s="161" t="s">
        <v>12</v>
      </c>
      <c r="N5" s="161" t="s">
        <v>13</v>
      </c>
      <c r="O5" s="161" t="s">
        <v>222</v>
      </c>
      <c r="P5" s="161" t="s">
        <v>223</v>
      </c>
      <c r="Q5" s="161" t="s">
        <v>224</v>
      </c>
      <c r="R5" s="162" t="s">
        <v>225</v>
      </c>
      <c r="S5" s="163" t="s">
        <v>226</v>
      </c>
    </row>
    <row r="6" spans="1:19" s="164" customFormat="1" ht="99" customHeight="1">
      <c r="A6" s="165"/>
      <c r="B6" s="813" t="s">
        <v>227</v>
      </c>
      <c r="C6" s="809">
        <v>0</v>
      </c>
      <c r="D6" s="810"/>
      <c r="E6" s="809">
        <v>0.2</v>
      </c>
      <c r="F6" s="810"/>
      <c r="G6" s="809">
        <v>0.35</v>
      </c>
      <c r="H6" s="810"/>
      <c r="I6" s="809">
        <v>0.5</v>
      </c>
      <c r="J6" s="810"/>
      <c r="K6" s="809">
        <v>0.75</v>
      </c>
      <c r="L6" s="810"/>
      <c r="M6" s="809">
        <v>1</v>
      </c>
      <c r="N6" s="810"/>
      <c r="O6" s="809">
        <v>1.5</v>
      </c>
      <c r="P6" s="810"/>
      <c r="Q6" s="809">
        <v>2.5</v>
      </c>
      <c r="R6" s="810"/>
      <c r="S6" s="811" t="s">
        <v>145</v>
      </c>
    </row>
    <row r="7" spans="1:19" s="164" customFormat="1" ht="30.75" customHeight="1">
      <c r="A7" s="165"/>
      <c r="B7" s="814"/>
      <c r="C7" s="156" t="s">
        <v>148</v>
      </c>
      <c r="D7" s="156" t="s">
        <v>147</v>
      </c>
      <c r="E7" s="156" t="s">
        <v>148</v>
      </c>
      <c r="F7" s="156" t="s">
        <v>147</v>
      </c>
      <c r="G7" s="156" t="s">
        <v>148</v>
      </c>
      <c r="H7" s="156" t="s">
        <v>147</v>
      </c>
      <c r="I7" s="156" t="s">
        <v>148</v>
      </c>
      <c r="J7" s="156" t="s">
        <v>147</v>
      </c>
      <c r="K7" s="156" t="s">
        <v>148</v>
      </c>
      <c r="L7" s="156" t="s">
        <v>147</v>
      </c>
      <c r="M7" s="156" t="s">
        <v>148</v>
      </c>
      <c r="N7" s="156" t="s">
        <v>147</v>
      </c>
      <c r="O7" s="156" t="s">
        <v>148</v>
      </c>
      <c r="P7" s="156" t="s">
        <v>147</v>
      </c>
      <c r="Q7" s="156" t="s">
        <v>148</v>
      </c>
      <c r="R7" s="156" t="s">
        <v>147</v>
      </c>
      <c r="S7" s="812"/>
    </row>
    <row r="8" spans="1:19" s="88" customFormat="1">
      <c r="A8" s="86">
        <v>1</v>
      </c>
      <c r="B8" s="1" t="s">
        <v>51</v>
      </c>
      <c r="C8" s="87">
        <v>351</v>
      </c>
      <c r="D8" s="87"/>
      <c r="E8" s="87">
        <v>0</v>
      </c>
      <c r="F8" s="87"/>
      <c r="G8" s="87">
        <v>0</v>
      </c>
      <c r="H8" s="87"/>
      <c r="I8" s="87">
        <v>0</v>
      </c>
      <c r="J8" s="87"/>
      <c r="K8" s="87">
        <v>0</v>
      </c>
      <c r="L8" s="87"/>
      <c r="M8" s="87">
        <v>0</v>
      </c>
      <c r="N8" s="87"/>
      <c r="O8" s="87">
        <v>0</v>
      </c>
      <c r="P8" s="87"/>
      <c r="Q8" s="87">
        <v>0</v>
      </c>
      <c r="R8" s="87"/>
      <c r="S8" s="178">
        <f>$C$6*SUM(C8:D8)+$E$6*SUM(E8:F8)+$G$6*SUM(G8:H8)+$I$6*SUM(I8:J8)+$K$6*SUM(K8:L8)+$M$6*SUM(M8:N8)+$O$6*SUM(O8:P8)+$Q$6*SUM(Q8:R8)</f>
        <v>0</v>
      </c>
    </row>
    <row r="9" spans="1:19" s="88" customFormat="1">
      <c r="A9" s="86">
        <v>2</v>
      </c>
      <c r="B9" s="1" t="s">
        <v>52</v>
      </c>
      <c r="C9" s="87">
        <v>0</v>
      </c>
      <c r="D9" s="87"/>
      <c r="E9" s="87">
        <v>0</v>
      </c>
      <c r="F9" s="87"/>
      <c r="G9" s="87">
        <v>0</v>
      </c>
      <c r="H9" s="87"/>
      <c r="I9" s="87">
        <v>0</v>
      </c>
      <c r="J9" s="87"/>
      <c r="K9" s="87">
        <v>0</v>
      </c>
      <c r="L9" s="87"/>
      <c r="M9" s="87">
        <v>0</v>
      </c>
      <c r="N9" s="87"/>
      <c r="O9" s="87">
        <v>0</v>
      </c>
      <c r="P9" s="87"/>
      <c r="Q9" s="87">
        <v>0</v>
      </c>
      <c r="R9" s="87"/>
      <c r="S9" s="178">
        <f t="shared" ref="S9:S21" si="0">$C$6*SUM(C9:D9)+$E$6*SUM(E9:F9)+$G$6*SUM(G9:H9)+$I$6*SUM(I9:J9)+$K$6*SUM(K9:L9)+$M$6*SUM(M9:N9)+$O$6*SUM(O9:P9)+$Q$6*SUM(Q9:R9)</f>
        <v>0</v>
      </c>
    </row>
    <row r="10" spans="1:19" s="88" customFormat="1">
      <c r="A10" s="86">
        <v>3</v>
      </c>
      <c r="B10" s="1" t="s">
        <v>152</v>
      </c>
      <c r="C10" s="87">
        <v>0</v>
      </c>
      <c r="D10" s="87"/>
      <c r="E10" s="87">
        <v>0</v>
      </c>
      <c r="F10" s="87"/>
      <c r="G10" s="87">
        <v>0</v>
      </c>
      <c r="H10" s="87"/>
      <c r="I10" s="87">
        <v>0</v>
      </c>
      <c r="J10" s="87"/>
      <c r="K10" s="87">
        <v>0</v>
      </c>
      <c r="L10" s="87"/>
      <c r="M10" s="87">
        <v>0</v>
      </c>
      <c r="N10" s="87"/>
      <c r="O10" s="87">
        <v>0</v>
      </c>
      <c r="P10" s="87"/>
      <c r="Q10" s="87">
        <v>0</v>
      </c>
      <c r="R10" s="87"/>
      <c r="S10" s="178">
        <f t="shared" si="0"/>
        <v>0</v>
      </c>
    </row>
    <row r="11" spans="1:19" s="88" customFormat="1">
      <c r="A11" s="86">
        <v>4</v>
      </c>
      <c r="B11" s="1" t="s">
        <v>53</v>
      </c>
      <c r="C11" s="87">
        <v>0</v>
      </c>
      <c r="D11" s="87"/>
      <c r="E11" s="87">
        <v>0</v>
      </c>
      <c r="F11" s="87"/>
      <c r="G11" s="87">
        <v>0</v>
      </c>
      <c r="H11" s="87"/>
      <c r="I11" s="87">
        <v>0</v>
      </c>
      <c r="J11" s="87"/>
      <c r="K11" s="87">
        <v>0</v>
      </c>
      <c r="L11" s="87"/>
      <c r="M11" s="87">
        <v>0</v>
      </c>
      <c r="N11" s="87"/>
      <c r="O11" s="87">
        <v>0</v>
      </c>
      <c r="P11" s="87"/>
      <c r="Q11" s="87">
        <v>0</v>
      </c>
      <c r="R11" s="87"/>
      <c r="S11" s="178">
        <f t="shared" si="0"/>
        <v>0</v>
      </c>
    </row>
    <row r="12" spans="1:19" s="88" customFormat="1">
      <c r="A12" s="86">
        <v>5</v>
      </c>
      <c r="B12" s="1" t="s">
        <v>54</v>
      </c>
      <c r="C12" s="87">
        <v>0</v>
      </c>
      <c r="D12" s="87"/>
      <c r="E12" s="87">
        <v>0</v>
      </c>
      <c r="F12" s="87"/>
      <c r="G12" s="87">
        <v>0</v>
      </c>
      <c r="H12" s="87"/>
      <c r="I12" s="87">
        <v>0</v>
      </c>
      <c r="J12" s="87"/>
      <c r="K12" s="87">
        <v>0</v>
      </c>
      <c r="L12" s="87"/>
      <c r="M12" s="87">
        <v>0</v>
      </c>
      <c r="N12" s="87"/>
      <c r="O12" s="87">
        <v>0</v>
      </c>
      <c r="P12" s="87"/>
      <c r="Q12" s="87">
        <v>0</v>
      </c>
      <c r="R12" s="87"/>
      <c r="S12" s="178">
        <f t="shared" si="0"/>
        <v>0</v>
      </c>
    </row>
    <row r="13" spans="1:19" s="88" customFormat="1">
      <c r="A13" s="86">
        <v>6</v>
      </c>
      <c r="B13" s="1" t="s">
        <v>55</v>
      </c>
      <c r="C13" s="87">
        <v>0</v>
      </c>
      <c r="D13" s="87"/>
      <c r="E13" s="87">
        <v>5619056.1971999994</v>
      </c>
      <c r="F13" s="87"/>
      <c r="G13" s="87">
        <v>0</v>
      </c>
      <c r="H13" s="87"/>
      <c r="I13" s="87">
        <v>0.43280000076629221</v>
      </c>
      <c r="J13" s="87"/>
      <c r="K13" s="87">
        <v>0</v>
      </c>
      <c r="L13" s="87"/>
      <c r="M13" s="87">
        <v>1463212.9372</v>
      </c>
      <c r="N13" s="87">
        <v>0</v>
      </c>
      <c r="O13" s="87">
        <v>0</v>
      </c>
      <c r="P13" s="87"/>
      <c r="Q13" s="87">
        <v>0</v>
      </c>
      <c r="R13" s="87"/>
      <c r="S13" s="178">
        <f t="shared" si="0"/>
        <v>2587024.3930400005</v>
      </c>
    </row>
    <row r="14" spans="1:19" s="88" customFormat="1">
      <c r="A14" s="86">
        <v>7</v>
      </c>
      <c r="B14" s="1" t="s">
        <v>56</v>
      </c>
      <c r="C14" s="87">
        <v>0</v>
      </c>
      <c r="D14" s="87">
        <v>0</v>
      </c>
      <c r="E14" s="87">
        <v>0</v>
      </c>
      <c r="F14" s="87">
        <v>0</v>
      </c>
      <c r="G14" s="87">
        <v>0</v>
      </c>
      <c r="H14" s="87"/>
      <c r="I14" s="87">
        <v>0</v>
      </c>
      <c r="J14" s="87">
        <v>0</v>
      </c>
      <c r="K14" s="87">
        <v>0</v>
      </c>
      <c r="L14" s="87"/>
      <c r="M14" s="87">
        <v>91244988.772180095</v>
      </c>
      <c r="N14" s="87">
        <v>105787</v>
      </c>
      <c r="O14" s="87">
        <v>561457.017114421</v>
      </c>
      <c r="P14" s="87">
        <v>0</v>
      </c>
      <c r="Q14" s="87">
        <v>0</v>
      </c>
      <c r="R14" s="87">
        <v>0</v>
      </c>
      <c r="S14" s="178">
        <f t="shared" si="0"/>
        <v>92192961.297851726</v>
      </c>
    </row>
    <row r="15" spans="1:19" s="88" customFormat="1">
      <c r="A15" s="86">
        <v>8</v>
      </c>
      <c r="B15" s="1" t="s">
        <v>57</v>
      </c>
      <c r="C15" s="87">
        <v>0</v>
      </c>
      <c r="D15" s="87"/>
      <c r="E15" s="87">
        <v>0</v>
      </c>
      <c r="F15" s="87"/>
      <c r="G15" s="87">
        <v>0</v>
      </c>
      <c r="H15" s="87"/>
      <c r="I15" s="87">
        <v>0</v>
      </c>
      <c r="J15" s="87"/>
      <c r="K15" s="87">
        <v>0</v>
      </c>
      <c r="L15" s="87">
        <v>0</v>
      </c>
      <c r="M15" s="87">
        <v>0</v>
      </c>
      <c r="N15" s="87">
        <v>0</v>
      </c>
      <c r="O15" s="87">
        <v>0</v>
      </c>
      <c r="P15" s="87">
        <v>0</v>
      </c>
      <c r="Q15" s="87">
        <v>0</v>
      </c>
      <c r="R15" s="87"/>
      <c r="S15" s="178">
        <f t="shared" si="0"/>
        <v>0</v>
      </c>
    </row>
    <row r="16" spans="1:19" s="88" customFormat="1">
      <c r="A16" s="86">
        <v>9</v>
      </c>
      <c r="B16" s="1" t="s">
        <v>58</v>
      </c>
      <c r="C16" s="87">
        <v>0</v>
      </c>
      <c r="D16" s="87"/>
      <c r="E16" s="87">
        <v>0</v>
      </c>
      <c r="F16" s="87"/>
      <c r="G16" s="87">
        <v>4610759.1968045691</v>
      </c>
      <c r="H16" s="87">
        <v>0</v>
      </c>
      <c r="I16" s="87">
        <v>0</v>
      </c>
      <c r="J16" s="87"/>
      <c r="K16" s="87">
        <v>0</v>
      </c>
      <c r="L16" s="87"/>
      <c r="M16" s="87">
        <v>0</v>
      </c>
      <c r="N16" s="87"/>
      <c r="O16" s="87">
        <v>0</v>
      </c>
      <c r="P16" s="87"/>
      <c r="Q16" s="87">
        <v>0</v>
      </c>
      <c r="R16" s="87"/>
      <c r="S16" s="178">
        <f t="shared" si="0"/>
        <v>1613765.7188815991</v>
      </c>
    </row>
    <row r="17" spans="1:19" s="88" customFormat="1">
      <c r="A17" s="86">
        <v>10</v>
      </c>
      <c r="B17" s="1" t="s">
        <v>59</v>
      </c>
      <c r="C17" s="87">
        <v>223500.94312484519</v>
      </c>
      <c r="D17" s="87"/>
      <c r="E17" s="87">
        <v>0</v>
      </c>
      <c r="F17" s="87"/>
      <c r="G17" s="87">
        <v>0</v>
      </c>
      <c r="H17" s="87"/>
      <c r="I17" s="87">
        <v>14900.435930818683</v>
      </c>
      <c r="J17" s="87"/>
      <c r="K17" s="87">
        <v>0</v>
      </c>
      <c r="L17" s="87"/>
      <c r="M17" s="87">
        <v>12435278.193208011</v>
      </c>
      <c r="N17" s="87"/>
      <c r="O17" s="87">
        <v>24869401.306794353</v>
      </c>
      <c r="P17" s="87"/>
      <c r="Q17" s="87">
        <v>0</v>
      </c>
      <c r="R17" s="87"/>
      <c r="S17" s="178">
        <f t="shared" si="0"/>
        <v>49746830.371364951</v>
      </c>
    </row>
    <row r="18" spans="1:19" s="88" customFormat="1">
      <c r="A18" s="86">
        <v>11</v>
      </c>
      <c r="B18" s="1" t="s">
        <v>60</v>
      </c>
      <c r="C18" s="87">
        <v>0</v>
      </c>
      <c r="D18" s="87"/>
      <c r="E18" s="87">
        <v>0</v>
      </c>
      <c r="F18" s="87"/>
      <c r="G18" s="87">
        <v>0</v>
      </c>
      <c r="H18" s="87"/>
      <c r="I18" s="87">
        <v>0</v>
      </c>
      <c r="J18" s="87"/>
      <c r="K18" s="87">
        <v>0</v>
      </c>
      <c r="L18" s="87"/>
      <c r="M18" s="87">
        <v>0</v>
      </c>
      <c r="N18" s="87"/>
      <c r="O18" s="87">
        <v>0</v>
      </c>
      <c r="P18" s="87"/>
      <c r="Q18" s="87">
        <v>0</v>
      </c>
      <c r="R18" s="87"/>
      <c r="S18" s="178">
        <f t="shared" si="0"/>
        <v>0</v>
      </c>
    </row>
    <row r="19" spans="1:19" s="88" customFormat="1">
      <c r="A19" s="86">
        <v>12</v>
      </c>
      <c r="B19" s="1" t="s">
        <v>61</v>
      </c>
      <c r="C19" s="87">
        <v>0</v>
      </c>
      <c r="D19" s="87"/>
      <c r="E19" s="87">
        <v>0</v>
      </c>
      <c r="F19" s="87"/>
      <c r="G19" s="87">
        <v>0</v>
      </c>
      <c r="H19" s="87"/>
      <c r="I19" s="87">
        <v>0</v>
      </c>
      <c r="J19" s="87"/>
      <c r="K19" s="87">
        <v>0</v>
      </c>
      <c r="L19" s="87"/>
      <c r="M19" s="87">
        <v>0</v>
      </c>
      <c r="N19" s="87"/>
      <c r="O19" s="87">
        <v>0</v>
      </c>
      <c r="P19" s="87"/>
      <c r="Q19" s="87">
        <v>0</v>
      </c>
      <c r="R19" s="87"/>
      <c r="S19" s="178">
        <f t="shared" si="0"/>
        <v>0</v>
      </c>
    </row>
    <row r="20" spans="1:19" s="88" customFormat="1">
      <c r="A20" s="86">
        <v>13</v>
      </c>
      <c r="B20" s="1" t="s">
        <v>144</v>
      </c>
      <c r="C20" s="87">
        <v>0</v>
      </c>
      <c r="D20" s="87"/>
      <c r="E20" s="87">
        <v>0</v>
      </c>
      <c r="F20" s="87"/>
      <c r="G20" s="87">
        <v>0</v>
      </c>
      <c r="H20" s="87"/>
      <c r="I20" s="87">
        <v>0</v>
      </c>
      <c r="J20" s="87"/>
      <c r="K20" s="87">
        <v>0</v>
      </c>
      <c r="L20" s="87"/>
      <c r="M20" s="87">
        <v>0</v>
      </c>
      <c r="N20" s="87"/>
      <c r="O20" s="87">
        <v>0</v>
      </c>
      <c r="P20" s="87"/>
      <c r="Q20" s="87">
        <v>0</v>
      </c>
      <c r="R20" s="87"/>
      <c r="S20" s="178">
        <f t="shared" si="0"/>
        <v>0</v>
      </c>
    </row>
    <row r="21" spans="1:19" s="88" customFormat="1">
      <c r="A21" s="86">
        <v>14</v>
      </c>
      <c r="B21" s="1" t="s">
        <v>63</v>
      </c>
      <c r="C21" s="87">
        <v>197510224.88430002</v>
      </c>
      <c r="D21" s="87"/>
      <c r="E21" s="87">
        <v>0</v>
      </c>
      <c r="F21" s="87"/>
      <c r="G21" s="87">
        <v>0</v>
      </c>
      <c r="H21" s="87"/>
      <c r="I21" s="87">
        <v>0</v>
      </c>
      <c r="J21" s="87"/>
      <c r="K21" s="87">
        <v>0</v>
      </c>
      <c r="L21" s="87"/>
      <c r="M21" s="87">
        <v>103283970.00999999</v>
      </c>
      <c r="N21" s="87"/>
      <c r="O21" s="87">
        <v>0</v>
      </c>
      <c r="P21" s="87"/>
      <c r="Q21" s="87">
        <v>0</v>
      </c>
      <c r="R21" s="87"/>
      <c r="S21" s="178">
        <f t="shared" si="0"/>
        <v>103283970.00999999</v>
      </c>
    </row>
    <row r="22" spans="1:19" ht="13.5" thickBot="1">
      <c r="A22" s="89"/>
      <c r="B22" s="90" t="s">
        <v>64</v>
      </c>
      <c r="C22" s="91">
        <f>SUM(C8:C21)</f>
        <v>197734076.82742485</v>
      </c>
      <c r="D22" s="91">
        <f t="shared" ref="D22:J22" si="1">SUM(D8:D21)</f>
        <v>0</v>
      </c>
      <c r="E22" s="91">
        <f t="shared" si="1"/>
        <v>5619056.1971999994</v>
      </c>
      <c r="F22" s="91">
        <f t="shared" si="1"/>
        <v>0</v>
      </c>
      <c r="G22" s="91">
        <f t="shared" si="1"/>
        <v>4610759.1968045691</v>
      </c>
      <c r="H22" s="91">
        <f t="shared" si="1"/>
        <v>0</v>
      </c>
      <c r="I22" s="91">
        <f t="shared" si="1"/>
        <v>14900.868730819449</v>
      </c>
      <c r="J22" s="91">
        <f t="shared" si="1"/>
        <v>0</v>
      </c>
      <c r="K22" s="91">
        <f t="shared" ref="K22:S22" si="2">SUM(K8:K21)</f>
        <v>0</v>
      </c>
      <c r="L22" s="91">
        <f t="shared" si="2"/>
        <v>0</v>
      </c>
      <c r="M22" s="91">
        <f t="shared" si="2"/>
        <v>208427449.91258809</v>
      </c>
      <c r="N22" s="91">
        <f t="shared" si="2"/>
        <v>105787</v>
      </c>
      <c r="O22" s="91">
        <f t="shared" si="2"/>
        <v>25430858.323908772</v>
      </c>
      <c r="P22" s="91">
        <f t="shared" si="2"/>
        <v>0</v>
      </c>
      <c r="Q22" s="91">
        <f t="shared" si="2"/>
        <v>0</v>
      </c>
      <c r="R22" s="91">
        <f t="shared" si="2"/>
        <v>0</v>
      </c>
      <c r="S22" s="179">
        <f t="shared" si="2"/>
        <v>249424551.79113826</v>
      </c>
    </row>
    <row r="23" spans="1:19">
      <c r="S23" s="695">
        <f>S22-'[4]Risk Weighted Risk Exposures'!$P$48-'[4]Risk Weighted Risk Exposures'!$O$78</f>
        <v>-0.12540552827704232</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Q7" activePane="bottomRight" state="frozen"/>
      <selection activeCell="B19" sqref="B19"/>
      <selection pane="topRight" activeCell="B19" sqref="B19"/>
      <selection pane="bottomLeft" activeCell="B19" sqref="B19"/>
      <selection pane="bottomRight" activeCell="C7" sqref="C7:U20"/>
    </sheetView>
  </sheetViews>
  <sheetFormatPr defaultColWidth="9.28515625" defaultRowHeight="12.75"/>
  <cols>
    <col min="1" max="1" width="10.5703125" style="4" bestFit="1" customWidth="1"/>
    <col min="2" max="2" width="63.7109375" style="4" bestFit="1" customWidth="1"/>
    <col min="3" max="3" width="19" style="4" customWidth="1"/>
    <col min="4" max="4" width="19.5703125" style="4" customWidth="1"/>
    <col min="5" max="5" width="31.28515625" style="4" customWidth="1"/>
    <col min="6" max="6" width="29.28515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71093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28515625" style="4" customWidth="1"/>
    <col min="21" max="21" width="24.7109375" style="4" customWidth="1"/>
    <col min="22" max="22" width="20" style="4" customWidth="1"/>
    <col min="23" max="16384" width="9.28515625" style="17"/>
  </cols>
  <sheetData>
    <row r="1" spans="1:22">
      <c r="A1" s="2" t="s">
        <v>30</v>
      </c>
      <c r="B1" s="3" t="str">
        <f>'Info '!C2</f>
        <v>VTB Bank Georgia JSC</v>
      </c>
    </row>
    <row r="2" spans="1:22">
      <c r="A2" s="2" t="s">
        <v>31</v>
      </c>
      <c r="B2" s="273">
        <f>'1. key ratios '!B2</f>
        <v>45930</v>
      </c>
    </row>
    <row r="4" spans="1:22" ht="13.5" thickBot="1">
      <c r="A4" s="4" t="s">
        <v>230</v>
      </c>
      <c r="B4" s="92" t="s">
        <v>50</v>
      </c>
      <c r="V4" s="18" t="s">
        <v>35</v>
      </c>
    </row>
    <row r="5" spans="1:22" ht="12.75" customHeight="1">
      <c r="A5" s="93"/>
      <c r="B5" s="94"/>
      <c r="C5" s="815" t="s">
        <v>156</v>
      </c>
      <c r="D5" s="816"/>
      <c r="E5" s="816"/>
      <c r="F5" s="816"/>
      <c r="G5" s="816"/>
      <c r="H5" s="816"/>
      <c r="I5" s="816"/>
      <c r="J5" s="816"/>
      <c r="K5" s="816"/>
      <c r="L5" s="817"/>
      <c r="M5" s="818" t="s">
        <v>157</v>
      </c>
      <c r="N5" s="819"/>
      <c r="O5" s="819"/>
      <c r="P5" s="819"/>
      <c r="Q5" s="819"/>
      <c r="R5" s="819"/>
      <c r="S5" s="820"/>
      <c r="T5" s="823" t="s">
        <v>228</v>
      </c>
      <c r="U5" s="823" t="s">
        <v>229</v>
      </c>
      <c r="V5" s="821" t="s">
        <v>76</v>
      </c>
    </row>
    <row r="6" spans="1:22" s="51" customFormat="1" ht="102">
      <c r="A6" s="48"/>
      <c r="B6" s="95"/>
      <c r="C6" s="96" t="s">
        <v>65</v>
      </c>
      <c r="D6" s="138" t="s">
        <v>66</v>
      </c>
      <c r="E6" s="115" t="s">
        <v>159</v>
      </c>
      <c r="F6" s="115" t="s">
        <v>160</v>
      </c>
      <c r="G6" s="138" t="s">
        <v>163</v>
      </c>
      <c r="H6" s="138" t="s">
        <v>158</v>
      </c>
      <c r="I6" s="138" t="s">
        <v>67</v>
      </c>
      <c r="J6" s="138" t="s">
        <v>68</v>
      </c>
      <c r="K6" s="97" t="s">
        <v>69</v>
      </c>
      <c r="L6" s="98" t="s">
        <v>70</v>
      </c>
      <c r="M6" s="96" t="s">
        <v>161</v>
      </c>
      <c r="N6" s="97" t="s">
        <v>71</v>
      </c>
      <c r="O6" s="97" t="s">
        <v>72</v>
      </c>
      <c r="P6" s="97" t="s">
        <v>73</v>
      </c>
      <c r="Q6" s="97" t="s">
        <v>74</v>
      </c>
      <c r="R6" s="97" t="s">
        <v>75</v>
      </c>
      <c r="S6" s="158" t="s">
        <v>162</v>
      </c>
      <c r="T6" s="824"/>
      <c r="U6" s="824"/>
      <c r="V6" s="822"/>
    </row>
    <row r="7" spans="1:22" s="88" customFormat="1">
      <c r="A7" s="99">
        <v>1</v>
      </c>
      <c r="B7" s="1" t="s">
        <v>51</v>
      </c>
      <c r="C7" s="100"/>
      <c r="D7" s="87">
        <v>0</v>
      </c>
      <c r="E7" s="87"/>
      <c r="F7" s="87"/>
      <c r="G7" s="87"/>
      <c r="H7" s="87"/>
      <c r="I7" s="87"/>
      <c r="J7" s="87">
        <v>0</v>
      </c>
      <c r="K7" s="87"/>
      <c r="L7" s="101"/>
      <c r="M7" s="100"/>
      <c r="N7" s="87"/>
      <c r="O7" s="87"/>
      <c r="P7" s="87"/>
      <c r="Q7" s="87"/>
      <c r="R7" s="87"/>
      <c r="S7" s="101"/>
      <c r="T7" s="166">
        <v>0</v>
      </c>
      <c r="U7" s="166"/>
      <c r="V7" s="102">
        <f>SUM(C7:S7)</f>
        <v>0</v>
      </c>
    </row>
    <row r="8" spans="1:22" s="88" customFormat="1">
      <c r="A8" s="99">
        <v>2</v>
      </c>
      <c r="B8" s="1" t="s">
        <v>52</v>
      </c>
      <c r="C8" s="100"/>
      <c r="D8" s="87">
        <v>0</v>
      </c>
      <c r="E8" s="87"/>
      <c r="F8" s="87"/>
      <c r="G8" s="87"/>
      <c r="H8" s="87"/>
      <c r="I8" s="87"/>
      <c r="J8" s="87">
        <v>0</v>
      </c>
      <c r="K8" s="87"/>
      <c r="L8" s="101"/>
      <c r="M8" s="100"/>
      <c r="N8" s="87"/>
      <c r="O8" s="87"/>
      <c r="P8" s="87"/>
      <c r="Q8" s="87"/>
      <c r="R8" s="87"/>
      <c r="S8" s="101"/>
      <c r="T8" s="166">
        <v>0</v>
      </c>
      <c r="U8" s="166"/>
      <c r="V8" s="102">
        <f t="shared" ref="V8:V20" si="0">SUM(C8:S8)</f>
        <v>0</v>
      </c>
    </row>
    <row r="9" spans="1:22" s="88" customFormat="1">
      <c r="A9" s="99">
        <v>3</v>
      </c>
      <c r="B9" s="1" t="s">
        <v>153</v>
      </c>
      <c r="C9" s="100"/>
      <c r="D9" s="87">
        <v>0</v>
      </c>
      <c r="E9" s="87"/>
      <c r="F9" s="87"/>
      <c r="G9" s="87"/>
      <c r="H9" s="87"/>
      <c r="I9" s="87"/>
      <c r="J9" s="87">
        <v>0</v>
      </c>
      <c r="K9" s="87"/>
      <c r="L9" s="101"/>
      <c r="M9" s="100"/>
      <c r="N9" s="87"/>
      <c r="O9" s="87"/>
      <c r="P9" s="87"/>
      <c r="Q9" s="87"/>
      <c r="R9" s="87"/>
      <c r="S9" s="101"/>
      <c r="T9" s="166">
        <v>0</v>
      </c>
      <c r="U9" s="166"/>
      <c r="V9" s="102">
        <f t="shared" si="0"/>
        <v>0</v>
      </c>
    </row>
    <row r="10" spans="1:22" s="88" customFormat="1">
      <c r="A10" s="99">
        <v>4</v>
      </c>
      <c r="B10" s="1" t="s">
        <v>53</v>
      </c>
      <c r="C10" s="100"/>
      <c r="D10" s="87">
        <v>0</v>
      </c>
      <c r="E10" s="87"/>
      <c r="F10" s="87"/>
      <c r="G10" s="87"/>
      <c r="H10" s="87"/>
      <c r="I10" s="87"/>
      <c r="J10" s="87">
        <v>0</v>
      </c>
      <c r="K10" s="87"/>
      <c r="L10" s="101"/>
      <c r="M10" s="100"/>
      <c r="N10" s="87"/>
      <c r="O10" s="87"/>
      <c r="P10" s="87"/>
      <c r="Q10" s="87"/>
      <c r="R10" s="87"/>
      <c r="S10" s="101"/>
      <c r="T10" s="166">
        <v>0</v>
      </c>
      <c r="U10" s="166"/>
      <c r="V10" s="102">
        <f t="shared" si="0"/>
        <v>0</v>
      </c>
    </row>
    <row r="11" spans="1:22" s="88" customFormat="1">
      <c r="A11" s="99">
        <v>5</v>
      </c>
      <c r="B11" s="1" t="s">
        <v>54</v>
      </c>
      <c r="C11" s="100"/>
      <c r="D11" s="87">
        <v>0</v>
      </c>
      <c r="E11" s="87"/>
      <c r="F11" s="87"/>
      <c r="G11" s="87"/>
      <c r="H11" s="87"/>
      <c r="I11" s="87"/>
      <c r="J11" s="87">
        <v>0</v>
      </c>
      <c r="K11" s="87"/>
      <c r="L11" s="101"/>
      <c r="M11" s="100"/>
      <c r="N11" s="87"/>
      <c r="O11" s="87"/>
      <c r="P11" s="87"/>
      <c r="Q11" s="87"/>
      <c r="R11" s="87"/>
      <c r="S11" s="101"/>
      <c r="T11" s="166">
        <v>0</v>
      </c>
      <c r="U11" s="166"/>
      <c r="V11" s="102">
        <f t="shared" si="0"/>
        <v>0</v>
      </c>
    </row>
    <row r="12" spans="1:22" s="88" customFormat="1">
      <c r="A12" s="99">
        <v>6</v>
      </c>
      <c r="B12" s="1" t="s">
        <v>55</v>
      </c>
      <c r="C12" s="100"/>
      <c r="D12" s="87">
        <v>0</v>
      </c>
      <c r="E12" s="87"/>
      <c r="F12" s="87"/>
      <c r="G12" s="87"/>
      <c r="H12" s="87"/>
      <c r="I12" s="87"/>
      <c r="J12" s="87">
        <v>0</v>
      </c>
      <c r="K12" s="87"/>
      <c r="L12" s="101"/>
      <c r="M12" s="100"/>
      <c r="N12" s="87"/>
      <c r="O12" s="87"/>
      <c r="P12" s="87"/>
      <c r="Q12" s="87"/>
      <c r="R12" s="87"/>
      <c r="S12" s="101"/>
      <c r="T12" s="166">
        <v>0</v>
      </c>
      <c r="U12" s="166"/>
      <c r="V12" s="102">
        <f t="shared" si="0"/>
        <v>0</v>
      </c>
    </row>
    <row r="13" spans="1:22" s="88" customFormat="1">
      <c r="A13" s="99">
        <v>7</v>
      </c>
      <c r="B13" s="1" t="s">
        <v>56</v>
      </c>
      <c r="C13" s="100"/>
      <c r="D13" s="87">
        <v>141904.74139371194</v>
      </c>
      <c r="E13" s="87"/>
      <c r="F13" s="87"/>
      <c r="G13" s="87"/>
      <c r="H13" s="87"/>
      <c r="I13" s="87"/>
      <c r="J13" s="87">
        <v>0</v>
      </c>
      <c r="K13" s="87"/>
      <c r="L13" s="101"/>
      <c r="M13" s="100"/>
      <c r="N13" s="87"/>
      <c r="O13" s="87"/>
      <c r="P13" s="87"/>
      <c r="Q13" s="87"/>
      <c r="R13" s="87"/>
      <c r="S13" s="101"/>
      <c r="T13" s="166">
        <v>117430.74139371194</v>
      </c>
      <c r="U13" s="166">
        <v>24474</v>
      </c>
      <c r="V13" s="102">
        <f t="shared" si="0"/>
        <v>141904.74139371194</v>
      </c>
    </row>
    <row r="14" spans="1:22" s="88" customFormat="1">
      <c r="A14" s="99">
        <v>8</v>
      </c>
      <c r="B14" s="1" t="s">
        <v>57</v>
      </c>
      <c r="C14" s="100"/>
      <c r="D14" s="87">
        <v>0</v>
      </c>
      <c r="E14" s="87"/>
      <c r="F14" s="87"/>
      <c r="G14" s="87"/>
      <c r="H14" s="87"/>
      <c r="I14" s="87"/>
      <c r="J14" s="87">
        <v>0</v>
      </c>
      <c r="K14" s="87"/>
      <c r="L14" s="101"/>
      <c r="M14" s="100"/>
      <c r="N14" s="87"/>
      <c r="O14" s="87"/>
      <c r="P14" s="87"/>
      <c r="Q14" s="87"/>
      <c r="R14" s="87"/>
      <c r="S14" s="101"/>
      <c r="T14" s="166">
        <v>0</v>
      </c>
      <c r="U14" s="166">
        <v>0</v>
      </c>
      <c r="V14" s="102">
        <f t="shared" si="0"/>
        <v>0</v>
      </c>
    </row>
    <row r="15" spans="1:22" s="88" customFormat="1">
      <c r="A15" s="99">
        <v>9</v>
      </c>
      <c r="B15" s="1" t="s">
        <v>58</v>
      </c>
      <c r="C15" s="100"/>
      <c r="D15" s="87">
        <v>0</v>
      </c>
      <c r="E15" s="87"/>
      <c r="F15" s="87"/>
      <c r="G15" s="87"/>
      <c r="H15" s="87"/>
      <c r="I15" s="87"/>
      <c r="J15" s="87">
        <v>0</v>
      </c>
      <c r="K15" s="87"/>
      <c r="L15" s="101"/>
      <c r="M15" s="100"/>
      <c r="N15" s="87"/>
      <c r="O15" s="87"/>
      <c r="P15" s="87"/>
      <c r="Q15" s="87"/>
      <c r="R15" s="87"/>
      <c r="S15" s="101"/>
      <c r="T15" s="166">
        <v>0</v>
      </c>
      <c r="U15" s="166"/>
      <c r="V15" s="102">
        <f t="shared" si="0"/>
        <v>0</v>
      </c>
    </row>
    <row r="16" spans="1:22" s="88" customFormat="1">
      <c r="A16" s="99">
        <v>10</v>
      </c>
      <c r="B16" s="1" t="s">
        <v>59</v>
      </c>
      <c r="C16" s="100"/>
      <c r="D16" s="87">
        <v>0</v>
      </c>
      <c r="E16" s="87"/>
      <c r="F16" s="87"/>
      <c r="G16" s="87"/>
      <c r="H16" s="87"/>
      <c r="I16" s="87"/>
      <c r="J16" s="87">
        <v>0</v>
      </c>
      <c r="K16" s="87"/>
      <c r="L16" s="101"/>
      <c r="M16" s="100"/>
      <c r="N16" s="87"/>
      <c r="O16" s="87"/>
      <c r="P16" s="87"/>
      <c r="Q16" s="87"/>
      <c r="R16" s="87"/>
      <c r="S16" s="101"/>
      <c r="T16" s="166">
        <v>0</v>
      </c>
      <c r="U16" s="166"/>
      <c r="V16" s="102">
        <f t="shared" si="0"/>
        <v>0</v>
      </c>
    </row>
    <row r="17" spans="1:22" s="88" customFormat="1">
      <c r="A17" s="99">
        <v>11</v>
      </c>
      <c r="B17" s="1" t="s">
        <v>60</v>
      </c>
      <c r="C17" s="100"/>
      <c r="D17" s="87">
        <v>0</v>
      </c>
      <c r="E17" s="87"/>
      <c r="F17" s="87"/>
      <c r="G17" s="87"/>
      <c r="H17" s="87"/>
      <c r="I17" s="87"/>
      <c r="J17" s="87">
        <v>0</v>
      </c>
      <c r="K17" s="87"/>
      <c r="L17" s="101"/>
      <c r="M17" s="100"/>
      <c r="N17" s="87"/>
      <c r="O17" s="87"/>
      <c r="P17" s="87"/>
      <c r="Q17" s="87"/>
      <c r="R17" s="87"/>
      <c r="S17" s="101"/>
      <c r="T17" s="166">
        <v>0</v>
      </c>
      <c r="U17" s="166"/>
      <c r="V17" s="102">
        <f t="shared" si="0"/>
        <v>0</v>
      </c>
    </row>
    <row r="18" spans="1:22" s="88" customFormat="1">
      <c r="A18" s="99">
        <v>12</v>
      </c>
      <c r="B18" s="1" t="s">
        <v>61</v>
      </c>
      <c r="C18" s="100"/>
      <c r="D18" s="87">
        <v>0</v>
      </c>
      <c r="E18" s="87"/>
      <c r="F18" s="87"/>
      <c r="G18" s="87"/>
      <c r="H18" s="87"/>
      <c r="I18" s="87"/>
      <c r="J18" s="87">
        <v>0</v>
      </c>
      <c r="K18" s="87"/>
      <c r="L18" s="101"/>
      <c r="M18" s="100"/>
      <c r="N18" s="87"/>
      <c r="O18" s="87"/>
      <c r="P18" s="87"/>
      <c r="Q18" s="87"/>
      <c r="R18" s="87"/>
      <c r="S18" s="101"/>
      <c r="T18" s="166">
        <v>0</v>
      </c>
      <c r="U18" s="166"/>
      <c r="V18" s="102">
        <f t="shared" si="0"/>
        <v>0</v>
      </c>
    </row>
    <row r="19" spans="1:22" s="88" customFormat="1">
      <c r="A19" s="99">
        <v>13</v>
      </c>
      <c r="B19" s="1" t="s">
        <v>62</v>
      </c>
      <c r="C19" s="100"/>
      <c r="D19" s="87">
        <v>0</v>
      </c>
      <c r="E19" s="87"/>
      <c r="F19" s="87"/>
      <c r="G19" s="87"/>
      <c r="H19" s="87"/>
      <c r="I19" s="87"/>
      <c r="J19" s="87">
        <v>0</v>
      </c>
      <c r="K19" s="87"/>
      <c r="L19" s="101"/>
      <c r="M19" s="100"/>
      <c r="N19" s="87"/>
      <c r="O19" s="87"/>
      <c r="P19" s="87"/>
      <c r="Q19" s="87"/>
      <c r="R19" s="87"/>
      <c r="S19" s="101"/>
      <c r="T19" s="166">
        <v>0</v>
      </c>
      <c r="U19" s="166"/>
      <c r="V19" s="102">
        <f t="shared" si="0"/>
        <v>0</v>
      </c>
    </row>
    <row r="20" spans="1:22" s="88" customFormat="1">
      <c r="A20" s="99">
        <v>14</v>
      </c>
      <c r="B20" s="1" t="s">
        <v>63</v>
      </c>
      <c r="C20" s="100"/>
      <c r="D20" s="87">
        <v>0</v>
      </c>
      <c r="E20" s="87"/>
      <c r="F20" s="87"/>
      <c r="G20" s="87"/>
      <c r="H20" s="87"/>
      <c r="I20" s="87"/>
      <c r="J20" s="87">
        <v>0</v>
      </c>
      <c r="K20" s="87"/>
      <c r="L20" s="101"/>
      <c r="M20" s="100"/>
      <c r="N20" s="87"/>
      <c r="O20" s="87"/>
      <c r="P20" s="87"/>
      <c r="Q20" s="87"/>
      <c r="R20" s="87"/>
      <c r="S20" s="101"/>
      <c r="T20" s="166">
        <v>0</v>
      </c>
      <c r="U20" s="166"/>
      <c r="V20" s="102">
        <f t="shared" si="0"/>
        <v>0</v>
      </c>
    </row>
    <row r="21" spans="1:22" ht="13.5" thickBot="1">
      <c r="A21" s="89"/>
      <c r="B21" s="103" t="s">
        <v>64</v>
      </c>
      <c r="C21" s="104">
        <f>SUM(C7:C20)</f>
        <v>0</v>
      </c>
      <c r="D21" s="91">
        <f t="shared" ref="D21:V21" si="1">SUM(D7:D20)</f>
        <v>141904.74139371194</v>
      </c>
      <c r="E21" s="91">
        <f t="shared" si="1"/>
        <v>0</v>
      </c>
      <c r="F21" s="91">
        <f t="shared" si="1"/>
        <v>0</v>
      </c>
      <c r="G21" s="91">
        <f t="shared" si="1"/>
        <v>0</v>
      </c>
      <c r="H21" s="91">
        <f t="shared" si="1"/>
        <v>0</v>
      </c>
      <c r="I21" s="91">
        <f t="shared" si="1"/>
        <v>0</v>
      </c>
      <c r="J21" s="91">
        <f t="shared" si="1"/>
        <v>0</v>
      </c>
      <c r="K21" s="91">
        <f t="shared" si="1"/>
        <v>0</v>
      </c>
      <c r="L21" s="105">
        <f t="shared" si="1"/>
        <v>0</v>
      </c>
      <c r="M21" s="104">
        <f t="shared" si="1"/>
        <v>0</v>
      </c>
      <c r="N21" s="91">
        <f t="shared" si="1"/>
        <v>0</v>
      </c>
      <c r="O21" s="91">
        <f t="shared" si="1"/>
        <v>0</v>
      </c>
      <c r="P21" s="91">
        <f t="shared" si="1"/>
        <v>0</v>
      </c>
      <c r="Q21" s="91">
        <f t="shared" si="1"/>
        <v>0</v>
      </c>
      <c r="R21" s="91">
        <f t="shared" si="1"/>
        <v>0</v>
      </c>
      <c r="S21" s="105">
        <f>SUM(S7:S20)</f>
        <v>0</v>
      </c>
      <c r="T21" s="105">
        <f>SUM(T7:T20)</f>
        <v>117430.74139371194</v>
      </c>
      <c r="U21" s="105">
        <f t="shared" ref="U21" si="2">SUM(U7:U20)</f>
        <v>24474</v>
      </c>
      <c r="V21" s="106">
        <f t="shared" si="1"/>
        <v>141904.74139371194</v>
      </c>
    </row>
    <row r="24" spans="1:22">
      <c r="A24" s="7"/>
      <c r="B24" s="7"/>
      <c r="C24" s="26"/>
      <c r="D24" s="26"/>
      <c r="E24" s="26"/>
    </row>
    <row r="25" spans="1:22">
      <c r="A25" s="107"/>
      <c r="B25" s="107"/>
      <c r="C25" s="7"/>
      <c r="D25" s="26"/>
      <c r="E25" s="26"/>
    </row>
    <row r="26" spans="1:22">
      <c r="A26" s="107"/>
      <c r="B26" s="27"/>
      <c r="C26" s="7"/>
      <c r="D26" s="26"/>
      <c r="E26" s="26"/>
    </row>
    <row r="27" spans="1:22">
      <c r="A27" s="107"/>
      <c r="B27" s="107"/>
      <c r="C27" s="7"/>
      <c r="D27" s="26"/>
      <c r="E27" s="26"/>
    </row>
    <row r="28" spans="1:22">
      <c r="A28" s="107"/>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H22" sqref="H22"/>
    </sheetView>
  </sheetViews>
  <sheetFormatPr defaultColWidth="9.28515625" defaultRowHeight="12.75"/>
  <cols>
    <col min="1" max="1" width="10.5703125" style="4" bestFit="1" customWidth="1"/>
    <col min="2" max="2" width="101.7109375" style="4" customWidth="1"/>
    <col min="3" max="3" width="13.7109375" style="167" customWidth="1"/>
    <col min="4" max="4" width="14.7109375" style="167" bestFit="1" customWidth="1"/>
    <col min="5" max="5" width="17.7109375" style="167" customWidth="1"/>
    <col min="6" max="6" width="15.7109375" style="167" customWidth="1"/>
    <col min="7" max="7" width="17.42578125" style="167" customWidth="1"/>
    <col min="8" max="8" width="15.28515625" style="167" customWidth="1"/>
    <col min="9" max="16384" width="9.28515625" style="17"/>
  </cols>
  <sheetData>
    <row r="1" spans="1:9">
      <c r="A1" s="2" t="s">
        <v>30</v>
      </c>
      <c r="B1" s="4" t="str">
        <f>'Info '!C2</f>
        <v>VTB Bank Georgia JSC</v>
      </c>
      <c r="C1" s="3"/>
    </row>
    <row r="2" spans="1:9">
      <c r="A2" s="2" t="s">
        <v>31</v>
      </c>
      <c r="B2" s="273">
        <f>'1. key ratios '!B2</f>
        <v>45930</v>
      </c>
      <c r="C2" s="273"/>
    </row>
    <row r="4" spans="1:9" ht="13.5" thickBot="1">
      <c r="A4" s="2" t="s">
        <v>150</v>
      </c>
      <c r="B4" s="92" t="s">
        <v>239</v>
      </c>
    </row>
    <row r="5" spans="1:9">
      <c r="A5" s="93"/>
      <c r="B5" s="108"/>
      <c r="C5" s="168" t="s">
        <v>0</v>
      </c>
      <c r="D5" s="168" t="s">
        <v>1</v>
      </c>
      <c r="E5" s="168" t="s">
        <v>2</v>
      </c>
      <c r="F5" s="168" t="s">
        <v>3</v>
      </c>
      <c r="G5" s="169" t="s">
        <v>4</v>
      </c>
      <c r="H5" s="170" t="s">
        <v>5</v>
      </c>
      <c r="I5" s="109"/>
    </row>
    <row r="6" spans="1:9" s="109" customFormat="1" ht="12.75" customHeight="1">
      <c r="A6" s="110"/>
      <c r="B6" s="827" t="s">
        <v>149</v>
      </c>
      <c r="C6" s="829" t="s">
        <v>232</v>
      </c>
      <c r="D6" s="831" t="s">
        <v>231</v>
      </c>
      <c r="E6" s="832"/>
      <c r="F6" s="829" t="s">
        <v>236</v>
      </c>
      <c r="G6" s="829" t="s">
        <v>237</v>
      </c>
      <c r="H6" s="825" t="s">
        <v>235</v>
      </c>
    </row>
    <row r="7" spans="1:9" ht="38.25">
      <c r="A7" s="112"/>
      <c r="B7" s="828"/>
      <c r="C7" s="830"/>
      <c r="D7" s="171" t="s">
        <v>234</v>
      </c>
      <c r="E7" s="171" t="s">
        <v>233</v>
      </c>
      <c r="F7" s="830"/>
      <c r="G7" s="830"/>
      <c r="H7" s="826"/>
      <c r="I7" s="109"/>
    </row>
    <row r="8" spans="1:9">
      <c r="A8" s="110">
        <v>1</v>
      </c>
      <c r="B8" s="1" t="s">
        <v>51</v>
      </c>
      <c r="C8" s="172">
        <v>351</v>
      </c>
      <c r="D8" s="173">
        <v>0</v>
      </c>
      <c r="E8" s="172">
        <v>0</v>
      </c>
      <c r="F8" s="172">
        <v>0</v>
      </c>
      <c r="G8" s="174">
        <v>0</v>
      </c>
      <c r="H8" s="696">
        <f>IFERROR(G8/(C8+E8),0)</f>
        <v>0</v>
      </c>
    </row>
    <row r="9" spans="1:9" ht="15" customHeight="1">
      <c r="A9" s="110">
        <v>2</v>
      </c>
      <c r="B9" s="1" t="s">
        <v>52</v>
      </c>
      <c r="C9" s="172">
        <v>0</v>
      </c>
      <c r="D9" s="173">
        <v>0</v>
      </c>
      <c r="E9" s="172">
        <v>0</v>
      </c>
      <c r="F9" s="172">
        <v>0</v>
      </c>
      <c r="G9" s="174">
        <v>0</v>
      </c>
      <c r="H9" s="696">
        <f t="shared" ref="H9:H21" si="0">IFERROR(G9/(C9+E9),0)</f>
        <v>0</v>
      </c>
    </row>
    <row r="10" spans="1:9">
      <c r="A10" s="110">
        <v>3</v>
      </c>
      <c r="B10" s="1" t="s">
        <v>153</v>
      </c>
      <c r="C10" s="172">
        <v>0</v>
      </c>
      <c r="D10" s="173">
        <v>0</v>
      </c>
      <c r="E10" s="172">
        <v>0</v>
      </c>
      <c r="F10" s="172">
        <v>0</v>
      </c>
      <c r="G10" s="174">
        <v>0</v>
      </c>
      <c r="H10" s="696">
        <f t="shared" si="0"/>
        <v>0</v>
      </c>
    </row>
    <row r="11" spans="1:9">
      <c r="A11" s="110">
        <v>4</v>
      </c>
      <c r="B11" s="1" t="s">
        <v>53</v>
      </c>
      <c r="C11" s="172">
        <v>0</v>
      </c>
      <c r="D11" s="173">
        <v>0</v>
      </c>
      <c r="E11" s="172">
        <v>0</v>
      </c>
      <c r="F11" s="172">
        <v>0</v>
      </c>
      <c r="G11" s="174">
        <v>0</v>
      </c>
      <c r="H11" s="696">
        <f t="shared" si="0"/>
        <v>0</v>
      </c>
    </row>
    <row r="12" spans="1:9">
      <c r="A12" s="110">
        <v>5</v>
      </c>
      <c r="B12" s="1" t="s">
        <v>54</v>
      </c>
      <c r="C12" s="172">
        <v>0</v>
      </c>
      <c r="D12" s="173">
        <v>0</v>
      </c>
      <c r="E12" s="172">
        <v>0</v>
      </c>
      <c r="F12" s="172">
        <v>0</v>
      </c>
      <c r="G12" s="174">
        <v>0</v>
      </c>
      <c r="H12" s="696">
        <f t="shared" si="0"/>
        <v>0</v>
      </c>
    </row>
    <row r="13" spans="1:9">
      <c r="A13" s="110">
        <v>6</v>
      </c>
      <c r="B13" s="1" t="s">
        <v>55</v>
      </c>
      <c r="C13" s="172">
        <v>7082269.5671999995</v>
      </c>
      <c r="D13" s="173">
        <v>0</v>
      </c>
      <c r="E13" s="172">
        <v>0</v>
      </c>
      <c r="F13" s="172">
        <v>2587024.3930400005</v>
      </c>
      <c r="G13" s="174">
        <v>2587024.3930400005</v>
      </c>
      <c r="H13" s="696">
        <f t="shared" si="0"/>
        <v>0.36528183070314701</v>
      </c>
    </row>
    <row r="14" spans="1:9">
      <c r="A14" s="110">
        <v>7</v>
      </c>
      <c r="B14" s="1" t="s">
        <v>56</v>
      </c>
      <c r="C14" s="172">
        <v>91806445.789294511</v>
      </c>
      <c r="D14" s="173">
        <v>192028.98432718188</v>
      </c>
      <c r="E14" s="172">
        <v>105787.12540552826</v>
      </c>
      <c r="F14" s="172">
        <v>92192961.423257262</v>
      </c>
      <c r="G14" s="174">
        <v>92051056.467491552</v>
      </c>
      <c r="H14" s="696">
        <f t="shared" si="0"/>
        <v>1.0015103925602629</v>
      </c>
    </row>
    <row r="15" spans="1:9">
      <c r="A15" s="110">
        <v>8</v>
      </c>
      <c r="B15" s="1" t="s">
        <v>57</v>
      </c>
      <c r="C15" s="172">
        <v>0</v>
      </c>
      <c r="D15" s="173">
        <v>0</v>
      </c>
      <c r="E15" s="172">
        <v>0</v>
      </c>
      <c r="F15" s="172">
        <v>0</v>
      </c>
      <c r="G15" s="174">
        <v>0</v>
      </c>
      <c r="H15" s="696">
        <f t="shared" si="0"/>
        <v>0</v>
      </c>
    </row>
    <row r="16" spans="1:9">
      <c r="A16" s="110">
        <v>9</v>
      </c>
      <c r="B16" s="1" t="s">
        <v>58</v>
      </c>
      <c r="C16" s="172">
        <v>4610759.1968045691</v>
      </c>
      <c r="D16" s="173">
        <v>0</v>
      </c>
      <c r="E16" s="172">
        <v>0</v>
      </c>
      <c r="F16" s="172">
        <v>1613765.7188815991</v>
      </c>
      <c r="G16" s="174">
        <v>1613765.7188815991</v>
      </c>
      <c r="H16" s="696">
        <f t="shared" si="0"/>
        <v>0.35</v>
      </c>
    </row>
    <row r="17" spans="1:8">
      <c r="A17" s="110">
        <v>10</v>
      </c>
      <c r="B17" s="1" t="s">
        <v>59</v>
      </c>
      <c r="C17" s="172">
        <v>37543080.879058026</v>
      </c>
      <c r="D17" s="173">
        <v>0</v>
      </c>
      <c r="E17" s="172">
        <v>0</v>
      </c>
      <c r="F17" s="172">
        <v>49746830.371364951</v>
      </c>
      <c r="G17" s="174">
        <v>49746830.371364951</v>
      </c>
      <c r="H17" s="696">
        <f t="shared" si="0"/>
        <v>1.3250598833809166</v>
      </c>
    </row>
    <row r="18" spans="1:8">
      <c r="A18" s="110">
        <v>11</v>
      </c>
      <c r="B18" s="1" t="s">
        <v>60</v>
      </c>
      <c r="C18" s="172">
        <v>0</v>
      </c>
      <c r="D18" s="173">
        <v>0</v>
      </c>
      <c r="E18" s="172">
        <v>0</v>
      </c>
      <c r="F18" s="172">
        <v>0</v>
      </c>
      <c r="G18" s="174">
        <v>0</v>
      </c>
      <c r="H18" s="696">
        <f t="shared" si="0"/>
        <v>0</v>
      </c>
    </row>
    <row r="19" spans="1:8">
      <c r="A19" s="110">
        <v>12</v>
      </c>
      <c r="B19" s="1" t="s">
        <v>61</v>
      </c>
      <c r="C19" s="172">
        <v>0</v>
      </c>
      <c r="D19" s="173">
        <v>0</v>
      </c>
      <c r="E19" s="172">
        <v>0</v>
      </c>
      <c r="F19" s="172">
        <v>0</v>
      </c>
      <c r="G19" s="174">
        <v>0</v>
      </c>
      <c r="H19" s="696">
        <f t="shared" si="0"/>
        <v>0</v>
      </c>
    </row>
    <row r="20" spans="1:8">
      <c r="A20" s="110">
        <v>13</v>
      </c>
      <c r="B20" s="1" t="s">
        <v>144</v>
      </c>
      <c r="C20" s="172">
        <v>0</v>
      </c>
      <c r="D20" s="173">
        <v>0</v>
      </c>
      <c r="E20" s="172">
        <v>0</v>
      </c>
      <c r="F20" s="172">
        <v>0</v>
      </c>
      <c r="G20" s="174">
        <v>0</v>
      </c>
      <c r="H20" s="696">
        <f t="shared" si="0"/>
        <v>0</v>
      </c>
    </row>
    <row r="21" spans="1:8">
      <c r="A21" s="110">
        <v>14</v>
      </c>
      <c r="B21" s="1" t="s">
        <v>63</v>
      </c>
      <c r="C21" s="172">
        <v>300794194.89429998</v>
      </c>
      <c r="D21" s="173">
        <v>0</v>
      </c>
      <c r="E21" s="172">
        <v>0</v>
      </c>
      <c r="F21" s="172">
        <v>103283970.00999999</v>
      </c>
      <c r="G21" s="174">
        <v>103283970.00999999</v>
      </c>
      <c r="H21" s="696">
        <f t="shared" si="0"/>
        <v>0.34337088867786925</v>
      </c>
    </row>
    <row r="22" spans="1:8" ht="13.5" thickBot="1">
      <c r="A22" s="113"/>
      <c r="B22" s="114" t="s">
        <v>64</v>
      </c>
      <c r="C22" s="175">
        <f>SUM(C8:C21)</f>
        <v>441837101.32665706</v>
      </c>
      <c r="D22" s="175">
        <f>SUM(D8:D21)</f>
        <v>192028.98432718188</v>
      </c>
      <c r="E22" s="175">
        <f>SUM(E8:E21)</f>
        <v>105787.12540552826</v>
      </c>
      <c r="F22" s="175">
        <f>SUM(F8:F21)</f>
        <v>249424551.91654378</v>
      </c>
      <c r="G22" s="175">
        <f>SUM(G8:G21)</f>
        <v>249282646.96077809</v>
      </c>
      <c r="H22" s="176">
        <f>G22/(C22+E22)</f>
        <v>0.56406077227288087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zoomScale="70" zoomScaleNormal="7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28515625" defaultRowHeight="12.75"/>
  <cols>
    <col min="1" max="1" width="10.5703125" style="167" bestFit="1" customWidth="1"/>
    <col min="2" max="2" width="104.28515625" style="167" customWidth="1"/>
    <col min="3" max="11" width="12.7109375" style="167" customWidth="1"/>
    <col min="12" max="16384" width="9.28515625" style="167"/>
  </cols>
  <sheetData>
    <row r="1" spans="1:11">
      <c r="A1" s="167" t="s">
        <v>30</v>
      </c>
      <c r="B1" s="3" t="str">
        <f>'Info '!C2</f>
        <v>VTB Bank Georgia JSC</v>
      </c>
    </row>
    <row r="2" spans="1:11">
      <c r="A2" s="167" t="s">
        <v>31</v>
      </c>
      <c r="B2" s="769">
        <f>'1. key ratios '!B2</f>
        <v>45930</v>
      </c>
      <c r="C2" s="188"/>
      <c r="D2" s="188"/>
    </row>
    <row r="3" spans="1:11">
      <c r="B3" s="188"/>
      <c r="C3" s="188"/>
      <c r="D3" s="188"/>
    </row>
    <row r="4" spans="1:11" ht="13.5" thickBot="1">
      <c r="A4" s="167" t="s">
        <v>146</v>
      </c>
      <c r="B4" s="215" t="s">
        <v>240</v>
      </c>
      <c r="C4" s="188"/>
      <c r="D4" s="188"/>
    </row>
    <row r="5" spans="1:11" ht="30" customHeight="1">
      <c r="A5" s="833"/>
      <c r="B5" s="834"/>
      <c r="C5" s="835" t="s">
        <v>292</v>
      </c>
      <c r="D5" s="835"/>
      <c r="E5" s="835"/>
      <c r="F5" s="835" t="s">
        <v>293</v>
      </c>
      <c r="G5" s="835"/>
      <c r="H5" s="835"/>
      <c r="I5" s="835" t="s">
        <v>294</v>
      </c>
      <c r="J5" s="835"/>
      <c r="K5" s="836"/>
    </row>
    <row r="6" spans="1:11">
      <c r="A6" s="189"/>
      <c r="B6" s="190"/>
      <c r="C6" s="19" t="s">
        <v>32</v>
      </c>
      <c r="D6" s="19" t="s">
        <v>33</v>
      </c>
      <c r="E6" s="19" t="s">
        <v>34</v>
      </c>
      <c r="F6" s="19" t="s">
        <v>32</v>
      </c>
      <c r="G6" s="19" t="s">
        <v>33</v>
      </c>
      <c r="H6" s="19" t="s">
        <v>34</v>
      </c>
      <c r="I6" s="19" t="s">
        <v>32</v>
      </c>
      <c r="J6" s="19" t="s">
        <v>33</v>
      </c>
      <c r="K6" s="19" t="s">
        <v>34</v>
      </c>
    </row>
    <row r="7" spans="1:11">
      <c r="A7" s="191" t="s">
        <v>243</v>
      </c>
      <c r="B7" s="192"/>
      <c r="C7" s="192"/>
      <c r="D7" s="192"/>
      <c r="E7" s="192"/>
      <c r="F7" s="192"/>
      <c r="G7" s="192"/>
      <c r="H7" s="192"/>
      <c r="I7" s="192"/>
      <c r="J7" s="192"/>
      <c r="K7" s="193"/>
    </row>
    <row r="8" spans="1:11">
      <c r="A8" s="194">
        <v>1</v>
      </c>
      <c r="B8" s="195" t="s">
        <v>241</v>
      </c>
      <c r="C8" s="752"/>
      <c r="D8" s="752"/>
      <c r="E8" s="752"/>
      <c r="F8" s="753">
        <v>101539690.93282613</v>
      </c>
      <c r="G8" s="753">
        <v>81291376.71418263</v>
      </c>
      <c r="H8" s="753">
        <v>182831067.64700872</v>
      </c>
      <c r="I8" s="753">
        <v>101539690.93282613</v>
      </c>
      <c r="J8" s="753">
        <v>81291376.71418263</v>
      </c>
      <c r="K8" s="754">
        <v>182831067.64700872</v>
      </c>
    </row>
    <row r="9" spans="1:11">
      <c r="A9" s="191" t="s">
        <v>244</v>
      </c>
      <c r="B9" s="192"/>
      <c r="C9" s="755"/>
      <c r="D9" s="755"/>
      <c r="E9" s="755"/>
      <c r="F9" s="755"/>
      <c r="G9" s="755"/>
      <c r="H9" s="755"/>
      <c r="I9" s="755"/>
      <c r="J9" s="755"/>
      <c r="K9" s="756"/>
    </row>
    <row r="10" spans="1:11">
      <c r="A10" s="197">
        <v>2</v>
      </c>
      <c r="B10" s="198" t="s">
        <v>252</v>
      </c>
      <c r="C10" s="757">
        <v>3171551.7531521735</v>
      </c>
      <c r="D10" s="758">
        <v>187959.72565217389</v>
      </c>
      <c r="E10" s="758">
        <v>3359511.4788043462</v>
      </c>
      <c r="F10" s="758">
        <v>638050.81602717412</v>
      </c>
      <c r="G10" s="758">
        <v>37901.048696739126</v>
      </c>
      <c r="H10" s="758">
        <v>675951.86472391291</v>
      </c>
      <c r="I10" s="758">
        <v>158577.58765760873</v>
      </c>
      <c r="J10" s="758">
        <v>9404.1738586956508</v>
      </c>
      <c r="K10" s="759">
        <v>167981.76151630434</v>
      </c>
    </row>
    <row r="11" spans="1:11">
      <c r="A11" s="197">
        <v>3</v>
      </c>
      <c r="B11" s="198" t="s">
        <v>246</v>
      </c>
      <c r="C11" s="757">
        <v>8913349.4878260847</v>
      </c>
      <c r="D11" s="758">
        <v>91787735.612718254</v>
      </c>
      <c r="E11" s="758">
        <v>100701085.1005443</v>
      </c>
      <c r="F11" s="758">
        <v>6257060.2339347778</v>
      </c>
      <c r="G11" s="758">
        <v>417602.81032877747</v>
      </c>
      <c r="H11" s="758">
        <v>6674663.0442635575</v>
      </c>
      <c r="I11" s="758">
        <v>3399937.8939130418</v>
      </c>
      <c r="J11" s="758">
        <v>384125.52103984234</v>
      </c>
      <c r="K11" s="759">
        <v>3784063.4149528854</v>
      </c>
    </row>
    <row r="12" spans="1:11">
      <c r="A12" s="197">
        <v>4</v>
      </c>
      <c r="B12" s="198" t="s">
        <v>247</v>
      </c>
      <c r="C12" s="757">
        <v>0</v>
      </c>
      <c r="D12" s="758">
        <v>0</v>
      </c>
      <c r="E12" s="758">
        <v>0</v>
      </c>
      <c r="F12" s="758">
        <v>0</v>
      </c>
      <c r="G12" s="758">
        <v>0</v>
      </c>
      <c r="H12" s="758">
        <v>0</v>
      </c>
      <c r="I12" s="758">
        <v>0</v>
      </c>
      <c r="J12" s="758">
        <v>0</v>
      </c>
      <c r="K12" s="759">
        <v>0</v>
      </c>
    </row>
    <row r="13" spans="1:11">
      <c r="A13" s="197">
        <v>5</v>
      </c>
      <c r="B13" s="198" t="s">
        <v>255</v>
      </c>
      <c r="C13" s="757">
        <v>200000</v>
      </c>
      <c r="D13" s="758">
        <v>0</v>
      </c>
      <c r="E13" s="758">
        <v>200000</v>
      </c>
      <c r="F13" s="758">
        <v>20000</v>
      </c>
      <c r="G13" s="758">
        <v>0</v>
      </c>
      <c r="H13" s="758">
        <v>20000</v>
      </c>
      <c r="I13" s="758">
        <v>10000</v>
      </c>
      <c r="J13" s="758">
        <v>0</v>
      </c>
      <c r="K13" s="759">
        <v>10000</v>
      </c>
    </row>
    <row r="14" spans="1:11">
      <c r="A14" s="197">
        <v>6</v>
      </c>
      <c r="B14" s="198" t="s">
        <v>287</v>
      </c>
      <c r="C14" s="757">
        <v>0</v>
      </c>
      <c r="D14" s="758">
        <v>0</v>
      </c>
      <c r="E14" s="758">
        <v>0</v>
      </c>
      <c r="F14" s="758">
        <v>0</v>
      </c>
      <c r="G14" s="758">
        <v>0</v>
      </c>
      <c r="H14" s="758">
        <v>0</v>
      </c>
      <c r="I14" s="758">
        <v>0</v>
      </c>
      <c r="J14" s="758">
        <v>0</v>
      </c>
      <c r="K14" s="759">
        <v>0</v>
      </c>
    </row>
    <row r="15" spans="1:11">
      <c r="A15" s="197">
        <v>7</v>
      </c>
      <c r="B15" s="198" t="s">
        <v>288</v>
      </c>
      <c r="C15" s="757">
        <v>3039176.8165217401</v>
      </c>
      <c r="D15" s="758">
        <v>49557994.026868477</v>
      </c>
      <c r="E15" s="758">
        <v>52597170.843390204</v>
      </c>
      <c r="F15" s="758">
        <v>313513.73913043481</v>
      </c>
      <c r="G15" s="758">
        <v>16133869.348121738</v>
      </c>
      <c r="H15" s="758">
        <v>16447383.087252174</v>
      </c>
      <c r="I15" s="758">
        <v>313513.73913043481</v>
      </c>
      <c r="J15" s="758">
        <v>16133869.348121738</v>
      </c>
      <c r="K15" s="759">
        <v>16447383.087252174</v>
      </c>
    </row>
    <row r="16" spans="1:11">
      <c r="A16" s="197">
        <v>8</v>
      </c>
      <c r="B16" s="199" t="s">
        <v>248</v>
      </c>
      <c r="C16" s="757">
        <v>15324078.057499992</v>
      </c>
      <c r="D16" s="758">
        <v>141533689.36523893</v>
      </c>
      <c r="E16" s="758">
        <v>156857767.42273894</v>
      </c>
      <c r="F16" s="758">
        <v>7228624.7890923861</v>
      </c>
      <c r="G16" s="758">
        <v>16589373.207147254</v>
      </c>
      <c r="H16" s="758">
        <v>23817997.99623964</v>
      </c>
      <c r="I16" s="758">
        <v>3882029.2207010873</v>
      </c>
      <c r="J16" s="758">
        <v>16527399.04302028</v>
      </c>
      <c r="K16" s="759">
        <v>20409428.263721369</v>
      </c>
    </row>
    <row r="17" spans="1:11">
      <c r="A17" s="191" t="s">
        <v>245</v>
      </c>
      <c r="B17" s="192"/>
      <c r="C17" s="755"/>
      <c r="D17" s="755"/>
      <c r="E17" s="755"/>
      <c r="F17" s="755"/>
      <c r="G17" s="755"/>
      <c r="H17" s="755"/>
      <c r="I17" s="755"/>
      <c r="J17" s="755"/>
      <c r="K17" s="756"/>
    </row>
    <row r="18" spans="1:11">
      <c r="A18" s="197">
        <v>9</v>
      </c>
      <c r="B18" s="198" t="s">
        <v>251</v>
      </c>
      <c r="C18" s="757">
        <v>0</v>
      </c>
      <c r="D18" s="758">
        <v>0</v>
      </c>
      <c r="E18" s="758">
        <v>0</v>
      </c>
      <c r="F18" s="758">
        <v>0</v>
      </c>
      <c r="G18" s="758">
        <v>0</v>
      </c>
      <c r="H18" s="758">
        <v>0</v>
      </c>
      <c r="I18" s="758">
        <v>0</v>
      </c>
      <c r="J18" s="758">
        <v>0</v>
      </c>
      <c r="K18" s="759">
        <v>0</v>
      </c>
    </row>
    <row r="19" spans="1:11">
      <c r="A19" s="197">
        <v>10</v>
      </c>
      <c r="B19" s="198" t="s">
        <v>289</v>
      </c>
      <c r="C19" s="757">
        <v>25839258.77468995</v>
      </c>
      <c r="D19" s="758">
        <v>23667811.600991949</v>
      </c>
      <c r="E19" s="758">
        <v>49507070.375681885</v>
      </c>
      <c r="F19" s="758">
        <v>16113.675121890758</v>
      </c>
      <c r="G19" s="758">
        <v>1390724.8700874657</v>
      </c>
      <c r="H19" s="758">
        <v>1406838.5452093554</v>
      </c>
      <c r="I19" s="758">
        <v>16113.675121890758</v>
      </c>
      <c r="J19" s="758">
        <v>1390724.8700874657</v>
      </c>
      <c r="K19" s="759">
        <v>1406838.5452093554</v>
      </c>
    </row>
    <row r="20" spans="1:11">
      <c r="A20" s="197">
        <v>11</v>
      </c>
      <c r="B20" s="198" t="s">
        <v>250</v>
      </c>
      <c r="C20" s="757">
        <v>14811142.639456525</v>
      </c>
      <c r="D20" s="758">
        <v>3407873.0577989123</v>
      </c>
      <c r="E20" s="758">
        <v>18219015.697255433</v>
      </c>
      <c r="F20" s="758">
        <v>0</v>
      </c>
      <c r="G20" s="758">
        <v>0</v>
      </c>
      <c r="H20" s="758">
        <v>0</v>
      </c>
      <c r="I20" s="758">
        <v>0</v>
      </c>
      <c r="J20" s="758">
        <v>0</v>
      </c>
      <c r="K20" s="759">
        <v>0</v>
      </c>
    </row>
    <row r="21" spans="1:11" ht="13.5" thickBot="1">
      <c r="A21" s="200">
        <v>12</v>
      </c>
      <c r="B21" s="201" t="s">
        <v>249</v>
      </c>
      <c r="C21" s="760">
        <v>40650401.414146461</v>
      </c>
      <c r="D21" s="761">
        <v>27075684.658790875</v>
      </c>
      <c r="E21" s="760">
        <v>67726086.07293731</v>
      </c>
      <c r="F21" s="761">
        <v>16113.675121890758</v>
      </c>
      <c r="G21" s="761">
        <v>1390724.8700874657</v>
      </c>
      <c r="H21" s="761">
        <v>1406838.5452093554</v>
      </c>
      <c r="I21" s="761">
        <v>16113.675121890758</v>
      </c>
      <c r="J21" s="761">
        <v>1390724.8700874657</v>
      </c>
      <c r="K21" s="762">
        <v>1406838.5452093554</v>
      </c>
    </row>
    <row r="22" spans="1:11" ht="38.25" customHeight="1" thickBot="1">
      <c r="A22" s="202"/>
      <c r="B22" s="203"/>
      <c r="C22" s="203"/>
      <c r="D22" s="203"/>
      <c r="E22" s="203"/>
      <c r="F22" s="837" t="s">
        <v>291</v>
      </c>
      <c r="G22" s="835"/>
      <c r="H22" s="835"/>
      <c r="I22" s="837" t="s">
        <v>256</v>
      </c>
      <c r="J22" s="835"/>
      <c r="K22" s="836"/>
    </row>
    <row r="23" spans="1:11">
      <c r="A23" s="204">
        <v>13</v>
      </c>
      <c r="B23" s="205" t="s">
        <v>241</v>
      </c>
      <c r="C23" s="206"/>
      <c r="D23" s="206"/>
      <c r="E23" s="206"/>
      <c r="F23" s="763">
        <v>101539690.93282613</v>
      </c>
      <c r="G23" s="763">
        <v>81291376.71418263</v>
      </c>
      <c r="H23" s="763">
        <v>182831067.64700872</v>
      </c>
      <c r="I23" s="763">
        <v>101539690.93282613</v>
      </c>
      <c r="J23" s="763">
        <v>81291376.71418263</v>
      </c>
      <c r="K23" s="764">
        <v>182831067.64700872</v>
      </c>
    </row>
    <row r="24" spans="1:11" ht="13.5" thickBot="1">
      <c r="A24" s="207">
        <v>14</v>
      </c>
      <c r="B24" s="208" t="s">
        <v>253</v>
      </c>
      <c r="C24" s="209"/>
      <c r="D24" s="210"/>
      <c r="E24" s="211"/>
      <c r="F24" s="765">
        <v>7212511.1139704958</v>
      </c>
      <c r="G24" s="765">
        <v>15198648.337059788</v>
      </c>
      <c r="H24" s="765">
        <v>22411159.451030284</v>
      </c>
      <c r="I24" s="765">
        <v>3865915.5455791964</v>
      </c>
      <c r="J24" s="765">
        <v>15136674.172932815</v>
      </c>
      <c r="K24" s="766">
        <v>19002589.718512014</v>
      </c>
    </row>
    <row r="25" spans="1:11" ht="13.5" thickBot="1">
      <c r="A25" s="212">
        <v>15</v>
      </c>
      <c r="B25" s="213" t="s">
        <v>254</v>
      </c>
      <c r="C25" s="214"/>
      <c r="D25" s="214"/>
      <c r="E25" s="214"/>
      <c r="F25" s="767">
        <v>14.078271676579561</v>
      </c>
      <c r="G25" s="767">
        <v>5.3485925137148493</v>
      </c>
      <c r="H25" s="767">
        <v>8.1580369836065589</v>
      </c>
      <c r="I25" s="767">
        <v>26.265367087219524</v>
      </c>
      <c r="J25" s="767">
        <v>5.3704912839801171</v>
      </c>
      <c r="K25" s="768">
        <v>9.6213763679219824</v>
      </c>
    </row>
    <row r="27" spans="1:11" ht="25.5">
      <c r="B27" s="187"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zoomScale="60" zoomScaleNormal="60" workbookViewId="0">
      <pane xSplit="1" ySplit="3" topLeftCell="B4" activePane="bottomRight" state="frozen"/>
      <selection activeCell="B19" sqref="B19"/>
      <selection pane="topRight" activeCell="B19" sqref="B19"/>
      <selection pane="bottomLeft" activeCell="B19" sqref="B19"/>
      <selection pane="bottomRight" activeCell="E18" sqref="E18"/>
    </sheetView>
  </sheetViews>
  <sheetFormatPr defaultColWidth="9.28515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 width="9.28515625" style="17"/>
    <col min="17" max="17" width="44.28515625" style="17" customWidth="1"/>
    <col min="18" max="16384" width="9.28515625" style="17"/>
  </cols>
  <sheetData>
    <row r="1" spans="1:17" ht="15">
      <c r="A1" s="575" t="s">
        <v>716</v>
      </c>
      <c r="B1" s="527" t="str">
        <f>'Info '!C2</f>
        <v>VTB Bank Georgia JSC</v>
      </c>
      <c r="C1" s="527"/>
      <c r="D1" s="527"/>
      <c r="E1" s="527"/>
      <c r="F1" s="527"/>
      <c r="G1" s="527"/>
      <c r="H1" s="527"/>
      <c r="I1" s="527"/>
      <c r="J1" s="527"/>
      <c r="K1" s="527"/>
      <c r="L1" s="527"/>
      <c r="M1" s="527"/>
      <c r="N1" s="527"/>
      <c r="O1" s="164"/>
      <c r="P1" s="164"/>
      <c r="Q1" s="164"/>
    </row>
    <row r="2" spans="1:17" ht="14.25" customHeight="1">
      <c r="A2" s="527" t="s">
        <v>717</v>
      </c>
      <c r="B2" s="489">
        <f>'1. key ratios '!B2</f>
        <v>45930</v>
      </c>
      <c r="C2" s="527"/>
      <c r="D2" s="527"/>
      <c r="E2" s="527"/>
      <c r="F2" s="527"/>
      <c r="G2" s="527"/>
      <c r="H2" s="527"/>
      <c r="I2" s="527"/>
      <c r="J2" s="527"/>
      <c r="K2" s="527"/>
      <c r="L2" s="527"/>
      <c r="M2" s="527"/>
      <c r="N2" s="527"/>
      <c r="O2" s="164"/>
      <c r="P2" s="164"/>
      <c r="Q2" s="164"/>
    </row>
    <row r="3" spans="1:17" ht="14.25" customHeight="1">
      <c r="A3" s="527"/>
      <c r="B3" s="164"/>
      <c r="C3" s="164"/>
      <c r="D3" s="164"/>
      <c r="E3" s="164"/>
      <c r="F3" s="164"/>
      <c r="G3" s="164"/>
      <c r="H3" s="164"/>
      <c r="I3" s="164"/>
      <c r="J3" s="164"/>
      <c r="K3" s="164"/>
      <c r="L3" s="164"/>
      <c r="M3" s="164"/>
      <c r="N3" s="164"/>
      <c r="O3" s="164"/>
      <c r="P3" s="164"/>
      <c r="Q3" s="164"/>
    </row>
    <row r="4" spans="1:17" ht="15">
      <c r="A4" s="527"/>
      <c r="B4" s="576" t="s">
        <v>718</v>
      </c>
      <c r="C4" s="164"/>
      <c r="D4" s="164"/>
      <c r="E4" s="164"/>
      <c r="F4" s="164"/>
      <c r="G4" s="164"/>
      <c r="H4" s="164"/>
      <c r="I4" s="164"/>
      <c r="J4" s="164"/>
      <c r="K4" s="164"/>
      <c r="L4" s="164"/>
      <c r="M4" s="164"/>
      <c r="N4" s="164"/>
      <c r="O4" s="164"/>
      <c r="P4" s="164"/>
      <c r="Q4" s="164"/>
    </row>
    <row r="5" spans="1:17" ht="60">
      <c r="A5" s="527"/>
      <c r="B5" s="577" t="s">
        <v>719</v>
      </c>
      <c r="C5" s="578" t="s">
        <v>720</v>
      </c>
      <c r="D5" s="578" t="s">
        <v>721</v>
      </c>
      <c r="E5" s="578" t="s">
        <v>722</v>
      </c>
      <c r="F5" s="578" t="s">
        <v>723</v>
      </c>
      <c r="G5" s="578" t="s">
        <v>724</v>
      </c>
      <c r="H5" s="578" t="s">
        <v>725</v>
      </c>
      <c r="I5" s="579" t="s">
        <v>726</v>
      </c>
      <c r="J5" s="580">
        <v>0.02</v>
      </c>
      <c r="K5" s="580">
        <v>0.2</v>
      </c>
      <c r="L5" s="580">
        <v>0.35</v>
      </c>
      <c r="M5" s="580">
        <v>0.5</v>
      </c>
      <c r="N5" s="580">
        <v>0.75</v>
      </c>
      <c r="O5" s="580">
        <v>1</v>
      </c>
      <c r="P5" s="580">
        <v>1.5</v>
      </c>
      <c r="Q5" s="581" t="s">
        <v>727</v>
      </c>
    </row>
    <row r="6" spans="1:17" ht="15.75">
      <c r="A6" s="527"/>
      <c r="B6" s="582"/>
      <c r="C6" s="583" t="b">
        <f>IF(C7&gt;0,C7,IF(C8&gt;0,C8,IF(C9&gt;0,C9)))</f>
        <v>0</v>
      </c>
      <c r="D6" s="583" t="b">
        <f t="shared" ref="D6:Q6" si="0">IF(D7&gt;0,D7,IF(D8&gt;0,D8,IF(D9&gt;0,D9)))</f>
        <v>0</v>
      </c>
      <c r="E6" s="583" t="b">
        <f t="shared" si="0"/>
        <v>0</v>
      </c>
      <c r="F6" s="583" t="b">
        <f t="shared" si="0"/>
        <v>0</v>
      </c>
      <c r="G6" s="583" t="b">
        <f t="shared" si="0"/>
        <v>0</v>
      </c>
      <c r="H6" s="583"/>
      <c r="I6" s="583" t="b">
        <f t="shared" si="0"/>
        <v>0</v>
      </c>
      <c r="J6" s="583" t="b">
        <f t="shared" si="0"/>
        <v>0</v>
      </c>
      <c r="K6" s="583" t="b">
        <f t="shared" si="0"/>
        <v>0</v>
      </c>
      <c r="L6" s="583" t="b">
        <f t="shared" si="0"/>
        <v>0</v>
      </c>
      <c r="M6" s="583" t="b">
        <f t="shared" si="0"/>
        <v>0</v>
      </c>
      <c r="N6" s="583" t="b">
        <f t="shared" si="0"/>
        <v>0</v>
      </c>
      <c r="O6" s="583" t="b">
        <f t="shared" si="0"/>
        <v>0</v>
      </c>
      <c r="P6" s="583" t="b">
        <f t="shared" si="0"/>
        <v>0</v>
      </c>
      <c r="Q6" s="583" t="b">
        <f t="shared" si="0"/>
        <v>0</v>
      </c>
    </row>
    <row r="7" spans="1:17" ht="15.75">
      <c r="A7" s="527"/>
      <c r="B7" s="584" t="s">
        <v>728</v>
      </c>
      <c r="C7" s="583">
        <f>C11+C15+C19+C23+C27+C31</f>
        <v>0</v>
      </c>
      <c r="D7" s="583"/>
      <c r="E7" s="583"/>
      <c r="F7" s="583">
        <f t="shared" ref="F7:G9" si="1">F11+F15+F19+F23+F27+F31</f>
        <v>0</v>
      </c>
      <c r="G7" s="583">
        <f t="shared" si="1"/>
        <v>0</v>
      </c>
      <c r="H7" s="585">
        <v>1.4</v>
      </c>
      <c r="I7" s="586">
        <f t="shared" ref="I7:I33" si="2">(F7+G7)*H7</f>
        <v>0</v>
      </c>
      <c r="J7" s="583">
        <f>J11+J15+J19+J23+J27+J31</f>
        <v>0</v>
      </c>
      <c r="K7" s="583">
        <f t="shared" ref="J7:Q9" si="3">K11+K15+K19+K23+K27+K31</f>
        <v>0</v>
      </c>
      <c r="L7" s="583">
        <f t="shared" si="3"/>
        <v>0</v>
      </c>
      <c r="M7" s="583">
        <f t="shared" si="3"/>
        <v>0</v>
      </c>
      <c r="N7" s="583">
        <f t="shared" si="3"/>
        <v>0</v>
      </c>
      <c r="O7" s="583">
        <f t="shared" si="3"/>
        <v>0</v>
      </c>
      <c r="P7" s="583">
        <f t="shared" si="3"/>
        <v>0</v>
      </c>
      <c r="Q7" s="583">
        <f>Q11+Q15+Q19+Q23+Q27+Q31</f>
        <v>0</v>
      </c>
    </row>
    <row r="8" spans="1:17" ht="15.75">
      <c r="A8" s="527"/>
      <c r="B8" s="584" t="s">
        <v>729</v>
      </c>
      <c r="C8" s="583">
        <f>C12+C16+C20+C24+C28+C32</f>
        <v>0</v>
      </c>
      <c r="D8" s="583"/>
      <c r="E8" s="583"/>
      <c r="F8" s="583">
        <f t="shared" si="1"/>
        <v>0</v>
      </c>
      <c r="G8" s="583">
        <f t="shared" si="1"/>
        <v>0</v>
      </c>
      <c r="H8" s="585">
        <v>1.4</v>
      </c>
      <c r="I8" s="586">
        <f t="shared" si="2"/>
        <v>0</v>
      </c>
      <c r="J8" s="583">
        <f t="shared" si="3"/>
        <v>0</v>
      </c>
      <c r="K8" s="583">
        <f t="shared" si="3"/>
        <v>0</v>
      </c>
      <c r="L8" s="583">
        <f t="shared" si="3"/>
        <v>0</v>
      </c>
      <c r="M8" s="583">
        <f t="shared" si="3"/>
        <v>0</v>
      </c>
      <c r="N8" s="583">
        <f t="shared" si="3"/>
        <v>0</v>
      </c>
      <c r="O8" s="583">
        <f t="shared" si="3"/>
        <v>0</v>
      </c>
      <c r="P8" s="583">
        <f t="shared" si="3"/>
        <v>0</v>
      </c>
      <c r="Q8" s="583">
        <f>Q12+Q16+Q20+Q24+Q28+Q32</f>
        <v>0</v>
      </c>
    </row>
    <row r="9" spans="1:17" ht="15.75">
      <c r="A9" s="527"/>
      <c r="B9" s="584" t="s">
        <v>736</v>
      </c>
      <c r="C9" s="583">
        <f>C13+C17+C21+C25+C29+C33</f>
        <v>0</v>
      </c>
      <c r="D9" s="583"/>
      <c r="E9" s="583"/>
      <c r="F9" s="583">
        <f t="shared" si="1"/>
        <v>0</v>
      </c>
      <c r="G9" s="583">
        <f t="shared" si="1"/>
        <v>0</v>
      </c>
      <c r="H9" s="585">
        <v>1.4</v>
      </c>
      <c r="I9" s="586">
        <f t="shared" si="2"/>
        <v>0</v>
      </c>
      <c r="J9" s="583">
        <f t="shared" si="3"/>
        <v>0</v>
      </c>
      <c r="K9" s="583">
        <f t="shared" si="3"/>
        <v>0</v>
      </c>
      <c r="L9" s="583">
        <f t="shared" si="3"/>
        <v>0</v>
      </c>
      <c r="M9" s="583">
        <f t="shared" si="3"/>
        <v>0</v>
      </c>
      <c r="N9" s="583">
        <f t="shared" si="3"/>
        <v>0</v>
      </c>
      <c r="O9" s="583">
        <f t="shared" si="3"/>
        <v>0</v>
      </c>
      <c r="P9" s="583">
        <f t="shared" si="3"/>
        <v>0</v>
      </c>
      <c r="Q9" s="583">
        <f t="shared" si="3"/>
        <v>0</v>
      </c>
    </row>
    <row r="10" spans="1:17" ht="15.75">
      <c r="A10" s="527"/>
      <c r="B10" s="587" t="s">
        <v>730</v>
      </c>
      <c r="C10" s="588"/>
      <c r="D10" s="588"/>
      <c r="E10" s="588"/>
      <c r="F10" s="588"/>
      <c r="G10" s="588"/>
      <c r="H10" s="585">
        <v>1.4</v>
      </c>
      <c r="I10" s="586">
        <f t="shared" si="2"/>
        <v>0</v>
      </c>
      <c r="J10" s="589"/>
      <c r="K10" s="589"/>
      <c r="L10" s="589"/>
      <c r="M10" s="589"/>
      <c r="N10" s="589"/>
      <c r="O10" s="589"/>
      <c r="P10" s="589"/>
      <c r="Q10" s="583">
        <f>SUM(Q11:Q13)</f>
        <v>0</v>
      </c>
    </row>
    <row r="11" spans="1:17" ht="15.75">
      <c r="A11" s="527"/>
      <c r="B11" s="590" t="s">
        <v>728</v>
      </c>
      <c r="C11" s="588"/>
      <c r="D11" s="588"/>
      <c r="E11" s="588"/>
      <c r="F11" s="588"/>
      <c r="G11" s="588"/>
      <c r="H11" s="585">
        <v>1.4</v>
      </c>
      <c r="I11" s="586">
        <f t="shared" si="2"/>
        <v>0</v>
      </c>
      <c r="J11" s="589"/>
      <c r="K11" s="589"/>
      <c r="L11" s="589"/>
      <c r="M11" s="589"/>
      <c r="N11" s="589"/>
      <c r="O11" s="589"/>
      <c r="P11" s="589"/>
      <c r="Q11" s="583">
        <f>SUMPRODUCT($J$5:$P$5,J11:P11)</f>
        <v>0</v>
      </c>
    </row>
    <row r="12" spans="1:17" ht="15.75">
      <c r="A12" s="527"/>
      <c r="B12" s="590" t="s">
        <v>729</v>
      </c>
      <c r="C12" s="588"/>
      <c r="D12" s="588"/>
      <c r="E12" s="588"/>
      <c r="F12" s="588"/>
      <c r="G12" s="588"/>
      <c r="H12" s="585">
        <v>1.4</v>
      </c>
      <c r="I12" s="586">
        <f t="shared" si="2"/>
        <v>0</v>
      </c>
      <c r="J12" s="589"/>
      <c r="K12" s="589"/>
      <c r="L12" s="589"/>
      <c r="M12" s="589"/>
      <c r="N12" s="589"/>
      <c r="O12" s="589"/>
      <c r="P12" s="589"/>
      <c r="Q12" s="583">
        <f t="shared" ref="Q12:Q13" si="4">SUMPRODUCT($J$5:$P$5,J12:P12)</f>
        <v>0</v>
      </c>
    </row>
    <row r="13" spans="1:17" ht="15.75">
      <c r="A13" s="527"/>
      <c r="B13" s="590" t="s">
        <v>736</v>
      </c>
      <c r="C13" s="588"/>
      <c r="D13" s="588"/>
      <c r="E13" s="588"/>
      <c r="F13" s="588"/>
      <c r="G13" s="588"/>
      <c r="H13" s="585">
        <v>1.4</v>
      </c>
      <c r="I13" s="586">
        <f t="shared" si="2"/>
        <v>0</v>
      </c>
      <c r="J13" s="589"/>
      <c r="K13" s="589"/>
      <c r="L13" s="589"/>
      <c r="M13" s="589"/>
      <c r="N13" s="589"/>
      <c r="O13" s="589"/>
      <c r="P13" s="589"/>
      <c r="Q13" s="583">
        <f t="shared" si="4"/>
        <v>0</v>
      </c>
    </row>
    <row r="14" spans="1:17" ht="15.75">
      <c r="A14" s="527"/>
      <c r="B14" s="587" t="s">
        <v>731</v>
      </c>
      <c r="C14" s="588"/>
      <c r="D14" s="588"/>
      <c r="E14" s="588"/>
      <c r="F14" s="588"/>
      <c r="G14" s="588"/>
      <c r="H14" s="585">
        <v>1.4</v>
      </c>
      <c r="I14" s="586">
        <f t="shared" si="2"/>
        <v>0</v>
      </c>
      <c r="J14" s="589"/>
      <c r="K14" s="589"/>
      <c r="L14" s="589"/>
      <c r="M14" s="589"/>
      <c r="N14" s="589"/>
      <c r="O14" s="589"/>
      <c r="P14" s="589"/>
      <c r="Q14" s="583">
        <f>SUM(Q15:Q17)</f>
        <v>0</v>
      </c>
    </row>
    <row r="15" spans="1:17" ht="15.75">
      <c r="A15" s="527"/>
      <c r="B15" s="590" t="s">
        <v>728</v>
      </c>
      <c r="C15" s="588"/>
      <c r="D15" s="588"/>
      <c r="E15" s="588"/>
      <c r="F15" s="588"/>
      <c r="G15" s="588"/>
      <c r="H15" s="585">
        <v>1.4</v>
      </c>
      <c r="I15" s="586">
        <f t="shared" si="2"/>
        <v>0</v>
      </c>
      <c r="J15" s="589"/>
      <c r="K15" s="589"/>
      <c r="L15" s="589"/>
      <c r="M15" s="589"/>
      <c r="N15" s="589"/>
      <c r="O15" s="589"/>
      <c r="P15" s="589"/>
      <c r="Q15" s="583">
        <f>SUMPRODUCT($J$5:$P$5,J15:P15)</f>
        <v>0</v>
      </c>
    </row>
    <row r="16" spans="1:17" ht="15.75">
      <c r="A16" s="527"/>
      <c r="B16" s="590" t="s">
        <v>729</v>
      </c>
      <c r="C16" s="588"/>
      <c r="D16" s="588"/>
      <c r="E16" s="588"/>
      <c r="F16" s="588"/>
      <c r="G16" s="588"/>
      <c r="H16" s="585">
        <v>1.4</v>
      </c>
      <c r="I16" s="586">
        <f t="shared" si="2"/>
        <v>0</v>
      </c>
      <c r="J16" s="589"/>
      <c r="K16" s="589"/>
      <c r="L16" s="589"/>
      <c r="M16" s="589"/>
      <c r="N16" s="589"/>
      <c r="O16" s="589"/>
      <c r="P16" s="589"/>
      <c r="Q16" s="583">
        <f t="shared" ref="Q16:Q17" si="5">SUMPRODUCT($J$5:$P$5,J16:P16)</f>
        <v>0</v>
      </c>
    </row>
    <row r="17" spans="1:17" ht="15.75">
      <c r="A17" s="527"/>
      <c r="B17" s="590" t="s">
        <v>736</v>
      </c>
      <c r="C17" s="588"/>
      <c r="D17" s="588"/>
      <c r="E17" s="588"/>
      <c r="F17" s="588"/>
      <c r="G17" s="588"/>
      <c r="H17" s="585">
        <v>1.4</v>
      </c>
      <c r="I17" s="586">
        <f t="shared" si="2"/>
        <v>0</v>
      </c>
      <c r="J17" s="589"/>
      <c r="K17" s="589"/>
      <c r="L17" s="589"/>
      <c r="M17" s="589"/>
      <c r="N17" s="589"/>
      <c r="O17" s="589"/>
      <c r="P17" s="589"/>
      <c r="Q17" s="583">
        <f t="shared" si="5"/>
        <v>0</v>
      </c>
    </row>
    <row r="18" spans="1:17" ht="15.75">
      <c r="A18" s="527"/>
      <c r="B18" s="587" t="s">
        <v>732</v>
      </c>
      <c r="C18" s="588"/>
      <c r="D18" s="588"/>
      <c r="E18" s="588"/>
      <c r="F18" s="588"/>
      <c r="G18" s="588"/>
      <c r="H18" s="585">
        <v>1.4</v>
      </c>
      <c r="I18" s="586">
        <f t="shared" si="2"/>
        <v>0</v>
      </c>
      <c r="J18" s="589"/>
      <c r="K18" s="589"/>
      <c r="L18" s="589"/>
      <c r="M18" s="589"/>
      <c r="N18" s="589"/>
      <c r="O18" s="589"/>
      <c r="P18" s="589"/>
      <c r="Q18" s="583">
        <f>SUM(Q19:Q21)</f>
        <v>0</v>
      </c>
    </row>
    <row r="19" spans="1:17" ht="15.75">
      <c r="A19" s="527"/>
      <c r="B19" s="590" t="s">
        <v>728</v>
      </c>
      <c r="C19" s="588"/>
      <c r="D19" s="588"/>
      <c r="E19" s="588"/>
      <c r="F19" s="588"/>
      <c r="G19" s="588"/>
      <c r="H19" s="585">
        <v>1.4</v>
      </c>
      <c r="I19" s="586">
        <f t="shared" si="2"/>
        <v>0</v>
      </c>
      <c r="J19" s="589"/>
      <c r="K19" s="589"/>
      <c r="L19" s="589"/>
      <c r="M19" s="589"/>
      <c r="N19" s="589"/>
      <c r="O19" s="589"/>
      <c r="P19" s="589"/>
      <c r="Q19" s="583">
        <f>SUMPRODUCT($J$5:$P$5,J19:P19)</f>
        <v>0</v>
      </c>
    </row>
    <row r="20" spans="1:17" ht="15.75">
      <c r="A20" s="527"/>
      <c r="B20" s="590" t="s">
        <v>729</v>
      </c>
      <c r="C20" s="588"/>
      <c r="D20" s="588"/>
      <c r="E20" s="588"/>
      <c r="F20" s="588"/>
      <c r="G20" s="588"/>
      <c r="H20" s="585">
        <v>1.4</v>
      </c>
      <c r="I20" s="586">
        <f t="shared" si="2"/>
        <v>0</v>
      </c>
      <c r="J20" s="589"/>
      <c r="K20" s="589"/>
      <c r="L20" s="589"/>
      <c r="M20" s="589"/>
      <c r="N20" s="589"/>
      <c r="O20" s="589"/>
      <c r="P20" s="589"/>
      <c r="Q20" s="583">
        <f t="shared" ref="Q20:Q21" si="6">SUMPRODUCT($J$5:$P$5,J20:P20)</f>
        <v>0</v>
      </c>
    </row>
    <row r="21" spans="1:17" ht="15.75">
      <c r="A21" s="527"/>
      <c r="B21" s="590" t="s">
        <v>736</v>
      </c>
      <c r="C21" s="588"/>
      <c r="D21" s="588"/>
      <c r="E21" s="588"/>
      <c r="F21" s="588"/>
      <c r="G21" s="588"/>
      <c r="H21" s="585">
        <v>1.4</v>
      </c>
      <c r="I21" s="586">
        <f t="shared" si="2"/>
        <v>0</v>
      </c>
      <c r="J21" s="589"/>
      <c r="K21" s="589"/>
      <c r="L21" s="589"/>
      <c r="M21" s="589"/>
      <c r="N21" s="589"/>
      <c r="O21" s="589"/>
      <c r="P21" s="589"/>
      <c r="Q21" s="583">
        <f t="shared" si="6"/>
        <v>0</v>
      </c>
    </row>
    <row r="22" spans="1:17" ht="15.75">
      <c r="A22" s="527"/>
      <c r="B22" s="587" t="s">
        <v>733</v>
      </c>
      <c r="C22" s="588"/>
      <c r="D22" s="588"/>
      <c r="E22" s="588"/>
      <c r="F22" s="588"/>
      <c r="G22" s="588"/>
      <c r="H22" s="585">
        <v>1.4</v>
      </c>
      <c r="I22" s="586">
        <f t="shared" si="2"/>
        <v>0</v>
      </c>
      <c r="J22" s="589"/>
      <c r="K22" s="589"/>
      <c r="L22" s="589"/>
      <c r="M22" s="589"/>
      <c r="N22" s="589"/>
      <c r="O22" s="589"/>
      <c r="P22" s="589"/>
      <c r="Q22" s="583">
        <f>SUM(Q23:Q25)</f>
        <v>0</v>
      </c>
    </row>
    <row r="23" spans="1:17" ht="15.75">
      <c r="A23" s="527"/>
      <c r="B23" s="590" t="s">
        <v>728</v>
      </c>
      <c r="C23" s="588"/>
      <c r="D23" s="588"/>
      <c r="E23" s="588"/>
      <c r="F23" s="588"/>
      <c r="G23" s="588"/>
      <c r="H23" s="585">
        <v>1.4</v>
      </c>
      <c r="I23" s="586">
        <f t="shared" si="2"/>
        <v>0</v>
      </c>
      <c r="J23" s="589"/>
      <c r="K23" s="589"/>
      <c r="L23" s="589"/>
      <c r="M23" s="589"/>
      <c r="N23" s="589"/>
      <c r="O23" s="589"/>
      <c r="P23" s="589"/>
      <c r="Q23" s="583">
        <f>SUMPRODUCT($J$5:$P$5,J23:P23)</f>
        <v>0</v>
      </c>
    </row>
    <row r="24" spans="1:17" ht="15.75">
      <c r="A24" s="527"/>
      <c r="B24" s="590" t="s">
        <v>729</v>
      </c>
      <c r="C24" s="588"/>
      <c r="D24" s="588"/>
      <c r="E24" s="588"/>
      <c r="F24" s="588"/>
      <c r="G24" s="588"/>
      <c r="H24" s="585">
        <v>1.4</v>
      </c>
      <c r="I24" s="586">
        <f t="shared" si="2"/>
        <v>0</v>
      </c>
      <c r="J24" s="589"/>
      <c r="K24" s="589"/>
      <c r="L24" s="589"/>
      <c r="M24" s="589"/>
      <c r="N24" s="589"/>
      <c r="O24" s="589"/>
      <c r="P24" s="589"/>
      <c r="Q24" s="583">
        <f t="shared" ref="Q24:Q25" si="7">SUMPRODUCT($J$5:$P$5,J24:P24)</f>
        <v>0</v>
      </c>
    </row>
    <row r="25" spans="1:17" ht="15.75">
      <c r="A25" s="527"/>
      <c r="B25" s="590" t="s">
        <v>736</v>
      </c>
      <c r="C25" s="588"/>
      <c r="D25" s="588"/>
      <c r="E25" s="588"/>
      <c r="F25" s="588"/>
      <c r="G25" s="588"/>
      <c r="H25" s="585">
        <v>1.4</v>
      </c>
      <c r="I25" s="586">
        <f t="shared" si="2"/>
        <v>0</v>
      </c>
      <c r="J25" s="589"/>
      <c r="K25" s="589"/>
      <c r="L25" s="589"/>
      <c r="M25" s="589"/>
      <c r="N25" s="589"/>
      <c r="O25" s="589"/>
      <c r="P25" s="589"/>
      <c r="Q25" s="583">
        <f t="shared" si="7"/>
        <v>0</v>
      </c>
    </row>
    <row r="26" spans="1:17" ht="15.75">
      <c r="A26" s="527"/>
      <c r="B26" s="587" t="s">
        <v>734</v>
      </c>
      <c r="C26" s="588"/>
      <c r="D26" s="588"/>
      <c r="E26" s="588"/>
      <c r="F26" s="588"/>
      <c r="G26" s="588"/>
      <c r="H26" s="585">
        <v>1.4</v>
      </c>
      <c r="I26" s="586">
        <f t="shared" si="2"/>
        <v>0</v>
      </c>
      <c r="J26" s="589"/>
      <c r="K26" s="589"/>
      <c r="L26" s="589"/>
      <c r="M26" s="589"/>
      <c r="N26" s="589"/>
      <c r="O26" s="589"/>
      <c r="P26" s="589"/>
      <c r="Q26" s="583">
        <f>SUM(Q27:Q29)</f>
        <v>0</v>
      </c>
    </row>
    <row r="27" spans="1:17" ht="15.75">
      <c r="A27" s="527"/>
      <c r="B27" s="590" t="s">
        <v>728</v>
      </c>
      <c r="C27" s="588"/>
      <c r="D27" s="588"/>
      <c r="E27" s="588"/>
      <c r="F27" s="588"/>
      <c r="G27" s="588"/>
      <c r="H27" s="585">
        <v>1.4</v>
      </c>
      <c r="I27" s="586">
        <f t="shared" si="2"/>
        <v>0</v>
      </c>
      <c r="J27" s="589"/>
      <c r="K27" s="589"/>
      <c r="L27" s="589"/>
      <c r="M27" s="589"/>
      <c r="N27" s="589"/>
      <c r="O27" s="589"/>
      <c r="P27" s="589"/>
      <c r="Q27" s="583">
        <f>SUMPRODUCT($J$5:$P$5,J27:P27)</f>
        <v>0</v>
      </c>
    </row>
    <row r="28" spans="1:17" ht="15.75">
      <c r="A28" s="527"/>
      <c r="B28" s="590" t="s">
        <v>729</v>
      </c>
      <c r="C28" s="588"/>
      <c r="D28" s="588"/>
      <c r="E28" s="588"/>
      <c r="F28" s="588"/>
      <c r="G28" s="588"/>
      <c r="H28" s="585">
        <v>1.4</v>
      </c>
      <c r="I28" s="586">
        <f t="shared" si="2"/>
        <v>0</v>
      </c>
      <c r="J28" s="589"/>
      <c r="K28" s="589"/>
      <c r="L28" s="589"/>
      <c r="M28" s="589"/>
      <c r="N28" s="589"/>
      <c r="O28" s="589"/>
      <c r="P28" s="589"/>
      <c r="Q28" s="583">
        <f t="shared" ref="Q28:Q29" si="8">SUMPRODUCT($J$5:$P$5,J28:P28)</f>
        <v>0</v>
      </c>
    </row>
    <row r="29" spans="1:17" ht="15.75">
      <c r="A29" s="527"/>
      <c r="B29" s="590" t="s">
        <v>736</v>
      </c>
      <c r="C29" s="588"/>
      <c r="D29" s="588"/>
      <c r="E29" s="588"/>
      <c r="F29" s="588"/>
      <c r="G29" s="588"/>
      <c r="H29" s="585">
        <v>1.4</v>
      </c>
      <c r="I29" s="586">
        <f t="shared" si="2"/>
        <v>0</v>
      </c>
      <c r="J29" s="589"/>
      <c r="K29" s="589"/>
      <c r="L29" s="589"/>
      <c r="M29" s="589"/>
      <c r="N29" s="589"/>
      <c r="O29" s="589"/>
      <c r="P29" s="589"/>
      <c r="Q29" s="583">
        <f t="shared" si="8"/>
        <v>0</v>
      </c>
    </row>
    <row r="30" spans="1:17" ht="15.75">
      <c r="A30" s="527"/>
      <c r="B30" s="591" t="s">
        <v>735</v>
      </c>
      <c r="C30" s="588"/>
      <c r="D30" s="588"/>
      <c r="E30" s="588"/>
      <c r="F30" s="588"/>
      <c r="G30" s="588"/>
      <c r="H30" s="585">
        <v>1.4</v>
      </c>
      <c r="I30" s="586">
        <f t="shared" si="2"/>
        <v>0</v>
      </c>
      <c r="J30" s="589"/>
      <c r="K30" s="589"/>
      <c r="L30" s="589"/>
      <c r="M30" s="589"/>
      <c r="N30" s="589"/>
      <c r="O30" s="589"/>
      <c r="P30" s="589"/>
      <c r="Q30" s="583">
        <f>SUM(Q31:Q33)</f>
        <v>0</v>
      </c>
    </row>
    <row r="31" spans="1:17" ht="15.75">
      <c r="A31" s="527"/>
      <c r="B31" s="590" t="s">
        <v>728</v>
      </c>
      <c r="C31" s="588"/>
      <c r="D31" s="588"/>
      <c r="E31" s="588"/>
      <c r="F31" s="588"/>
      <c r="G31" s="588"/>
      <c r="H31" s="585">
        <v>1.4</v>
      </c>
      <c r="I31" s="586">
        <f t="shared" si="2"/>
        <v>0</v>
      </c>
      <c r="J31" s="589"/>
      <c r="K31" s="589"/>
      <c r="L31" s="589"/>
      <c r="M31" s="589"/>
      <c r="N31" s="589"/>
      <c r="O31" s="589"/>
      <c r="P31" s="589"/>
      <c r="Q31" s="583">
        <f>SUMPRODUCT($J$5:$P$5,J31:P31)</f>
        <v>0</v>
      </c>
    </row>
    <row r="32" spans="1:17" ht="15.75">
      <c r="A32" s="527"/>
      <c r="B32" s="590" t="s">
        <v>729</v>
      </c>
      <c r="C32" s="588"/>
      <c r="D32" s="588"/>
      <c r="E32" s="588"/>
      <c r="F32" s="588"/>
      <c r="G32" s="588"/>
      <c r="H32" s="585">
        <v>1.4</v>
      </c>
      <c r="I32" s="586">
        <f t="shared" si="2"/>
        <v>0</v>
      </c>
      <c r="J32" s="589"/>
      <c r="K32" s="589"/>
      <c r="L32" s="589"/>
      <c r="M32" s="589"/>
      <c r="N32" s="589"/>
      <c r="O32" s="589"/>
      <c r="P32" s="589"/>
      <c r="Q32" s="583">
        <f t="shared" ref="Q32:Q33" si="9">SUMPRODUCT($J$5:$P$5,J32:P32)</f>
        <v>0</v>
      </c>
    </row>
    <row r="33" spans="1:17" ht="15.75">
      <c r="A33" s="527"/>
      <c r="B33" s="590" t="s">
        <v>736</v>
      </c>
      <c r="C33" s="588"/>
      <c r="D33" s="588"/>
      <c r="E33" s="588"/>
      <c r="F33" s="588"/>
      <c r="G33" s="588"/>
      <c r="H33" s="585">
        <v>1.4</v>
      </c>
      <c r="I33" s="586">
        <f t="shared" si="2"/>
        <v>0</v>
      </c>
      <c r="J33" s="589"/>
      <c r="K33" s="589"/>
      <c r="L33" s="589"/>
      <c r="M33" s="589"/>
      <c r="N33" s="589"/>
      <c r="O33" s="589"/>
      <c r="P33" s="589"/>
      <c r="Q33" s="583">
        <f t="shared" si="9"/>
        <v>0</v>
      </c>
    </row>
    <row r="34" spans="1:17" ht="15.75">
      <c r="A34" s="527"/>
      <c r="B34" s="592" t="s">
        <v>64</v>
      </c>
      <c r="C34" s="593" t="b">
        <f>C6</f>
        <v>0</v>
      </c>
      <c r="D34" s="593" t="b">
        <f t="shared" ref="D34:G34" si="10">D6</f>
        <v>0</v>
      </c>
      <c r="E34" s="593" t="b">
        <f t="shared" si="10"/>
        <v>0</v>
      </c>
      <c r="F34" s="593" t="b">
        <f t="shared" si="10"/>
        <v>0</v>
      </c>
      <c r="G34" s="593" t="b">
        <f t="shared" si="10"/>
        <v>0</v>
      </c>
      <c r="H34" s="585">
        <v>1.4</v>
      </c>
      <c r="I34" s="586">
        <f>(F34+G34)*H34</f>
        <v>0</v>
      </c>
      <c r="J34" s="593" t="b">
        <f t="shared" ref="J34:Q34" si="11">J6</f>
        <v>0</v>
      </c>
      <c r="K34" s="593" t="b">
        <f t="shared" si="11"/>
        <v>0</v>
      </c>
      <c r="L34" s="593" t="b">
        <f t="shared" si="11"/>
        <v>0</v>
      </c>
      <c r="M34" s="593" t="b">
        <f t="shared" si="11"/>
        <v>0</v>
      </c>
      <c r="N34" s="593" t="b">
        <f t="shared" si="11"/>
        <v>0</v>
      </c>
      <c r="O34" s="593" t="b">
        <f t="shared" si="11"/>
        <v>0</v>
      </c>
      <c r="P34" s="593" t="b">
        <f t="shared" si="11"/>
        <v>0</v>
      </c>
      <c r="Q34" s="593"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6" sqref="B6"/>
    </sheetView>
  </sheetViews>
  <sheetFormatPr defaultColWidth="9.28515625" defaultRowHeight="14.25"/>
  <cols>
    <col min="1" max="1" width="9.5703125" style="3" bestFit="1" customWidth="1"/>
    <col min="2" max="2" width="86" style="3" customWidth="1"/>
    <col min="3" max="3" width="12.7109375" style="3" customWidth="1"/>
    <col min="4" max="7" width="12.7109375" style="4" customWidth="1"/>
    <col min="8" max="8" width="9.28515625" style="5" customWidth="1"/>
    <col min="9" max="12" width="9.28515625" style="5"/>
    <col min="13" max="13" width="6.7109375" style="5" customWidth="1"/>
    <col min="14" max="16384" width="9.28515625" style="5"/>
  </cols>
  <sheetData>
    <row r="1" spans="1:8">
      <c r="A1" s="2" t="s">
        <v>30</v>
      </c>
      <c r="B1" s="3" t="str">
        <f>'Info '!C2</f>
        <v>VTB Bank Georgia JSC</v>
      </c>
    </row>
    <row r="2" spans="1:8">
      <c r="A2" s="2" t="s">
        <v>31</v>
      </c>
      <c r="B2" s="273">
        <f>'Info '!D2</f>
        <v>45930</v>
      </c>
      <c r="C2" s="6"/>
      <c r="D2" s="7"/>
      <c r="E2" s="7"/>
      <c r="F2" s="7"/>
      <c r="G2" s="7"/>
      <c r="H2" s="8"/>
    </row>
    <row r="3" spans="1:8" ht="15" thickBot="1">
      <c r="A3" s="2"/>
      <c r="B3" s="6"/>
      <c r="C3" s="6"/>
      <c r="D3" s="7"/>
      <c r="E3" s="7"/>
      <c r="F3" s="7"/>
      <c r="G3" s="7"/>
      <c r="H3" s="8"/>
    </row>
    <row r="4" spans="1:8" ht="15" customHeight="1" thickBot="1">
      <c r="A4" s="9" t="s">
        <v>93</v>
      </c>
      <c r="B4" s="10" t="s">
        <v>92</v>
      </c>
      <c r="C4" s="10"/>
      <c r="D4" s="772" t="s">
        <v>664</v>
      </c>
      <c r="E4" s="773"/>
      <c r="F4" s="773"/>
      <c r="G4" s="774"/>
      <c r="H4" s="8"/>
    </row>
    <row r="5" spans="1:8">
      <c r="A5" s="11" t="s">
        <v>6</v>
      </c>
      <c r="B5" s="12"/>
      <c r="C5" s="271" t="str">
        <f>INT((MONTH($B$2))/3)&amp;"Q"&amp;"-"&amp;YEAR($B$2)</f>
        <v>3Q-2025</v>
      </c>
      <c r="D5" s="271" t="str">
        <f>IF(INT(MONTH($B$2))=3, "4"&amp;"Q"&amp;"-"&amp;YEAR($B$2)-1, IF(INT(MONTH($B$2))=6, "1"&amp;"Q"&amp;"-"&amp;YEAR($B$2), IF(INT(MONTH($B$2))=9, "2"&amp;"Q"&amp;"-"&amp;YEAR($B$2),IF(INT(MONTH($B$2))=12, "3"&amp;"Q"&amp;"-"&amp;YEAR($B$2), 0))))</f>
        <v>2Q-2025</v>
      </c>
      <c r="E5" s="271" t="str">
        <f>IF(INT(MONTH($B$2))=3, "3"&amp;"Q"&amp;"-"&amp;YEAR($B$2)-1, IF(INT(MONTH($B$2))=6, "4"&amp;"Q"&amp;"-"&amp;YEAR($B$2)-1, IF(INT(MONTH($B$2))=9, "1"&amp;"Q"&amp;"-"&amp;YEAR($B$2),IF(INT(MONTH($B$2))=12, "2"&amp;"Q"&amp;"-"&amp;YEAR($B$2), 0))))</f>
        <v>1Q-2025</v>
      </c>
      <c r="F5" s="271" t="str">
        <f>IF(INT(MONTH($B$2))=3, "2"&amp;"Q"&amp;"-"&amp;YEAR($B$2)-1, IF(INT(MONTH($B$2))=6, "3"&amp;"Q"&amp;"-"&amp;YEAR($B$2)-1, IF(INT(MONTH($B$2))=9, "4"&amp;"Q"&amp;"-"&amp;YEAR($B$2)-1,IF(INT(MONTH($B$2))=12, "1"&amp;"Q"&amp;"-"&amp;YEAR($B$2), 0))))</f>
        <v>4Q-2024</v>
      </c>
      <c r="G5" s="272" t="str">
        <f>IF(INT(MONTH($B$2))=3, "1"&amp;"Q"&amp;"-"&amp;YEAR($B$2)-1, IF(INT(MONTH($B$2))=6, "2"&amp;"Q"&amp;"-"&amp;YEAR($B$2)-1, IF(INT(MONTH($B$2))=9, "3"&amp;"Q"&amp;"-"&amp;YEAR($B$2)-1,IF(INT(MONTH($B$2))=12, "4"&amp;"Q"&amp;"-"&amp;YEAR($B$2)-1, 0))))</f>
        <v>3Q-2024</v>
      </c>
    </row>
    <row r="6" spans="1:8">
      <c r="B6" s="122" t="s">
        <v>91</v>
      </c>
      <c r="C6" s="274"/>
      <c r="D6" s="274"/>
      <c r="E6" s="274"/>
      <c r="F6" s="274"/>
      <c r="G6" s="275"/>
    </row>
    <row r="7" spans="1:8">
      <c r="A7" s="13"/>
      <c r="B7" s="123" t="s">
        <v>89</v>
      </c>
      <c r="C7" s="196"/>
      <c r="D7" s="196"/>
      <c r="E7" s="196"/>
      <c r="F7" s="196"/>
      <c r="G7" s="522"/>
    </row>
    <row r="8" spans="1:8">
      <c r="A8" s="276">
        <v>1</v>
      </c>
      <c r="B8" s="14" t="s">
        <v>327</v>
      </c>
      <c r="C8" s="618">
        <v>220785189.54756331</v>
      </c>
      <c r="D8" s="619">
        <v>215316541.1730147</v>
      </c>
      <c r="E8" s="619">
        <v>227571035.38426289</v>
      </c>
      <c r="F8" s="619">
        <v>273905730.98415458</v>
      </c>
      <c r="G8" s="620">
        <v>261844574.34</v>
      </c>
    </row>
    <row r="9" spans="1:8">
      <c r="A9" s="276">
        <v>2</v>
      </c>
      <c r="B9" s="14" t="s">
        <v>328</v>
      </c>
      <c r="C9" s="618">
        <v>276171189.54756331</v>
      </c>
      <c r="D9" s="619">
        <v>274151841.1730147</v>
      </c>
      <c r="E9" s="619">
        <v>283625135.38426292</v>
      </c>
      <c r="F9" s="619">
        <v>317094230.98415458</v>
      </c>
      <c r="G9" s="620">
        <v>311822874.34000003</v>
      </c>
    </row>
    <row r="10" spans="1:8">
      <c r="A10" s="276">
        <v>3</v>
      </c>
      <c r="B10" s="14" t="s">
        <v>142</v>
      </c>
      <c r="C10" s="618">
        <v>326026508.7733233</v>
      </c>
      <c r="D10" s="619">
        <v>333743974.9771347</v>
      </c>
      <c r="E10" s="619">
        <v>339314192.98426294</v>
      </c>
      <c r="F10" s="619">
        <v>359173851.78691459</v>
      </c>
      <c r="G10" s="620">
        <v>372799961.66676003</v>
      </c>
    </row>
    <row r="11" spans="1:8">
      <c r="A11" s="276">
        <v>4</v>
      </c>
      <c r="B11" s="14" t="s">
        <v>330</v>
      </c>
      <c r="C11" s="618">
        <v>114417141.59921861</v>
      </c>
      <c r="D11" s="619">
        <v>118031628.88576123</v>
      </c>
      <c r="E11" s="619">
        <v>120682713.26498392</v>
      </c>
      <c r="F11" s="619">
        <v>123009203.22464246</v>
      </c>
      <c r="G11" s="620">
        <v>126379579.22092749</v>
      </c>
    </row>
    <row r="12" spans="1:8">
      <c r="A12" s="276">
        <v>5</v>
      </c>
      <c r="B12" s="14" t="s">
        <v>331</v>
      </c>
      <c r="C12" s="618">
        <v>128842775.84985498</v>
      </c>
      <c r="D12" s="619">
        <v>133079542.9835466</v>
      </c>
      <c r="E12" s="619">
        <v>136469631.6243096</v>
      </c>
      <c r="F12" s="619">
        <v>139125474.54113606</v>
      </c>
      <c r="G12" s="620">
        <v>143758813.82397807</v>
      </c>
    </row>
    <row r="13" spans="1:8">
      <c r="A13" s="276">
        <v>6</v>
      </c>
      <c r="B13" s="14" t="s">
        <v>329</v>
      </c>
      <c r="C13" s="618">
        <v>147953546.30314407</v>
      </c>
      <c r="D13" s="619">
        <v>153013486.9270075</v>
      </c>
      <c r="E13" s="619">
        <v>157381095.71818882</v>
      </c>
      <c r="F13" s="619">
        <v>160472755.19855791</v>
      </c>
      <c r="G13" s="620">
        <v>166780075.28750151</v>
      </c>
    </row>
    <row r="14" spans="1:8">
      <c r="A14" s="13"/>
      <c r="B14" s="122" t="s">
        <v>333</v>
      </c>
      <c r="C14" s="196"/>
      <c r="D14" s="196"/>
      <c r="E14" s="196"/>
      <c r="F14" s="196"/>
      <c r="G14" s="522"/>
    </row>
    <row r="15" spans="1:8" ht="15" customHeight="1">
      <c r="A15" s="276">
        <v>7</v>
      </c>
      <c r="B15" s="14" t="s">
        <v>332</v>
      </c>
      <c r="C15" s="621">
        <v>492756469.31668466</v>
      </c>
      <c r="D15" s="619">
        <v>509416496.22447902</v>
      </c>
      <c r="E15" s="619">
        <v>528971760.11256492</v>
      </c>
      <c r="F15" s="619">
        <v>538309915.73493481</v>
      </c>
      <c r="G15" s="620">
        <v>584620546.1363045</v>
      </c>
    </row>
    <row r="16" spans="1:8">
      <c r="A16" s="13"/>
      <c r="B16" s="122" t="s">
        <v>334</v>
      </c>
      <c r="C16" s="196"/>
      <c r="D16" s="196"/>
      <c r="E16" s="196"/>
      <c r="F16" s="196"/>
      <c r="G16" s="522"/>
    </row>
    <row r="17" spans="1:8" s="15" customFormat="1">
      <c r="A17" s="276"/>
      <c r="B17" s="123" t="s">
        <v>714</v>
      </c>
      <c r="C17" s="196"/>
      <c r="D17" s="196"/>
      <c r="E17" s="196"/>
      <c r="F17" s="196"/>
      <c r="G17" s="522"/>
    </row>
    <row r="18" spans="1:8">
      <c r="A18" s="11">
        <v>8</v>
      </c>
      <c r="B18" s="14" t="s">
        <v>327</v>
      </c>
      <c r="C18" s="622">
        <v>0.44806147315271294</v>
      </c>
      <c r="D18" s="623">
        <v>0.42267288705572953</v>
      </c>
      <c r="E18" s="623">
        <v>0.43021395950482477</v>
      </c>
      <c r="F18" s="623">
        <v>0.50882534944614777</v>
      </c>
      <c r="G18" s="624">
        <v>0.48641974945327393</v>
      </c>
    </row>
    <row r="19" spans="1:8" ht="15" customHeight="1">
      <c r="A19" s="11">
        <v>9</v>
      </c>
      <c r="B19" s="14" t="s">
        <v>328</v>
      </c>
      <c r="C19" s="622">
        <v>0.56046182393208455</v>
      </c>
      <c r="D19" s="623">
        <v>0.53816836165471793</v>
      </c>
      <c r="E19" s="623">
        <v>0.53618199830536817</v>
      </c>
      <c r="F19" s="623">
        <v>0.58905515524683849</v>
      </c>
      <c r="G19" s="624">
        <v>0.57926273550855867</v>
      </c>
    </row>
    <row r="20" spans="1:8">
      <c r="A20" s="11">
        <v>10</v>
      </c>
      <c r="B20" s="14" t="s">
        <v>142</v>
      </c>
      <c r="C20" s="622">
        <v>0.66163821091061648</v>
      </c>
      <c r="D20" s="623">
        <v>0.65514952391739467</v>
      </c>
      <c r="E20" s="623">
        <v>0.64145993901840248</v>
      </c>
      <c r="F20" s="623">
        <v>0.66722503392222987</v>
      </c>
      <c r="G20" s="624">
        <v>0.69253779425145812</v>
      </c>
    </row>
    <row r="21" spans="1:8">
      <c r="A21" s="11">
        <v>11</v>
      </c>
      <c r="B21" s="14" t="s">
        <v>330</v>
      </c>
      <c r="C21" s="622">
        <v>0.23219815207679195</v>
      </c>
      <c r="D21" s="623">
        <v>0.2316996598275638</v>
      </c>
      <c r="E21" s="623">
        <v>0.22814585269977872</v>
      </c>
      <c r="F21" s="623">
        <v>0.22851000813667438</v>
      </c>
      <c r="G21" s="624">
        <v>0.23477104085735831</v>
      </c>
    </row>
    <row r="22" spans="1:8">
      <c r="A22" s="11">
        <v>12</v>
      </c>
      <c r="B22" s="14" t="s">
        <v>331</v>
      </c>
      <c r="C22" s="622">
        <v>0.26147353484475577</v>
      </c>
      <c r="D22" s="623">
        <v>0.26123917063907542</v>
      </c>
      <c r="E22" s="623">
        <v>0.25799039176546767</v>
      </c>
      <c r="F22" s="623">
        <v>0.25844865657210336</v>
      </c>
      <c r="G22" s="624">
        <v>0.26705585318395897</v>
      </c>
    </row>
    <row r="23" spans="1:8">
      <c r="A23" s="11">
        <v>13</v>
      </c>
      <c r="B23" s="14" t="s">
        <v>329</v>
      </c>
      <c r="C23" s="622">
        <v>0.30025693322365554</v>
      </c>
      <c r="D23" s="623">
        <v>0.30037010591738023</v>
      </c>
      <c r="E23" s="623">
        <v>0.29752268000979526</v>
      </c>
      <c r="F23" s="623">
        <v>0.29810477293450993</v>
      </c>
      <c r="G23" s="624">
        <v>0.30982166668767896</v>
      </c>
    </row>
    <row r="24" spans="1:8" ht="15">
      <c r="A24" s="523"/>
      <c r="B24" s="122" t="s">
        <v>699</v>
      </c>
      <c r="C24" s="196"/>
      <c r="D24" s="196"/>
      <c r="E24" s="196"/>
      <c r="F24" s="196"/>
      <c r="G24" s="522"/>
    </row>
    <row r="25" spans="1:8" ht="25.5">
      <c r="A25" s="11">
        <v>14</v>
      </c>
      <c r="B25" s="14" t="s">
        <v>700</v>
      </c>
      <c r="C25" s="622"/>
      <c r="D25" s="623"/>
      <c r="E25" s="623"/>
      <c r="F25" s="623"/>
      <c r="G25" s="624"/>
      <c r="H25" s="521"/>
    </row>
    <row r="26" spans="1:8">
      <c r="A26" s="13"/>
      <c r="B26" s="122" t="s">
        <v>88</v>
      </c>
      <c r="C26" s="196"/>
      <c r="D26" s="196"/>
      <c r="E26" s="196"/>
      <c r="F26" s="196"/>
      <c r="G26" s="522"/>
    </row>
    <row r="27" spans="1:8" ht="15" customHeight="1">
      <c r="A27" s="277">
        <v>15</v>
      </c>
      <c r="B27" s="14" t="s">
        <v>87</v>
      </c>
      <c r="C27" s="625">
        <v>3.0449502520937814E-2</v>
      </c>
      <c r="D27" s="625">
        <v>3.2835555902460178E-2</v>
      </c>
      <c r="E27" s="625">
        <v>3.1603000078961226E-2</v>
      </c>
      <c r="F27" s="625">
        <v>3.6875423555608293E-2</v>
      </c>
      <c r="G27" s="626">
        <v>3.7653832321756439E-2</v>
      </c>
    </row>
    <row r="28" spans="1:8" ht="15">
      <c r="A28" s="277">
        <v>16</v>
      </c>
      <c r="B28" s="14" t="s">
        <v>86</v>
      </c>
      <c r="C28" s="625">
        <v>2.2537215151765072E-2</v>
      </c>
      <c r="D28" s="625">
        <v>2.2341451596138442E-2</v>
      </c>
      <c r="E28" s="625">
        <v>2.1355678673267414E-2</v>
      </c>
      <c r="F28" s="625">
        <v>2.0305401662221289E-2</v>
      </c>
      <c r="G28" s="626">
        <v>2.0960224051435192E-2</v>
      </c>
    </row>
    <row r="29" spans="1:8" ht="15">
      <c r="A29" s="277">
        <v>17</v>
      </c>
      <c r="B29" s="14" t="s">
        <v>85</v>
      </c>
      <c r="C29" s="625">
        <v>2.0821428767448087E-2</v>
      </c>
      <c r="D29" s="625">
        <v>0.16799840608693248</v>
      </c>
      <c r="E29" s="625">
        <v>0.27609330896165413</v>
      </c>
      <c r="F29" s="625">
        <v>-3.8225641395707333E-2</v>
      </c>
      <c r="G29" s="626">
        <v>-5.0625280536869509E-3</v>
      </c>
    </row>
    <row r="30" spans="1:8" ht="15">
      <c r="A30" s="277">
        <v>18</v>
      </c>
      <c r="B30" s="14" t="s">
        <v>84</v>
      </c>
      <c r="C30" s="625">
        <v>7.9122873691727415E-3</v>
      </c>
      <c r="D30" s="625">
        <v>1.0494104306321738E-2</v>
      </c>
      <c r="E30" s="625">
        <v>1.0247321405693812E-2</v>
      </c>
      <c r="F30" s="625">
        <v>1.6570021893387004E-2</v>
      </c>
      <c r="G30" s="626">
        <v>1.6693608270321247E-2</v>
      </c>
    </row>
    <row r="31" spans="1:8" ht="15">
      <c r="A31" s="277">
        <v>19</v>
      </c>
      <c r="B31" s="14" t="s">
        <v>154</v>
      </c>
      <c r="C31" s="625">
        <v>-0.1225321728237438</v>
      </c>
      <c r="D31" s="625">
        <v>-0.19159884987417394</v>
      </c>
      <c r="E31" s="625">
        <v>-0.29700827888298537</v>
      </c>
      <c r="F31" s="625">
        <v>2.0577830953774003E-2</v>
      </c>
      <c r="G31" s="626">
        <v>-1.2986292849792808E-3</v>
      </c>
    </row>
    <row r="32" spans="1:8" ht="15">
      <c r="A32" s="277">
        <v>20</v>
      </c>
      <c r="B32" s="14" t="s">
        <v>155</v>
      </c>
      <c r="C32" s="625">
        <v>-0.18388419297292002</v>
      </c>
      <c r="D32" s="625">
        <v>-0.28483275794593982</v>
      </c>
      <c r="E32" s="625">
        <v>-0.42989830915196048</v>
      </c>
      <c r="F32" s="625">
        <v>2.8894368932893936E-2</v>
      </c>
      <c r="G32" s="626">
        <v>-1.837508261185187E-3</v>
      </c>
    </row>
    <row r="33" spans="1:7">
      <c r="A33" s="13"/>
      <c r="B33" s="122" t="s">
        <v>216</v>
      </c>
      <c r="C33" s="627"/>
      <c r="D33" s="627"/>
      <c r="E33" s="627"/>
      <c r="F33" s="627"/>
      <c r="G33" s="628"/>
    </row>
    <row r="34" spans="1:7" ht="15">
      <c r="A34" s="277">
        <v>21</v>
      </c>
      <c r="B34" s="14" t="s">
        <v>83</v>
      </c>
      <c r="C34" s="625">
        <v>0.16037480931261741</v>
      </c>
      <c r="D34" s="625">
        <v>0.13780979538154459</v>
      </c>
      <c r="E34" s="625">
        <v>0.11884958310125479</v>
      </c>
      <c r="F34" s="625">
        <v>0.59976146999008251</v>
      </c>
      <c r="G34" s="626">
        <v>0.57101272130798897</v>
      </c>
    </row>
    <row r="35" spans="1:7" ht="15" customHeight="1">
      <c r="A35" s="277">
        <v>22</v>
      </c>
      <c r="B35" s="14" t="s">
        <v>673</v>
      </c>
      <c r="C35" s="625">
        <v>0.16415743743478284</v>
      </c>
      <c r="D35" s="625">
        <v>0.14103161704484155</v>
      </c>
      <c r="E35" s="625">
        <v>0.12100436158249414</v>
      </c>
      <c r="F35" s="625">
        <v>0.11935570888038549</v>
      </c>
      <c r="G35" s="626">
        <v>8.6704743945984736E-2</v>
      </c>
    </row>
    <row r="36" spans="1:7" ht="15">
      <c r="A36" s="277">
        <v>23</v>
      </c>
      <c r="B36" s="14" t="s">
        <v>82</v>
      </c>
      <c r="C36" s="625">
        <v>0.63361364494246364</v>
      </c>
      <c r="D36" s="625">
        <v>0.6529923632859026</v>
      </c>
      <c r="E36" s="625">
        <v>0.6545354954850463</v>
      </c>
      <c r="F36" s="625">
        <v>0.6207562066979373</v>
      </c>
      <c r="G36" s="626">
        <v>0.61976173574193572</v>
      </c>
    </row>
    <row r="37" spans="1:7" ht="15" customHeight="1">
      <c r="A37" s="277">
        <v>24</v>
      </c>
      <c r="B37" s="14" t="s">
        <v>81</v>
      </c>
      <c r="C37" s="625">
        <v>0.41896163034402828</v>
      </c>
      <c r="D37" s="625">
        <v>0.43308618032303936</v>
      </c>
      <c r="E37" s="625">
        <v>0.43692892270833783</v>
      </c>
      <c r="F37" s="625">
        <v>0.43992230030589075</v>
      </c>
      <c r="G37" s="626">
        <v>0.43253312969769658</v>
      </c>
    </row>
    <row r="38" spans="1:7" ht="15">
      <c r="A38" s="277">
        <v>25</v>
      </c>
      <c r="B38" s="14" t="s">
        <v>80</v>
      </c>
      <c r="C38" s="625">
        <v>-0.17802989535880412</v>
      </c>
      <c r="D38" s="625">
        <v>-0.14308363260619505</v>
      </c>
      <c r="E38" s="625">
        <v>-4.3567704909753181E-2</v>
      </c>
      <c r="F38" s="625">
        <v>-7.3328480456393272E-2</v>
      </c>
      <c r="G38" s="626">
        <v>-6.168703645023333E-2</v>
      </c>
    </row>
    <row r="39" spans="1:7" ht="15" customHeight="1">
      <c r="A39" s="13"/>
      <c r="B39" s="122" t="s">
        <v>217</v>
      </c>
      <c r="C39" s="627"/>
      <c r="D39" s="627"/>
      <c r="E39" s="627"/>
      <c r="F39" s="627"/>
      <c r="G39" s="628"/>
    </row>
    <row r="40" spans="1:7" ht="15" customHeight="1">
      <c r="A40" s="277">
        <v>26</v>
      </c>
      <c r="B40" s="14" t="s">
        <v>79</v>
      </c>
      <c r="C40" s="629">
        <v>0.42786597370883067</v>
      </c>
      <c r="D40" s="629">
        <v>0.39038614860592646</v>
      </c>
      <c r="E40" s="629">
        <v>0.36356398272366908</v>
      </c>
      <c r="F40" s="629">
        <v>0.36246380437126119</v>
      </c>
      <c r="G40" s="630">
        <v>0.34233655635928922</v>
      </c>
    </row>
    <row r="41" spans="1:7" ht="15" customHeight="1">
      <c r="A41" s="277">
        <v>27</v>
      </c>
      <c r="B41" s="14" t="s">
        <v>78</v>
      </c>
      <c r="C41" s="629">
        <v>0.90518325360737684</v>
      </c>
      <c r="D41" s="629">
        <v>0.91056092155928992</v>
      </c>
      <c r="E41" s="629">
        <v>0.89363887458620117</v>
      </c>
      <c r="F41" s="629">
        <v>0.86791951088615282</v>
      </c>
      <c r="G41" s="630">
        <v>0.87100707822770651</v>
      </c>
    </row>
    <row r="42" spans="1:7" ht="15" customHeight="1">
      <c r="A42" s="277">
        <v>28</v>
      </c>
      <c r="B42" s="14" t="s">
        <v>77</v>
      </c>
      <c r="C42" s="629">
        <v>2.8535495172531872E-2</v>
      </c>
      <c r="D42" s="629">
        <v>2.7597252715332154E-2</v>
      </c>
      <c r="E42" s="629">
        <v>2.7336584727608033E-2</v>
      </c>
      <c r="F42" s="629">
        <v>2.6561991023921795E-2</v>
      </c>
      <c r="G42" s="630">
        <v>2.8886941628156096E-2</v>
      </c>
    </row>
    <row r="43" spans="1:7" ht="15" customHeight="1">
      <c r="A43" s="278"/>
      <c r="B43" s="122" t="s">
        <v>258</v>
      </c>
      <c r="C43" s="627"/>
      <c r="D43" s="627"/>
      <c r="E43" s="627"/>
      <c r="F43" s="627"/>
      <c r="G43" s="628"/>
    </row>
    <row r="44" spans="1:7" ht="15">
      <c r="A44" s="277">
        <v>29</v>
      </c>
      <c r="B44" s="14" t="s">
        <v>241</v>
      </c>
      <c r="C44" s="631">
        <v>194481822.64520001</v>
      </c>
      <c r="D44" s="631">
        <v>186438338.52779999</v>
      </c>
      <c r="E44" s="631">
        <v>172669610.8348</v>
      </c>
      <c r="F44" s="631">
        <v>167752690.86499998</v>
      </c>
      <c r="G44" s="632">
        <v>164414703.24720001</v>
      </c>
    </row>
    <row r="45" spans="1:7" ht="15" customHeight="1">
      <c r="A45" s="277">
        <v>30</v>
      </c>
      <c r="B45" s="14" t="s">
        <v>253</v>
      </c>
      <c r="C45" s="633">
        <v>23166469.256092764</v>
      </c>
      <c r="D45" s="633">
        <v>20685666.231299952</v>
      </c>
      <c r="E45" s="633">
        <v>23093719.351650029</v>
      </c>
      <c r="F45" s="633">
        <v>19768803.225148078</v>
      </c>
      <c r="G45" s="634">
        <v>24265320.006339312</v>
      </c>
    </row>
    <row r="46" spans="1:7" ht="15" customHeight="1">
      <c r="A46" s="308">
        <v>31</v>
      </c>
      <c r="B46" s="309" t="s">
        <v>242</v>
      </c>
      <c r="C46" s="629">
        <v>8.3949703554438457</v>
      </c>
      <c r="D46" s="629">
        <v>9.0129240433018261</v>
      </c>
      <c r="E46" s="629">
        <v>7.4769078209336985</v>
      </c>
      <c r="F46" s="629">
        <v>8.4857281927719441</v>
      </c>
      <c r="G46" s="630">
        <v>6.77570719051909</v>
      </c>
    </row>
    <row r="47" spans="1:7" ht="15" customHeight="1">
      <c r="A47" s="308"/>
      <c r="B47" s="122" t="s">
        <v>337</v>
      </c>
      <c r="C47" s="196"/>
      <c r="D47" s="196"/>
      <c r="E47" s="196"/>
      <c r="F47" s="196"/>
      <c r="G47" s="522"/>
    </row>
    <row r="48" spans="1:7" ht="15" customHeight="1">
      <c r="A48" s="308">
        <v>32</v>
      </c>
      <c r="B48" s="309" t="s">
        <v>344</v>
      </c>
      <c r="C48" s="635">
        <v>405959156.17846334</v>
      </c>
      <c r="D48" s="635">
        <v>408975543.48831475</v>
      </c>
      <c r="E48" s="635">
        <v>410370679.37576294</v>
      </c>
      <c r="F48" s="635">
        <v>414911803.85435462</v>
      </c>
      <c r="G48" s="636">
        <v>420864835.86790001</v>
      </c>
    </row>
    <row r="49" spans="1:7" ht="15" customHeight="1">
      <c r="A49" s="308">
        <v>33</v>
      </c>
      <c r="B49" s="309" t="s">
        <v>359</v>
      </c>
      <c r="C49" s="635">
        <v>225999443.12906942</v>
      </c>
      <c r="D49" s="635">
        <v>235310460.36967027</v>
      </c>
      <c r="E49" s="635">
        <v>250047401.04660749</v>
      </c>
      <c r="F49" s="635">
        <v>255703727.10201162</v>
      </c>
      <c r="G49" s="636">
        <v>265389534.78531218</v>
      </c>
    </row>
    <row r="50" spans="1:7" ht="15.75" thickBot="1">
      <c r="A50" s="279">
        <v>34</v>
      </c>
      <c r="B50" s="124" t="s">
        <v>377</v>
      </c>
      <c r="C50" s="637">
        <v>1.7962838782156556</v>
      </c>
      <c r="D50" s="637">
        <v>1.738025342544562</v>
      </c>
      <c r="E50" s="637">
        <v>1.6411715445075634</v>
      </c>
      <c r="F50" s="637">
        <v>1.6226271261538077</v>
      </c>
      <c r="G50" s="638">
        <v>1.5858381009950531</v>
      </c>
    </row>
    <row r="51" spans="1:7">
      <c r="A51" s="16"/>
    </row>
    <row r="52" spans="1:7">
      <c r="B52" s="187"/>
    </row>
    <row r="53" spans="1:7" ht="51">
      <c r="B53" s="187" t="s">
        <v>257</v>
      </c>
    </row>
    <row r="55" spans="1:7">
      <c r="B55" s="186"/>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topLeftCell="A23" zoomScale="80" zoomScaleNormal="80" workbookViewId="0">
      <selection activeCell="C32" sqref="C32"/>
    </sheetView>
  </sheetViews>
  <sheetFormatPr defaultColWidth="8.7109375" defaultRowHeight="15"/>
  <cols>
    <col min="1" max="1" width="11.42578125" style="527" customWidth="1"/>
    <col min="2" max="2" width="76.7109375" style="612" customWidth="1"/>
    <col min="3" max="3" width="22.7109375" style="527" customWidth="1"/>
    <col min="4" max="16384" width="8.7109375" style="527"/>
  </cols>
  <sheetData>
    <row r="1" spans="1:3">
      <c r="A1" s="218" t="s">
        <v>30</v>
      </c>
      <c r="B1" s="526" t="str">
        <f>'Info '!C2</f>
        <v>VTB Bank Georgia JSC</v>
      </c>
    </row>
    <row r="2" spans="1:3">
      <c r="A2" s="218" t="s">
        <v>31</v>
      </c>
      <c r="B2" s="528">
        <f>'1. key ratios '!B2</f>
        <v>45930</v>
      </c>
    </row>
    <row r="3" spans="1:3">
      <c r="B3" s="527"/>
    </row>
    <row r="4" spans="1:3">
      <c r="A4" s="527" t="s">
        <v>295</v>
      </c>
      <c r="B4" s="527" t="s">
        <v>296</v>
      </c>
    </row>
    <row r="5" spans="1:3">
      <c r="A5" s="599" t="s">
        <v>297</v>
      </c>
      <c r="B5" s="600"/>
      <c r="C5" s="601"/>
    </row>
    <row r="6" spans="1:3">
      <c r="A6" s="604">
        <v>1</v>
      </c>
      <c r="B6" s="605" t="s">
        <v>750</v>
      </c>
      <c r="C6" s="697">
        <v>442693630.57665706</v>
      </c>
    </row>
    <row r="7" spans="1:3">
      <c r="A7" s="604">
        <v>2</v>
      </c>
      <c r="B7" s="605" t="s">
        <v>298</v>
      </c>
      <c r="C7" s="697">
        <v>-13249306.25</v>
      </c>
    </row>
    <row r="8" spans="1:3" ht="30">
      <c r="A8" s="606">
        <v>3</v>
      </c>
      <c r="B8" s="607" t="s">
        <v>299</v>
      </c>
      <c r="C8" s="698">
        <f>C7+C6</f>
        <v>429444324.32665706</v>
      </c>
    </row>
    <row r="9" spans="1:3">
      <c r="A9" s="599" t="s">
        <v>300</v>
      </c>
      <c r="B9" s="600"/>
      <c r="C9" s="699"/>
    </row>
    <row r="10" spans="1:3" ht="25.9" customHeight="1">
      <c r="A10" s="604">
        <v>4</v>
      </c>
      <c r="B10" s="608" t="s">
        <v>748</v>
      </c>
      <c r="C10" s="697">
        <v>0</v>
      </c>
    </row>
    <row r="11" spans="1:3" ht="25.9" customHeight="1">
      <c r="A11" s="604">
        <v>5</v>
      </c>
      <c r="B11" s="609" t="s">
        <v>749</v>
      </c>
      <c r="C11" s="697">
        <v>0</v>
      </c>
    </row>
    <row r="12" spans="1:3" ht="25.9" customHeight="1">
      <c r="A12" s="604">
        <v>6</v>
      </c>
      <c r="B12" s="609" t="s">
        <v>742</v>
      </c>
      <c r="C12" s="698">
        <f>'[5]15. CCR'!I34</f>
        <v>0</v>
      </c>
    </row>
    <row r="13" spans="1:3" ht="25.9" customHeight="1">
      <c r="A13" s="610">
        <v>7</v>
      </c>
      <c r="B13" s="608" t="s">
        <v>743</v>
      </c>
      <c r="C13" s="697">
        <v>0</v>
      </c>
    </row>
    <row r="14" spans="1:3" ht="25.9" customHeight="1">
      <c r="A14" s="606">
        <v>8</v>
      </c>
      <c r="B14" s="602" t="s">
        <v>301</v>
      </c>
      <c r="C14" s="698">
        <f>C12</f>
        <v>0</v>
      </c>
    </row>
    <row r="15" spans="1:3">
      <c r="A15" s="599" t="s">
        <v>302</v>
      </c>
      <c r="B15" s="600"/>
      <c r="C15" s="700"/>
    </row>
    <row r="16" spans="1:3">
      <c r="A16" s="610">
        <v>9</v>
      </c>
      <c r="B16" s="608" t="s">
        <v>303</v>
      </c>
      <c r="C16" s="697"/>
    </row>
    <row r="17" spans="1:3">
      <c r="A17" s="610">
        <v>10</v>
      </c>
      <c r="B17" s="608" t="s">
        <v>304</v>
      </c>
      <c r="C17" s="697"/>
    </row>
    <row r="18" spans="1:3">
      <c r="A18" s="610">
        <v>11</v>
      </c>
      <c r="B18" s="608" t="s">
        <v>305</v>
      </c>
      <c r="C18" s="697"/>
    </row>
    <row r="19" spans="1:3" ht="30">
      <c r="A19" s="610">
        <v>12</v>
      </c>
      <c r="B19" s="608" t="s">
        <v>306</v>
      </c>
      <c r="C19" s="697"/>
    </row>
    <row r="20" spans="1:3">
      <c r="A20" s="610">
        <v>14</v>
      </c>
      <c r="B20" s="608" t="s">
        <v>307</v>
      </c>
      <c r="C20" s="697"/>
    </row>
    <row r="21" spans="1:3">
      <c r="A21" s="610">
        <v>14</v>
      </c>
      <c r="B21" s="608" t="s">
        <v>308</v>
      </c>
      <c r="C21" s="697"/>
    </row>
    <row r="22" spans="1:3">
      <c r="A22" s="606">
        <v>15</v>
      </c>
      <c r="B22" s="602" t="s">
        <v>309</v>
      </c>
      <c r="C22" s="698">
        <f>SUM(C16:C21)</f>
        <v>0</v>
      </c>
    </row>
    <row r="23" spans="1:3">
      <c r="A23" s="599" t="s">
        <v>310</v>
      </c>
      <c r="B23" s="600"/>
      <c r="C23" s="699"/>
    </row>
    <row r="24" spans="1:3">
      <c r="A24" s="613">
        <v>16</v>
      </c>
      <c r="B24" s="609" t="s">
        <v>311</v>
      </c>
      <c r="C24" s="697"/>
    </row>
    <row r="25" spans="1:3">
      <c r="A25" s="613">
        <v>17</v>
      </c>
      <c r="B25" s="609" t="s">
        <v>312</v>
      </c>
      <c r="C25" s="697"/>
    </row>
    <row r="26" spans="1:3">
      <c r="A26" s="614">
        <v>18</v>
      </c>
      <c r="B26" s="602" t="s">
        <v>313</v>
      </c>
      <c r="C26" s="698">
        <f>C24+C25</f>
        <v>0</v>
      </c>
    </row>
    <row r="27" spans="1:3">
      <c r="A27" s="599" t="s">
        <v>314</v>
      </c>
      <c r="B27" s="600"/>
      <c r="C27" s="700"/>
    </row>
    <row r="28" spans="1:3" ht="30">
      <c r="A28" s="613">
        <v>19</v>
      </c>
      <c r="B28" s="608" t="s">
        <v>315</v>
      </c>
      <c r="C28" s="697"/>
    </row>
    <row r="29" spans="1:3">
      <c r="A29" s="613">
        <v>20</v>
      </c>
      <c r="B29" s="609" t="s">
        <v>316</v>
      </c>
      <c r="C29" s="697"/>
    </row>
    <row r="30" spans="1:3">
      <c r="A30" s="599" t="s">
        <v>747</v>
      </c>
      <c r="B30" s="600"/>
      <c r="C30" s="699"/>
    </row>
    <row r="31" spans="1:3">
      <c r="A31" s="614">
        <v>21</v>
      </c>
      <c r="B31" s="603" t="s">
        <v>317</v>
      </c>
      <c r="C31" s="698">
        <f>'1. key ratios '!C9</f>
        <v>276171189.54756331</v>
      </c>
    </row>
    <row r="32" spans="1:3">
      <c r="A32" s="614">
        <v>22</v>
      </c>
      <c r="B32" s="602" t="s">
        <v>318</v>
      </c>
      <c r="C32" s="698">
        <f>C8+C14+C22+C26</f>
        <v>429444324.32665706</v>
      </c>
    </row>
    <row r="33" spans="1:3">
      <c r="A33" s="599" t="s">
        <v>319</v>
      </c>
      <c r="B33" s="600"/>
      <c r="C33" s="699"/>
    </row>
    <row r="34" spans="1:3">
      <c r="A34" s="606">
        <v>23</v>
      </c>
      <c r="B34" s="602" t="s">
        <v>319</v>
      </c>
      <c r="C34" s="701">
        <f>IFERROR(C31/C32,0)</f>
        <v>0.6430896251349536</v>
      </c>
    </row>
    <row r="35" spans="1:3">
      <c r="A35" s="599" t="s">
        <v>320</v>
      </c>
      <c r="B35" s="600"/>
      <c r="C35" s="699"/>
    </row>
    <row r="36" spans="1:3">
      <c r="A36" s="611" t="s">
        <v>321</v>
      </c>
      <c r="B36" s="608" t="s">
        <v>322</v>
      </c>
      <c r="C36" s="702"/>
    </row>
    <row r="37" spans="1:3" ht="30">
      <c r="A37" s="611" t="s">
        <v>323</v>
      </c>
      <c r="B37" s="605" t="s">
        <v>324</v>
      </c>
      <c r="C37" s="70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C7" sqref="C7"/>
    </sheetView>
  </sheetViews>
  <sheetFormatPr defaultColWidth="8.85546875" defaultRowHeight="15"/>
  <cols>
    <col min="1" max="1" width="11.42578125" style="525" customWidth="1"/>
    <col min="2" max="2" width="76.7109375" style="243" customWidth="1"/>
    <col min="3" max="6" width="25.28515625" style="525" customWidth="1"/>
    <col min="7" max="16384" width="8.85546875" style="525"/>
  </cols>
  <sheetData>
    <row r="1" spans="1:6">
      <c r="A1" s="2" t="s">
        <v>30</v>
      </c>
      <c r="B1" s="3" t="str">
        <f>'Info '!C2</f>
        <v>VTB Bank Georgia JSC</v>
      </c>
    </row>
    <row r="2" spans="1:6">
      <c r="A2" s="2" t="s">
        <v>31</v>
      </c>
      <c r="B2" s="273">
        <f>'1. key ratios '!B2</f>
        <v>45930</v>
      </c>
    </row>
    <row r="3" spans="1:6">
      <c r="A3" s="4"/>
      <c r="B3" s="525"/>
    </row>
    <row r="4" spans="1:6">
      <c r="A4" s="594" t="s">
        <v>737</v>
      </c>
    </row>
    <row r="5" spans="1:6" ht="60">
      <c r="B5" s="595"/>
      <c r="C5" s="596" t="s">
        <v>738</v>
      </c>
      <c r="D5" s="596" t="s">
        <v>740</v>
      </c>
      <c r="E5" s="596" t="s">
        <v>739</v>
      </c>
      <c r="F5" s="596" t="s">
        <v>741</v>
      </c>
    </row>
    <row r="6" spans="1:6">
      <c r="B6" s="597" t="s">
        <v>715</v>
      </c>
      <c r="C6" s="583" t="b">
        <f>IF(C7&gt;0,C7,IF(C8&gt;0,C8,IF(C9&gt;0,C9)))</f>
        <v>0</v>
      </c>
      <c r="D6" s="583" t="b">
        <f>IF(D7&gt;0,D7,IF(D8&gt;0,D8,IF(D9&gt;0,D9)))</f>
        <v>0</v>
      </c>
      <c r="E6" s="583" t="b">
        <f>IF(E7&gt;0,E7,IF(E8&gt;0,E8,IF(E9&gt;0,E9)))</f>
        <v>0</v>
      </c>
      <c r="F6" s="583" t="b">
        <f>IF(F7&gt;0,F7,IF(F8&gt;0,F8,IF(F9&gt;0,F9)))</f>
        <v>0</v>
      </c>
    </row>
    <row r="7" spans="1:6">
      <c r="B7" s="584" t="s">
        <v>728</v>
      </c>
      <c r="C7" s="598"/>
      <c r="D7" s="598"/>
      <c r="E7" s="598"/>
      <c r="F7" s="598"/>
    </row>
    <row r="8" spans="1:6">
      <c r="B8" s="584" t="s">
        <v>729</v>
      </c>
      <c r="C8" s="598"/>
      <c r="D8" s="598"/>
      <c r="E8" s="598"/>
      <c r="F8" s="598"/>
    </row>
    <row r="9" spans="1:6">
      <c r="B9" s="584" t="s">
        <v>736</v>
      </c>
      <c r="C9" s="598"/>
      <c r="D9" s="598"/>
      <c r="E9" s="598"/>
      <c r="F9" s="59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70" zoomScaleNormal="70" workbookViewId="0">
      <pane xSplit="2" ySplit="6" topLeftCell="C31" activePane="bottomRight" state="frozen"/>
      <selection activeCell="B19" sqref="B19"/>
      <selection pane="topRight" activeCell="B19" sqref="B19"/>
      <selection pane="bottomLeft" activeCell="B19" sqref="B19"/>
      <selection pane="bottomRight" activeCell="C8" sqref="C8:G39"/>
    </sheetView>
  </sheetViews>
  <sheetFormatPr defaultRowHeight="15"/>
  <cols>
    <col min="1" max="1" width="8.7109375" style="167"/>
    <col min="2" max="2" width="82.7109375" style="280" customWidth="1"/>
    <col min="3" max="7" width="17.5703125" style="167" customWidth="1"/>
  </cols>
  <sheetData>
    <row r="1" spans="1:7">
      <c r="A1" s="167" t="s">
        <v>30</v>
      </c>
      <c r="B1" s="3" t="str">
        <f>'Info '!C2</f>
        <v>VTB Bank Georgia JSC</v>
      </c>
    </row>
    <row r="2" spans="1:7">
      <c r="A2" s="167" t="s">
        <v>31</v>
      </c>
      <c r="B2" s="273">
        <f>'1. key ratios '!B2</f>
        <v>45930</v>
      </c>
    </row>
    <row r="4" spans="1:7" ht="15.75" thickBot="1">
      <c r="A4" s="167" t="s">
        <v>376</v>
      </c>
      <c r="B4" s="281" t="s">
        <v>337</v>
      </c>
    </row>
    <row r="5" spans="1:7">
      <c r="A5" s="282"/>
      <c r="B5" s="283"/>
      <c r="C5" s="838" t="s">
        <v>338</v>
      </c>
      <c r="D5" s="838"/>
      <c r="E5" s="838"/>
      <c r="F5" s="838"/>
      <c r="G5" s="839" t="s">
        <v>339</v>
      </c>
    </row>
    <row r="6" spans="1:7">
      <c r="A6" s="284"/>
      <c r="B6" s="285"/>
      <c r="C6" s="286" t="s">
        <v>340</v>
      </c>
      <c r="D6" s="287" t="s">
        <v>341</v>
      </c>
      <c r="E6" s="287" t="s">
        <v>342</v>
      </c>
      <c r="F6" s="287" t="s">
        <v>343</v>
      </c>
      <c r="G6" s="840"/>
    </row>
    <row r="7" spans="1:7">
      <c r="A7" s="288"/>
      <c r="B7" s="289" t="s">
        <v>344</v>
      </c>
      <c r="C7" s="290"/>
      <c r="D7" s="290"/>
      <c r="E7" s="290"/>
      <c r="F7" s="290"/>
      <c r="G7" s="291"/>
    </row>
    <row r="8" spans="1:7">
      <c r="A8" s="292">
        <v>1</v>
      </c>
      <c r="B8" s="293" t="s">
        <v>345</v>
      </c>
      <c r="C8" s="703">
        <v>276171189.54756331</v>
      </c>
      <c r="D8" s="703">
        <v>0</v>
      </c>
      <c r="E8" s="703">
        <v>0</v>
      </c>
      <c r="F8" s="703">
        <v>121963695.57440001</v>
      </c>
      <c r="G8" s="704">
        <v>398134885.12196332</v>
      </c>
    </row>
    <row r="9" spans="1:7">
      <c r="A9" s="292">
        <v>2</v>
      </c>
      <c r="B9" s="294" t="s">
        <v>346</v>
      </c>
      <c r="C9" s="703">
        <v>276171189.54756331</v>
      </c>
      <c r="D9" s="703"/>
      <c r="E9" s="703"/>
      <c r="F9" s="703">
        <v>49855319.225759998</v>
      </c>
      <c r="G9" s="704">
        <v>326026508.7733233</v>
      </c>
    </row>
    <row r="10" spans="1:7">
      <c r="A10" s="292">
        <v>3</v>
      </c>
      <c r="B10" s="294" t="s">
        <v>347</v>
      </c>
      <c r="C10" s="705"/>
      <c r="D10" s="705"/>
      <c r="E10" s="705"/>
      <c r="F10" s="703">
        <v>72108376.34864001</v>
      </c>
      <c r="G10" s="704">
        <v>72108376.34864001</v>
      </c>
    </row>
    <row r="11" spans="1:7" ht="14.65" customHeight="1">
      <c r="A11" s="292">
        <v>4</v>
      </c>
      <c r="B11" s="293" t="s">
        <v>348</v>
      </c>
      <c r="C11" s="703">
        <v>3371579.25</v>
      </c>
      <c r="D11" s="703">
        <v>0</v>
      </c>
      <c r="E11" s="703">
        <v>0</v>
      </c>
      <c r="F11" s="703">
        <v>0</v>
      </c>
      <c r="G11" s="704">
        <v>3202946.2514999998</v>
      </c>
    </row>
    <row r="12" spans="1:7">
      <c r="A12" s="292">
        <v>5</v>
      </c>
      <c r="B12" s="294" t="s">
        <v>349</v>
      </c>
      <c r="C12" s="703">
        <v>3371459.17</v>
      </c>
      <c r="D12" s="706">
        <v>0</v>
      </c>
      <c r="E12" s="703">
        <v>0</v>
      </c>
      <c r="F12" s="703">
        <v>0</v>
      </c>
      <c r="G12" s="704">
        <v>3202886.2114999997</v>
      </c>
    </row>
    <row r="13" spans="1:7">
      <c r="A13" s="292">
        <v>6</v>
      </c>
      <c r="B13" s="294" t="s">
        <v>350</v>
      </c>
      <c r="C13" s="703">
        <v>120.08</v>
      </c>
      <c r="D13" s="706">
        <v>0</v>
      </c>
      <c r="E13" s="703">
        <v>0</v>
      </c>
      <c r="F13" s="703">
        <v>0</v>
      </c>
      <c r="G13" s="704">
        <v>60.04</v>
      </c>
    </row>
    <row r="14" spans="1:7">
      <c r="A14" s="292">
        <v>7</v>
      </c>
      <c r="B14" s="293" t="s">
        <v>351</v>
      </c>
      <c r="C14" s="703">
        <v>9551580.2180000022</v>
      </c>
      <c r="D14" s="703">
        <v>57602.692500000005</v>
      </c>
      <c r="E14" s="703">
        <v>20000</v>
      </c>
      <c r="F14" s="703">
        <v>0</v>
      </c>
      <c r="G14" s="704">
        <v>4621324.8050000006</v>
      </c>
    </row>
    <row r="15" spans="1:7" ht="39">
      <c r="A15" s="292">
        <v>8</v>
      </c>
      <c r="B15" s="294" t="s">
        <v>352</v>
      </c>
      <c r="C15" s="703">
        <v>9209043.7500000019</v>
      </c>
      <c r="D15" s="706">
        <v>13605.86</v>
      </c>
      <c r="E15" s="703">
        <v>20000</v>
      </c>
      <c r="F15" s="703">
        <v>0</v>
      </c>
      <c r="G15" s="704">
        <v>4621324.8050000006</v>
      </c>
    </row>
    <row r="16" spans="1:7" ht="26.25">
      <c r="A16" s="292">
        <v>9</v>
      </c>
      <c r="B16" s="294" t="s">
        <v>353</v>
      </c>
      <c r="C16" s="703">
        <v>342536.46799999999</v>
      </c>
      <c r="D16" s="706">
        <v>43996.832500000004</v>
      </c>
      <c r="E16" s="703">
        <v>0</v>
      </c>
      <c r="F16" s="703">
        <v>0</v>
      </c>
      <c r="G16" s="704">
        <v>0</v>
      </c>
    </row>
    <row r="17" spans="1:7">
      <c r="A17" s="292">
        <v>10</v>
      </c>
      <c r="B17" s="293" t="s">
        <v>354</v>
      </c>
      <c r="C17" s="703"/>
      <c r="D17" s="706"/>
      <c r="E17" s="703"/>
      <c r="F17" s="703"/>
      <c r="G17" s="704">
        <v>0</v>
      </c>
    </row>
    <row r="18" spans="1:7">
      <c r="A18" s="292">
        <v>11</v>
      </c>
      <c r="B18" s="293" t="s">
        <v>355</v>
      </c>
      <c r="C18" s="703">
        <v>17008920.533799998</v>
      </c>
      <c r="D18" s="706">
        <v>1299282.3229000003</v>
      </c>
      <c r="E18" s="703">
        <v>68.099999999999994</v>
      </c>
      <c r="F18" s="703">
        <v>405.78750000000002</v>
      </c>
      <c r="G18" s="704">
        <v>0</v>
      </c>
    </row>
    <row r="19" spans="1:7">
      <c r="A19" s="292">
        <v>12</v>
      </c>
      <c r="B19" s="294" t="s">
        <v>356</v>
      </c>
      <c r="C19" s="705"/>
      <c r="D19" s="706">
        <v>0</v>
      </c>
      <c r="E19" s="703">
        <v>0</v>
      </c>
      <c r="F19" s="703">
        <v>0</v>
      </c>
      <c r="G19" s="704">
        <v>0</v>
      </c>
    </row>
    <row r="20" spans="1:7">
      <c r="A20" s="292">
        <v>13</v>
      </c>
      <c r="B20" s="294" t="s">
        <v>357</v>
      </c>
      <c r="C20" s="703">
        <v>17008920.533799998</v>
      </c>
      <c r="D20" s="703">
        <v>1299282.3229000003</v>
      </c>
      <c r="E20" s="703">
        <v>68.099999999999994</v>
      </c>
      <c r="F20" s="703">
        <v>405.78750000000002</v>
      </c>
      <c r="G20" s="704">
        <v>0</v>
      </c>
    </row>
    <row r="21" spans="1:7">
      <c r="A21" s="295">
        <v>14</v>
      </c>
      <c r="B21" s="296" t="s">
        <v>358</v>
      </c>
      <c r="C21" s="705"/>
      <c r="D21" s="705"/>
      <c r="E21" s="705"/>
      <c r="F21" s="705"/>
      <c r="G21" s="707">
        <v>405959156.17846334</v>
      </c>
    </row>
    <row r="22" spans="1:7">
      <c r="A22" s="297"/>
      <c r="B22" s="298" t="s">
        <v>359</v>
      </c>
      <c r="C22" s="299"/>
      <c r="D22" s="300"/>
      <c r="E22" s="299"/>
      <c r="F22" s="299"/>
      <c r="G22" s="301"/>
    </row>
    <row r="23" spans="1:7">
      <c r="A23" s="292">
        <v>15</v>
      </c>
      <c r="B23" s="293" t="s">
        <v>360</v>
      </c>
      <c r="C23" s="708">
        <v>197510576.24430001</v>
      </c>
      <c r="D23" s="709">
        <v>0</v>
      </c>
      <c r="E23" s="708">
        <v>0</v>
      </c>
      <c r="F23" s="708">
        <v>0</v>
      </c>
      <c r="G23" s="704">
        <v>0</v>
      </c>
    </row>
    <row r="24" spans="1:7">
      <c r="A24" s="292">
        <v>16</v>
      </c>
      <c r="B24" s="293" t="s">
        <v>361</v>
      </c>
      <c r="C24" s="703">
        <v>0</v>
      </c>
      <c r="D24" s="706">
        <v>11598525.599383</v>
      </c>
      <c r="E24" s="703">
        <v>6148774.741326998</v>
      </c>
      <c r="F24" s="703">
        <v>38839438.63014701</v>
      </c>
      <c r="G24" s="704">
        <v>41171914.372351989</v>
      </c>
    </row>
    <row r="25" spans="1:7">
      <c r="A25" s="292">
        <v>17</v>
      </c>
      <c r="B25" s="294" t="s">
        <v>362</v>
      </c>
      <c r="C25" s="703">
        <v>0</v>
      </c>
      <c r="D25" s="706">
        <v>0</v>
      </c>
      <c r="E25" s="703">
        <v>0</v>
      </c>
      <c r="F25" s="703">
        <v>0</v>
      </c>
      <c r="G25" s="704">
        <v>0</v>
      </c>
    </row>
    <row r="26" spans="1:7" ht="26.25">
      <c r="A26" s="292">
        <v>18</v>
      </c>
      <c r="B26" s="294" t="s">
        <v>363</v>
      </c>
      <c r="C26" s="703">
        <v>0</v>
      </c>
      <c r="D26" s="706">
        <v>115260.5235</v>
      </c>
      <c r="E26" s="703">
        <v>0</v>
      </c>
      <c r="F26" s="703">
        <v>353225.39077100001</v>
      </c>
      <c r="G26" s="704">
        <v>370514.46929600002</v>
      </c>
    </row>
    <row r="27" spans="1:7">
      <c r="A27" s="292">
        <v>19</v>
      </c>
      <c r="B27" s="294" t="s">
        <v>364</v>
      </c>
      <c r="C27" s="703">
        <v>0</v>
      </c>
      <c r="D27" s="706">
        <v>11308086.134191001</v>
      </c>
      <c r="E27" s="703">
        <v>5968740.6546219978</v>
      </c>
      <c r="F27" s="703">
        <v>34846706.944283009</v>
      </c>
      <c r="G27" s="704">
        <v>38258114.297047034</v>
      </c>
    </row>
    <row r="28" spans="1:7">
      <c r="A28" s="292">
        <v>20</v>
      </c>
      <c r="B28" s="302" t="s">
        <v>365</v>
      </c>
      <c r="C28" s="703">
        <v>0</v>
      </c>
      <c r="D28" s="706">
        <v>0</v>
      </c>
      <c r="E28" s="703">
        <v>0</v>
      </c>
      <c r="F28" s="703">
        <v>0</v>
      </c>
      <c r="G28" s="704">
        <v>0</v>
      </c>
    </row>
    <row r="29" spans="1:7">
      <c r="A29" s="292">
        <v>21</v>
      </c>
      <c r="B29" s="294" t="s">
        <v>366</v>
      </c>
      <c r="C29" s="703">
        <v>0</v>
      </c>
      <c r="D29" s="706">
        <v>175178.94169200017</v>
      </c>
      <c r="E29" s="703">
        <v>180034.08670500002</v>
      </c>
      <c r="F29" s="703">
        <v>3639506.2950929985</v>
      </c>
      <c r="G29" s="704">
        <v>2543285.6060089516</v>
      </c>
    </row>
    <row r="30" spans="1:7">
      <c r="A30" s="292">
        <v>22</v>
      </c>
      <c r="B30" s="302" t="s">
        <v>365</v>
      </c>
      <c r="C30" s="703">
        <v>0</v>
      </c>
      <c r="D30" s="706">
        <v>175178.94169200017</v>
      </c>
      <c r="E30" s="703">
        <v>180034.08670500002</v>
      </c>
      <c r="F30" s="703">
        <v>3639506.2950929985</v>
      </c>
      <c r="G30" s="704">
        <v>2543285.6060089516</v>
      </c>
    </row>
    <row r="31" spans="1:7">
      <c r="A31" s="292">
        <v>23</v>
      </c>
      <c r="B31" s="294" t="s">
        <v>367</v>
      </c>
      <c r="C31" s="703">
        <v>0</v>
      </c>
      <c r="D31" s="706">
        <v>0</v>
      </c>
      <c r="E31" s="703">
        <v>0</v>
      </c>
      <c r="F31" s="703">
        <v>0</v>
      </c>
      <c r="G31" s="704">
        <v>0</v>
      </c>
    </row>
    <row r="32" spans="1:7">
      <c r="A32" s="292">
        <v>24</v>
      </c>
      <c r="B32" s="293" t="s">
        <v>368</v>
      </c>
      <c r="C32" s="703">
        <v>0</v>
      </c>
      <c r="D32" s="706">
        <v>0</v>
      </c>
      <c r="E32" s="703">
        <v>0</v>
      </c>
      <c r="F32" s="703">
        <v>0</v>
      </c>
      <c r="G32" s="704">
        <v>0</v>
      </c>
    </row>
    <row r="33" spans="1:7">
      <c r="A33" s="292">
        <v>25</v>
      </c>
      <c r="B33" s="293" t="s">
        <v>369</v>
      </c>
      <c r="C33" s="703">
        <v>181857053.40350002</v>
      </c>
      <c r="D33" s="703">
        <v>5882514.8499999996</v>
      </c>
      <c r="E33" s="703">
        <v>0</v>
      </c>
      <c r="F33" s="703">
        <v>217.96</v>
      </c>
      <c r="G33" s="704">
        <v>184798528.78850001</v>
      </c>
    </row>
    <row r="34" spans="1:7">
      <c r="A34" s="292">
        <v>26</v>
      </c>
      <c r="B34" s="294" t="s">
        <v>370</v>
      </c>
      <c r="C34" s="705"/>
      <c r="D34" s="706">
        <v>0</v>
      </c>
      <c r="E34" s="703">
        <v>0</v>
      </c>
      <c r="F34" s="703">
        <v>0</v>
      </c>
      <c r="G34" s="704">
        <v>0</v>
      </c>
    </row>
    <row r="35" spans="1:7">
      <c r="A35" s="292">
        <v>27</v>
      </c>
      <c r="B35" s="294" t="s">
        <v>371</v>
      </c>
      <c r="C35" s="703">
        <v>181857053.40350002</v>
      </c>
      <c r="D35" s="706">
        <v>5882514.8499999996</v>
      </c>
      <c r="E35" s="703">
        <v>0</v>
      </c>
      <c r="F35" s="703">
        <v>217.96</v>
      </c>
      <c r="G35" s="704">
        <v>184798528.78850001</v>
      </c>
    </row>
    <row r="36" spans="1:7">
      <c r="A36" s="292">
        <v>28</v>
      </c>
      <c r="B36" s="293" t="s">
        <v>372</v>
      </c>
      <c r="C36" s="703">
        <v>0</v>
      </c>
      <c r="D36" s="706">
        <v>0</v>
      </c>
      <c r="E36" s="703">
        <v>20000</v>
      </c>
      <c r="F36" s="703">
        <v>180000</v>
      </c>
      <c r="G36" s="704">
        <v>29000</v>
      </c>
    </row>
    <row r="37" spans="1:7">
      <c r="A37" s="295">
        <v>29</v>
      </c>
      <c r="B37" s="296" t="s">
        <v>373</v>
      </c>
      <c r="C37" s="705"/>
      <c r="D37" s="705"/>
      <c r="E37" s="705"/>
      <c r="F37" s="705"/>
      <c r="G37" s="707">
        <v>225999443.16085202</v>
      </c>
    </row>
    <row r="38" spans="1:7">
      <c r="A38" s="288"/>
      <c r="B38" s="303"/>
      <c r="C38" s="304"/>
      <c r="D38" s="304"/>
      <c r="E38" s="304"/>
      <c r="F38" s="304"/>
      <c r="G38" s="305"/>
    </row>
    <row r="39" spans="1:7" ht="15.75" thickBot="1">
      <c r="A39" s="306">
        <v>30</v>
      </c>
      <c r="B39" s="307" t="s">
        <v>374</v>
      </c>
      <c r="C39" s="710"/>
      <c r="D39" s="711"/>
      <c r="E39" s="711"/>
      <c r="F39" s="712"/>
      <c r="G39" s="713">
        <f>IFERROR(G21/G37,0)</f>
        <v>1.7962838779630419</v>
      </c>
    </row>
    <row r="42" spans="1:7" ht="39">
      <c r="B42" s="28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70" zoomScaleNormal="70" workbookViewId="0">
      <selection activeCell="C22" sqref="C22"/>
    </sheetView>
  </sheetViews>
  <sheetFormatPr defaultColWidth="9.28515625" defaultRowHeight="12.75"/>
  <cols>
    <col min="1" max="1" width="11.7109375" style="373" bestFit="1" customWidth="1"/>
    <col min="2" max="2" width="105.28515625" style="373" bestFit="1" customWidth="1"/>
    <col min="3" max="3" width="18.7109375" style="373" bestFit="1" customWidth="1"/>
    <col min="4" max="4" width="17.42578125" style="373" bestFit="1" customWidth="1"/>
    <col min="5" max="5" width="17.5703125" style="373" bestFit="1" customWidth="1"/>
    <col min="6" max="6" width="16.85546875" style="373" bestFit="1" customWidth="1"/>
    <col min="7" max="7" width="30.42578125" style="373" customWidth="1"/>
    <col min="8" max="8" width="18.28515625" style="373" bestFit="1" customWidth="1"/>
    <col min="9" max="16384" width="9.28515625" style="373"/>
  </cols>
  <sheetData>
    <row r="1" spans="1:8" ht="13.5">
      <c r="A1" s="310" t="s">
        <v>30</v>
      </c>
      <c r="B1" s="383" t="str">
        <f>'Info '!C2</f>
        <v>VTB Bank Georgia JSC</v>
      </c>
    </row>
    <row r="2" spans="1:8">
      <c r="A2" s="311" t="s">
        <v>31</v>
      </c>
      <c r="B2" s="382">
        <f>'1. key ratios '!B2</f>
        <v>45930</v>
      </c>
    </row>
    <row r="3" spans="1:8">
      <c r="A3" s="312" t="s">
        <v>380</v>
      </c>
    </row>
    <row r="5" spans="1:8" ht="12" customHeight="1">
      <c r="A5" s="841" t="s">
        <v>381</v>
      </c>
      <c r="B5" s="842"/>
      <c r="C5" s="847" t="s">
        <v>382</v>
      </c>
      <c r="D5" s="848"/>
      <c r="E5" s="848"/>
      <c r="F5" s="848"/>
      <c r="G5" s="848"/>
      <c r="H5" s="849"/>
    </row>
    <row r="6" spans="1:8">
      <c r="A6" s="843"/>
      <c r="B6" s="844"/>
      <c r="C6" s="850"/>
      <c r="D6" s="851"/>
      <c r="E6" s="851"/>
      <c r="F6" s="851"/>
      <c r="G6" s="851"/>
      <c r="H6" s="852"/>
    </row>
    <row r="7" spans="1:8">
      <c r="A7" s="845"/>
      <c r="B7" s="846"/>
      <c r="C7" s="381" t="s">
        <v>383</v>
      </c>
      <c r="D7" s="381" t="s">
        <v>384</v>
      </c>
      <c r="E7" s="381" t="s">
        <v>385</v>
      </c>
      <c r="F7" s="381" t="s">
        <v>386</v>
      </c>
      <c r="G7" s="381" t="s">
        <v>387</v>
      </c>
      <c r="H7" s="381" t="s">
        <v>64</v>
      </c>
    </row>
    <row r="8" spans="1:8">
      <c r="A8" s="377">
        <v>1</v>
      </c>
      <c r="B8" s="376" t="s">
        <v>51</v>
      </c>
      <c r="C8" s="714">
        <v>351</v>
      </c>
      <c r="D8" s="714">
        <v>0.36000000000001364</v>
      </c>
      <c r="E8" s="714">
        <v>0</v>
      </c>
      <c r="F8" s="714">
        <v>0</v>
      </c>
      <c r="G8" s="714"/>
      <c r="H8" s="714">
        <f t="shared" ref="H8:H21" si="0">SUM(C8:G8)</f>
        <v>351.36</v>
      </c>
    </row>
    <row r="9" spans="1:8">
      <c r="A9" s="377">
        <v>2</v>
      </c>
      <c r="B9" s="376" t="s">
        <v>52</v>
      </c>
      <c r="C9" s="714"/>
      <c r="D9" s="714"/>
      <c r="E9" s="714"/>
      <c r="F9" s="714"/>
      <c r="G9" s="714"/>
      <c r="H9" s="714">
        <f t="shared" si="0"/>
        <v>0</v>
      </c>
    </row>
    <row r="10" spans="1:8">
      <c r="A10" s="377">
        <v>3</v>
      </c>
      <c r="B10" s="376" t="s">
        <v>152</v>
      </c>
      <c r="C10" s="714"/>
      <c r="D10" s="714"/>
      <c r="E10" s="714"/>
      <c r="F10" s="714"/>
      <c r="G10" s="714"/>
      <c r="H10" s="714">
        <f t="shared" si="0"/>
        <v>0</v>
      </c>
    </row>
    <row r="11" spans="1:8">
      <c r="A11" s="377">
        <v>4</v>
      </c>
      <c r="B11" s="376" t="s">
        <v>53</v>
      </c>
      <c r="C11" s="714"/>
      <c r="D11" s="714"/>
      <c r="E11" s="714"/>
      <c r="F11" s="714"/>
      <c r="G11" s="714"/>
      <c r="H11" s="714">
        <f t="shared" si="0"/>
        <v>0</v>
      </c>
    </row>
    <row r="12" spans="1:8">
      <c r="A12" s="377">
        <v>5</v>
      </c>
      <c r="B12" s="376" t="s">
        <v>54</v>
      </c>
      <c r="C12" s="714"/>
      <c r="D12" s="714"/>
      <c r="E12" s="714"/>
      <c r="F12" s="714"/>
      <c r="G12" s="714"/>
      <c r="H12" s="714">
        <f t="shared" si="0"/>
        <v>0</v>
      </c>
    </row>
    <row r="13" spans="1:8">
      <c r="A13" s="377">
        <v>6</v>
      </c>
      <c r="B13" s="376" t="s">
        <v>55</v>
      </c>
      <c r="C13" s="714">
        <v>6966957.5671999995</v>
      </c>
      <c r="D13" s="714">
        <v>115260.5235</v>
      </c>
      <c r="E13" s="714">
        <v>0</v>
      </c>
      <c r="F13" s="714">
        <v>0</v>
      </c>
      <c r="G13" s="714"/>
      <c r="H13" s="714">
        <f t="shared" si="0"/>
        <v>7082218.0906999996</v>
      </c>
    </row>
    <row r="14" spans="1:8">
      <c r="A14" s="377">
        <v>7</v>
      </c>
      <c r="B14" s="376" t="s">
        <v>56</v>
      </c>
      <c r="C14" s="714">
        <v>0</v>
      </c>
      <c r="D14" s="714">
        <v>57119524.873899996</v>
      </c>
      <c r="E14" s="714">
        <v>65619348.46899993</v>
      </c>
      <c r="F14" s="714">
        <v>6610653.0837000012</v>
      </c>
      <c r="G14" s="714">
        <v>0</v>
      </c>
      <c r="H14" s="714">
        <f t="shared" si="0"/>
        <v>129349526.42659992</v>
      </c>
    </row>
    <row r="15" spans="1:8">
      <c r="A15" s="377">
        <v>8</v>
      </c>
      <c r="B15" s="378" t="s">
        <v>57</v>
      </c>
      <c r="C15" s="714">
        <v>0</v>
      </c>
      <c r="D15" s="714">
        <v>0</v>
      </c>
      <c r="E15" s="714">
        <v>0</v>
      </c>
      <c r="F15" s="714">
        <v>0</v>
      </c>
      <c r="G15" s="714">
        <v>0</v>
      </c>
      <c r="H15" s="714">
        <f t="shared" si="0"/>
        <v>0</v>
      </c>
    </row>
    <row r="16" spans="1:8">
      <c r="A16" s="377">
        <v>9</v>
      </c>
      <c r="B16" s="376" t="s">
        <v>58</v>
      </c>
      <c r="C16" s="714">
        <v>0</v>
      </c>
      <c r="D16" s="714">
        <v>21328.86</v>
      </c>
      <c r="E16" s="714">
        <v>422116.39500000002</v>
      </c>
      <c r="F16" s="714">
        <v>4167313.9994000001</v>
      </c>
      <c r="G16" s="714">
        <v>0</v>
      </c>
      <c r="H16" s="714">
        <f t="shared" si="0"/>
        <v>4610759.2544</v>
      </c>
    </row>
    <row r="17" spans="1:8">
      <c r="A17" s="377">
        <v>10</v>
      </c>
      <c r="B17" s="380" t="s">
        <v>395</v>
      </c>
      <c r="C17" s="714">
        <v>0</v>
      </c>
      <c r="D17" s="714">
        <v>28247284.27</v>
      </c>
      <c r="E17" s="714">
        <v>9295796.2070000004</v>
      </c>
      <c r="F17" s="714">
        <v>0</v>
      </c>
      <c r="G17" s="714">
        <v>0</v>
      </c>
      <c r="H17" s="714">
        <f t="shared" si="0"/>
        <v>37543080.476999998</v>
      </c>
    </row>
    <row r="18" spans="1:8">
      <c r="A18" s="377">
        <v>11</v>
      </c>
      <c r="B18" s="376" t="s">
        <v>60</v>
      </c>
      <c r="C18" s="714">
        <v>0</v>
      </c>
      <c r="D18" s="714">
        <v>0</v>
      </c>
      <c r="E18" s="714">
        <v>0</v>
      </c>
      <c r="F18" s="714">
        <v>0</v>
      </c>
      <c r="G18" s="714">
        <v>0</v>
      </c>
      <c r="H18" s="714">
        <f t="shared" si="0"/>
        <v>0</v>
      </c>
    </row>
    <row r="19" spans="1:8">
      <c r="A19" s="377">
        <v>12</v>
      </c>
      <c r="B19" s="376" t="s">
        <v>61</v>
      </c>
      <c r="C19" s="714"/>
      <c r="D19" s="714"/>
      <c r="E19" s="714"/>
      <c r="F19" s="714"/>
      <c r="G19" s="714"/>
      <c r="H19" s="714">
        <f t="shared" si="0"/>
        <v>0</v>
      </c>
    </row>
    <row r="20" spans="1:8">
      <c r="A20" s="379">
        <v>13</v>
      </c>
      <c r="B20" s="378" t="s">
        <v>144</v>
      </c>
      <c r="C20" s="714"/>
      <c r="D20" s="714"/>
      <c r="E20" s="714"/>
      <c r="F20" s="714"/>
      <c r="G20" s="714"/>
      <c r="H20" s="714">
        <f t="shared" si="0"/>
        <v>0</v>
      </c>
    </row>
    <row r="21" spans="1:8">
      <c r="A21" s="377">
        <v>14</v>
      </c>
      <c r="B21" s="376" t="s">
        <v>63</v>
      </c>
      <c r="C21" s="714">
        <v>197510226</v>
      </c>
      <c r="D21" s="714">
        <v>16238218.099312639</v>
      </c>
      <c r="E21" s="714">
        <v>270172.7324000001</v>
      </c>
      <c r="F21" s="714">
        <v>0</v>
      </c>
      <c r="G21" s="714">
        <v>86775578</v>
      </c>
      <c r="H21" s="714">
        <f t="shared" si="0"/>
        <v>300794194.8317126</v>
      </c>
    </row>
    <row r="22" spans="1:8">
      <c r="A22" s="375">
        <v>15</v>
      </c>
      <c r="B22" s="374" t="s">
        <v>64</v>
      </c>
      <c r="C22" s="714">
        <f>SUM(C18:C21)+SUM(C8:C16)</f>
        <v>204477534.56720001</v>
      </c>
      <c r="D22" s="714">
        <f t="shared" ref="D22:H22" si="1">SUM(D18:D21)+SUM(D8:D16)</f>
        <v>73494332.716712639</v>
      </c>
      <c r="E22" s="714">
        <f t="shared" si="1"/>
        <v>66311637.596399933</v>
      </c>
      <c r="F22" s="714">
        <f t="shared" si="1"/>
        <v>10777967.083100002</v>
      </c>
      <c r="G22" s="714">
        <f t="shared" si="1"/>
        <v>86775578</v>
      </c>
      <c r="H22" s="714">
        <f t="shared" si="1"/>
        <v>441837049.96341252</v>
      </c>
    </row>
    <row r="23" spans="1:8">
      <c r="H23" s="715">
        <f>H22-'13. CRME '!C22</f>
        <v>-51.363244533538818</v>
      </c>
    </row>
    <row r="26" spans="1:8" ht="25.5">
      <c r="B26" s="316"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70" zoomScaleNormal="70" workbookViewId="0">
      <selection activeCell="H24" sqref="H24"/>
    </sheetView>
  </sheetViews>
  <sheetFormatPr defaultColWidth="9.28515625" defaultRowHeight="12.75"/>
  <cols>
    <col min="1" max="1" width="11.7109375" style="384" bestFit="1" customWidth="1"/>
    <col min="2" max="2" width="86.7109375" style="373" customWidth="1"/>
    <col min="3" max="4" width="31.5703125" style="373" customWidth="1"/>
    <col min="5" max="5" width="15.140625" style="313" bestFit="1" customWidth="1"/>
    <col min="6" max="6" width="11.7109375" style="313" bestFit="1" customWidth="1"/>
    <col min="7" max="7" width="21.5703125" style="373" bestFit="1" customWidth="1"/>
    <col min="8" max="8" width="41.42578125" style="373" customWidth="1"/>
    <col min="9" max="16384" width="9.28515625" style="373"/>
  </cols>
  <sheetData>
    <row r="1" spans="1:8" ht="13.5">
      <c r="A1" s="310" t="s">
        <v>30</v>
      </c>
      <c r="B1" s="383" t="str">
        <f>'Info '!C2</f>
        <v>VTB Bank Georgia JSC</v>
      </c>
      <c r="C1" s="398"/>
      <c r="D1" s="398"/>
      <c r="E1" s="398"/>
      <c r="F1" s="398"/>
      <c r="G1" s="398"/>
      <c r="H1" s="398"/>
    </row>
    <row r="2" spans="1:8">
      <c r="A2" s="311" t="s">
        <v>31</v>
      </c>
      <c r="B2" s="382">
        <f>'1. key ratios '!B2</f>
        <v>45930</v>
      </c>
      <c r="C2" s="398"/>
      <c r="D2" s="398"/>
      <c r="E2" s="398"/>
      <c r="F2" s="398"/>
      <c r="G2" s="398"/>
      <c r="H2" s="398"/>
    </row>
    <row r="3" spans="1:8">
      <c r="A3" s="312" t="s">
        <v>388</v>
      </c>
      <c r="B3" s="398"/>
      <c r="C3" s="398"/>
      <c r="D3" s="398"/>
      <c r="E3" s="398"/>
      <c r="F3" s="398"/>
      <c r="G3" s="398"/>
      <c r="H3" s="398"/>
    </row>
    <row r="4" spans="1:8">
      <c r="A4" s="399"/>
      <c r="B4" s="398"/>
      <c r="C4" s="397" t="s">
        <v>0</v>
      </c>
      <c r="D4" s="397" t="s">
        <v>1</v>
      </c>
      <c r="E4" s="397" t="s">
        <v>2</v>
      </c>
      <c r="F4" s="397" t="s">
        <v>3</v>
      </c>
      <c r="G4" s="397" t="s">
        <v>4</v>
      </c>
      <c r="H4" s="397" t="s">
        <v>5</v>
      </c>
    </row>
    <row r="5" spans="1:8" ht="34.15" customHeight="1">
      <c r="A5" s="841" t="s">
        <v>389</v>
      </c>
      <c r="B5" s="842"/>
      <c r="C5" s="855" t="s">
        <v>390</v>
      </c>
      <c r="D5" s="855"/>
      <c r="E5" s="855" t="s">
        <v>627</v>
      </c>
      <c r="F5" s="853" t="s">
        <v>391</v>
      </c>
      <c r="G5" s="853" t="s">
        <v>392</v>
      </c>
      <c r="H5" s="395" t="s">
        <v>626</v>
      </c>
    </row>
    <row r="6" spans="1:8" ht="25.5">
      <c r="A6" s="845"/>
      <c r="B6" s="846"/>
      <c r="C6" s="396" t="s">
        <v>393</v>
      </c>
      <c r="D6" s="396" t="s">
        <v>394</v>
      </c>
      <c r="E6" s="855"/>
      <c r="F6" s="854"/>
      <c r="G6" s="854"/>
      <c r="H6" s="395" t="s">
        <v>625</v>
      </c>
    </row>
    <row r="7" spans="1:8">
      <c r="A7" s="393">
        <v>1</v>
      </c>
      <c r="B7" s="376" t="s">
        <v>51</v>
      </c>
      <c r="C7" s="716"/>
      <c r="D7" s="716">
        <v>351</v>
      </c>
      <c r="E7" s="717"/>
      <c r="F7" s="717"/>
      <c r="G7" s="716"/>
      <c r="H7" s="385">
        <f>C7+D7-E7-F7</f>
        <v>351</v>
      </c>
    </row>
    <row r="8" spans="1:8">
      <c r="A8" s="393">
        <v>2</v>
      </c>
      <c r="B8" s="376" t="s">
        <v>52</v>
      </c>
      <c r="C8" s="716"/>
      <c r="D8" s="716"/>
      <c r="E8" s="717"/>
      <c r="F8" s="717"/>
      <c r="G8" s="716"/>
      <c r="H8" s="385">
        <f t="shared" ref="H8:H20" si="0">C8+D8-E8-F8</f>
        <v>0</v>
      </c>
    </row>
    <row r="9" spans="1:8">
      <c r="A9" s="393">
        <v>3</v>
      </c>
      <c r="B9" s="376" t="s">
        <v>152</v>
      </c>
      <c r="C9" s="716"/>
      <c r="D9" s="716"/>
      <c r="E9" s="717"/>
      <c r="F9" s="717"/>
      <c r="G9" s="716"/>
      <c r="H9" s="385">
        <f t="shared" si="0"/>
        <v>0</v>
      </c>
    </row>
    <row r="10" spans="1:8">
      <c r="A10" s="393">
        <v>4</v>
      </c>
      <c r="B10" s="376" t="s">
        <v>53</v>
      </c>
      <c r="C10" s="716"/>
      <c r="D10" s="716"/>
      <c r="E10" s="717"/>
      <c r="F10" s="717"/>
      <c r="G10" s="716"/>
      <c r="H10" s="385">
        <f t="shared" si="0"/>
        <v>0</v>
      </c>
    </row>
    <row r="11" spans="1:8">
      <c r="A11" s="393">
        <v>5</v>
      </c>
      <c r="B11" s="376" t="s">
        <v>54</v>
      </c>
      <c r="C11" s="716"/>
      <c r="D11" s="716"/>
      <c r="E11" s="717"/>
      <c r="F11" s="717"/>
      <c r="G11" s="716"/>
      <c r="H11" s="385">
        <f t="shared" si="0"/>
        <v>0</v>
      </c>
    </row>
    <row r="12" spans="1:8">
      <c r="A12" s="393">
        <v>6</v>
      </c>
      <c r="B12" s="376" t="s">
        <v>55</v>
      </c>
      <c r="C12" s="716"/>
      <c r="D12" s="716">
        <v>7082412.5671999995</v>
      </c>
      <c r="E12" s="717">
        <v>143</v>
      </c>
      <c r="F12" s="717"/>
      <c r="G12" s="716"/>
      <c r="H12" s="385">
        <f t="shared" si="0"/>
        <v>7082269.5671999995</v>
      </c>
    </row>
    <row r="13" spans="1:8">
      <c r="A13" s="393">
        <v>7</v>
      </c>
      <c r="B13" s="376" t="s">
        <v>56</v>
      </c>
      <c r="C13" s="716">
        <v>86199406.802302614</v>
      </c>
      <c r="D13" s="716">
        <v>69400761.998682871</v>
      </c>
      <c r="E13" s="717">
        <v>26250642.132632948</v>
      </c>
      <c r="F13" s="717">
        <v>0</v>
      </c>
      <c r="G13" s="716">
        <v>0</v>
      </c>
      <c r="H13" s="385">
        <f t="shared" si="0"/>
        <v>129349526.66835254</v>
      </c>
    </row>
    <row r="14" spans="1:8">
      <c r="A14" s="393">
        <v>8</v>
      </c>
      <c r="B14" s="378" t="s">
        <v>57</v>
      </c>
      <c r="C14" s="716">
        <v>0</v>
      </c>
      <c r="D14" s="716">
        <v>0</v>
      </c>
      <c r="E14" s="716">
        <v>0</v>
      </c>
      <c r="F14" s="717">
        <v>0</v>
      </c>
      <c r="G14" s="716">
        <v>0</v>
      </c>
      <c r="H14" s="385">
        <f t="shared" si="0"/>
        <v>0</v>
      </c>
    </row>
    <row r="15" spans="1:8">
      <c r="A15" s="393">
        <v>9</v>
      </c>
      <c r="B15" s="376" t="s">
        <v>58</v>
      </c>
      <c r="C15" s="716">
        <v>150746.38367000001</v>
      </c>
      <c r="D15" s="716">
        <v>4518843.5771266203</v>
      </c>
      <c r="E15" s="717">
        <v>58830.763992052678</v>
      </c>
      <c r="F15" s="717">
        <v>0</v>
      </c>
      <c r="G15" s="716">
        <v>0</v>
      </c>
      <c r="H15" s="385">
        <f t="shared" si="0"/>
        <v>4610759.1968045682</v>
      </c>
    </row>
    <row r="16" spans="1:8">
      <c r="A16" s="393">
        <v>10</v>
      </c>
      <c r="B16" s="380" t="s">
        <v>395</v>
      </c>
      <c r="C16" s="716">
        <v>54536125.737166516</v>
      </c>
      <c r="D16" s="716">
        <v>0</v>
      </c>
      <c r="E16" s="717">
        <v>16993044.858108498</v>
      </c>
      <c r="F16" s="717">
        <v>0</v>
      </c>
      <c r="G16" s="716">
        <v>0</v>
      </c>
      <c r="H16" s="385">
        <f t="shared" si="0"/>
        <v>37543080.879058018</v>
      </c>
    </row>
    <row r="17" spans="1:8">
      <c r="A17" s="393">
        <v>11</v>
      </c>
      <c r="B17" s="376" t="s">
        <v>60</v>
      </c>
      <c r="C17" s="716">
        <v>0</v>
      </c>
      <c r="D17" s="716">
        <v>0</v>
      </c>
      <c r="E17" s="717">
        <v>0</v>
      </c>
      <c r="F17" s="717">
        <v>0</v>
      </c>
      <c r="G17" s="716">
        <v>0</v>
      </c>
      <c r="H17" s="385">
        <f t="shared" si="0"/>
        <v>0</v>
      </c>
    </row>
    <row r="18" spans="1:8">
      <c r="A18" s="393">
        <v>12</v>
      </c>
      <c r="B18" s="376" t="s">
        <v>61</v>
      </c>
      <c r="C18" s="716"/>
      <c r="D18" s="716"/>
      <c r="E18" s="717"/>
      <c r="F18" s="717"/>
      <c r="G18" s="716"/>
      <c r="H18" s="385">
        <f t="shared" si="0"/>
        <v>0</v>
      </c>
    </row>
    <row r="19" spans="1:8">
      <c r="A19" s="394">
        <v>13</v>
      </c>
      <c r="B19" s="378" t="s">
        <v>144</v>
      </c>
      <c r="C19" s="716"/>
      <c r="D19" s="716"/>
      <c r="E19" s="717"/>
      <c r="F19" s="717"/>
      <c r="G19" s="716"/>
      <c r="H19" s="385">
        <f t="shared" si="0"/>
        <v>0</v>
      </c>
    </row>
    <row r="20" spans="1:8">
      <c r="A20" s="393">
        <v>14</v>
      </c>
      <c r="B20" s="376" t="s">
        <v>63</v>
      </c>
      <c r="C20" s="716">
        <v>0</v>
      </c>
      <c r="D20" s="716">
        <v>301650724.0817126</v>
      </c>
      <c r="E20" s="717">
        <v>0</v>
      </c>
      <c r="F20" s="717">
        <v>0</v>
      </c>
      <c r="G20" s="716"/>
      <c r="H20" s="385">
        <f t="shared" si="0"/>
        <v>301650724.0817126</v>
      </c>
    </row>
    <row r="21" spans="1:8" s="390" customFormat="1">
      <c r="A21" s="392">
        <v>15</v>
      </c>
      <c r="B21" s="391" t="s">
        <v>64</v>
      </c>
      <c r="C21" s="718">
        <f>SUM(C7:C15)+SUM(C17:C20)</f>
        <v>86350153.185972616</v>
      </c>
      <c r="D21" s="718">
        <f t="shared" ref="D21:G21" si="1">SUM(D7:D15)+SUM(D17:D20)</f>
        <v>382653093.22472209</v>
      </c>
      <c r="E21" s="718">
        <f>SUM(E7:E15)+SUM(E17:E20)</f>
        <v>26309615.896625001</v>
      </c>
      <c r="F21" s="718">
        <f t="shared" si="1"/>
        <v>0</v>
      </c>
      <c r="G21" s="718">
        <f t="shared" si="1"/>
        <v>0</v>
      </c>
      <c r="H21" s="385">
        <f t="shared" ref="H21" si="2">SUM(H7:H15)+SUM(H17:H20)</f>
        <v>442693630.51406974</v>
      </c>
    </row>
    <row r="22" spans="1:8">
      <c r="A22" s="389">
        <v>16</v>
      </c>
      <c r="B22" s="388" t="s">
        <v>396</v>
      </c>
      <c r="C22" s="716">
        <v>86350153.185972601</v>
      </c>
      <c r="D22" s="716">
        <v>73919605.575809494</v>
      </c>
      <c r="E22" s="716">
        <v>26309472.896625005</v>
      </c>
      <c r="F22" s="717">
        <v>0</v>
      </c>
      <c r="G22" s="716"/>
      <c r="H22" s="385">
        <f>C22+D22-E22-F22</f>
        <v>133960285.8651571</v>
      </c>
    </row>
    <row r="23" spans="1:8">
      <c r="A23" s="389">
        <v>17</v>
      </c>
      <c r="B23" s="388" t="s">
        <v>397</v>
      </c>
      <c r="C23" s="386"/>
      <c r="D23" s="386"/>
      <c r="E23" s="387"/>
      <c r="F23" s="387"/>
      <c r="G23" s="386"/>
      <c r="H23" s="385">
        <f>C23+D23-E23-F23</f>
        <v>0</v>
      </c>
    </row>
    <row r="24" spans="1:8">
      <c r="H24" s="719">
        <f>H21-'2. SOFP'!E36</f>
        <v>-0.12458699941635132</v>
      </c>
    </row>
    <row r="25" spans="1:8">
      <c r="E25" s="373"/>
      <c r="F25" s="373"/>
    </row>
    <row r="26" spans="1:8" ht="42.4" customHeight="1">
      <c r="B26" s="316"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60" zoomScaleNormal="60" workbookViewId="0">
      <selection activeCell="C7" sqref="C7:G34"/>
    </sheetView>
  </sheetViews>
  <sheetFormatPr defaultColWidth="9.28515625" defaultRowHeight="12.75"/>
  <cols>
    <col min="1" max="1" width="11" style="373" bestFit="1" customWidth="1"/>
    <col min="2" max="2" width="93.42578125" style="373" customWidth="1"/>
    <col min="3" max="4" width="35" style="373" customWidth="1"/>
    <col min="5" max="5" width="15.140625" style="373" bestFit="1" customWidth="1"/>
    <col min="6" max="6" width="11.7109375" style="373" bestFit="1" customWidth="1"/>
    <col min="7" max="7" width="22" style="373" customWidth="1"/>
    <col min="8" max="8" width="19.85546875" style="373" customWidth="1"/>
    <col min="9" max="16384" width="9.28515625" style="373"/>
  </cols>
  <sheetData>
    <row r="1" spans="1:8" ht="13.5">
      <c r="A1" s="310" t="s">
        <v>30</v>
      </c>
      <c r="B1" s="383" t="str">
        <f>'Info '!C2</f>
        <v>VTB Bank Georgia JSC</v>
      </c>
      <c r="C1" s="398"/>
      <c r="D1" s="398"/>
      <c r="E1" s="398"/>
      <c r="F1" s="398"/>
      <c r="G1" s="398"/>
      <c r="H1" s="398"/>
    </row>
    <row r="2" spans="1:8">
      <c r="A2" s="311" t="s">
        <v>31</v>
      </c>
      <c r="B2" s="382">
        <f>'1. key ratios '!B2</f>
        <v>45930</v>
      </c>
      <c r="C2" s="398"/>
      <c r="D2" s="398"/>
      <c r="E2" s="398"/>
      <c r="F2" s="398"/>
      <c r="G2" s="398"/>
      <c r="H2" s="398"/>
    </row>
    <row r="3" spans="1:8">
      <c r="A3" s="312" t="s">
        <v>398</v>
      </c>
      <c r="B3" s="398"/>
      <c r="C3" s="398"/>
      <c r="D3" s="398"/>
      <c r="E3" s="398"/>
      <c r="F3" s="398"/>
      <c r="G3" s="398"/>
      <c r="H3" s="398"/>
    </row>
    <row r="4" spans="1:8">
      <c r="A4" s="399"/>
      <c r="B4" s="398"/>
      <c r="C4" s="397" t="s">
        <v>0</v>
      </c>
      <c r="D4" s="397" t="s">
        <v>1</v>
      </c>
      <c r="E4" s="397" t="s">
        <v>2</v>
      </c>
      <c r="F4" s="397" t="s">
        <v>3</v>
      </c>
      <c r="G4" s="397" t="s">
        <v>4</v>
      </c>
      <c r="H4" s="397" t="s">
        <v>5</v>
      </c>
    </row>
    <row r="5" spans="1:8" ht="41.65" customHeight="1">
      <c r="A5" s="841" t="s">
        <v>389</v>
      </c>
      <c r="B5" s="842"/>
      <c r="C5" s="855" t="s">
        <v>390</v>
      </c>
      <c r="D5" s="855"/>
      <c r="E5" s="855" t="s">
        <v>627</v>
      </c>
      <c r="F5" s="853" t="s">
        <v>391</v>
      </c>
      <c r="G5" s="853" t="s">
        <v>392</v>
      </c>
      <c r="H5" s="395" t="s">
        <v>626</v>
      </c>
    </row>
    <row r="6" spans="1:8" ht="25.5">
      <c r="A6" s="845"/>
      <c r="B6" s="846"/>
      <c r="C6" s="396" t="s">
        <v>393</v>
      </c>
      <c r="D6" s="396" t="s">
        <v>394</v>
      </c>
      <c r="E6" s="855"/>
      <c r="F6" s="854"/>
      <c r="G6" s="854"/>
      <c r="H6" s="395" t="s">
        <v>625</v>
      </c>
    </row>
    <row r="7" spans="1:8">
      <c r="A7" s="386">
        <v>1</v>
      </c>
      <c r="B7" s="404" t="s">
        <v>486</v>
      </c>
      <c r="C7" s="720"/>
      <c r="D7" s="720">
        <v>351</v>
      </c>
      <c r="E7" s="720"/>
      <c r="F7" s="720"/>
      <c r="G7" s="720"/>
      <c r="H7" s="385">
        <f t="shared" ref="H7:H34" si="0">C7+D7-E7-F7</f>
        <v>351</v>
      </c>
    </row>
    <row r="8" spans="1:8">
      <c r="A8" s="386">
        <v>2</v>
      </c>
      <c r="B8" s="404" t="s">
        <v>399</v>
      </c>
      <c r="C8" s="720">
        <v>0</v>
      </c>
      <c r="D8" s="720">
        <v>7441228.3071999997</v>
      </c>
      <c r="E8" s="720">
        <v>5733</v>
      </c>
      <c r="F8" s="720"/>
      <c r="G8" s="720"/>
      <c r="H8" s="385">
        <f t="shared" si="0"/>
        <v>7435495.3071999997</v>
      </c>
    </row>
    <row r="9" spans="1:8">
      <c r="A9" s="386">
        <v>3</v>
      </c>
      <c r="B9" s="404" t="s">
        <v>400</v>
      </c>
      <c r="C9" s="720">
        <v>0</v>
      </c>
      <c r="D9" s="720">
        <v>0</v>
      </c>
      <c r="E9" s="720">
        <v>0</v>
      </c>
      <c r="F9" s="720"/>
      <c r="G9" s="720"/>
      <c r="H9" s="385">
        <f t="shared" si="0"/>
        <v>0</v>
      </c>
    </row>
    <row r="10" spans="1:8">
      <c r="A10" s="386">
        <v>4</v>
      </c>
      <c r="B10" s="404" t="s">
        <v>487</v>
      </c>
      <c r="C10" s="720">
        <v>678468.88320000004</v>
      </c>
      <c r="D10" s="720">
        <v>0</v>
      </c>
      <c r="E10" s="720">
        <v>439465.29063120455</v>
      </c>
      <c r="F10" s="720"/>
      <c r="G10" s="720"/>
      <c r="H10" s="385">
        <f t="shared" si="0"/>
        <v>239003.59256879549</v>
      </c>
    </row>
    <row r="11" spans="1:8">
      <c r="A11" s="386">
        <v>5</v>
      </c>
      <c r="B11" s="404" t="s">
        <v>401</v>
      </c>
      <c r="C11" s="720">
        <v>716460.968016</v>
      </c>
      <c r="D11" s="720">
        <v>4051559.8236999996</v>
      </c>
      <c r="E11" s="720">
        <v>263695.60170478799</v>
      </c>
      <c r="F11" s="720"/>
      <c r="G11" s="720"/>
      <c r="H11" s="385">
        <f t="shared" si="0"/>
        <v>4504325.1900112117</v>
      </c>
    </row>
    <row r="12" spans="1:8">
      <c r="A12" s="386">
        <v>6</v>
      </c>
      <c r="B12" s="404" t="s">
        <v>402</v>
      </c>
      <c r="C12" s="720">
        <v>0</v>
      </c>
      <c r="D12" s="720">
        <v>0</v>
      </c>
      <c r="E12" s="720">
        <v>0</v>
      </c>
      <c r="F12" s="720"/>
      <c r="G12" s="720"/>
      <c r="H12" s="385">
        <f t="shared" si="0"/>
        <v>0</v>
      </c>
    </row>
    <row r="13" spans="1:8">
      <c r="A13" s="386">
        <v>7</v>
      </c>
      <c r="B13" s="404" t="s">
        <v>403</v>
      </c>
      <c r="C13" s="720">
        <v>0</v>
      </c>
      <c r="D13" s="720">
        <v>0</v>
      </c>
      <c r="E13" s="720">
        <v>0</v>
      </c>
      <c r="F13" s="720"/>
      <c r="G13" s="720"/>
      <c r="H13" s="385">
        <f t="shared" si="0"/>
        <v>0</v>
      </c>
    </row>
    <row r="14" spans="1:8">
      <c r="A14" s="386">
        <v>8</v>
      </c>
      <c r="B14" s="404" t="s">
        <v>404</v>
      </c>
      <c r="C14" s="720">
        <v>32793826.451648675</v>
      </c>
      <c r="D14" s="720">
        <v>7784795.8252940001</v>
      </c>
      <c r="E14" s="720">
        <v>8532224.0964744277</v>
      </c>
      <c r="F14" s="720"/>
      <c r="G14" s="720"/>
      <c r="H14" s="385">
        <f t="shared" si="0"/>
        <v>32046398.18046825</v>
      </c>
    </row>
    <row r="15" spans="1:8">
      <c r="A15" s="386">
        <v>9</v>
      </c>
      <c r="B15" s="404" t="s">
        <v>405</v>
      </c>
      <c r="C15" s="720">
        <v>21682458.868799999</v>
      </c>
      <c r="D15" s="720">
        <v>3131154.3818119997</v>
      </c>
      <c r="E15" s="720">
        <v>4947437.4849611558</v>
      </c>
      <c r="F15" s="720"/>
      <c r="G15" s="720"/>
      <c r="H15" s="385">
        <f t="shared" si="0"/>
        <v>19866175.765650842</v>
      </c>
    </row>
    <row r="16" spans="1:8">
      <c r="A16" s="386">
        <v>10</v>
      </c>
      <c r="B16" s="404" t="s">
        <v>406</v>
      </c>
      <c r="C16" s="720">
        <v>7899.9</v>
      </c>
      <c r="D16" s="720">
        <v>0</v>
      </c>
      <c r="E16" s="720">
        <v>7899.9</v>
      </c>
      <c r="F16" s="720"/>
      <c r="G16" s="720"/>
      <c r="H16" s="385">
        <f t="shared" si="0"/>
        <v>0</v>
      </c>
    </row>
    <row r="17" spans="1:9">
      <c r="A17" s="386">
        <v>11</v>
      </c>
      <c r="B17" s="404" t="s">
        <v>407</v>
      </c>
      <c r="C17" s="720">
        <v>0</v>
      </c>
      <c r="D17" s="720">
        <v>0</v>
      </c>
      <c r="E17" s="720">
        <v>0</v>
      </c>
      <c r="F17" s="720"/>
      <c r="G17" s="720"/>
      <c r="H17" s="385">
        <f t="shared" si="0"/>
        <v>0</v>
      </c>
    </row>
    <row r="18" spans="1:9">
      <c r="A18" s="386">
        <v>12</v>
      </c>
      <c r="B18" s="404" t="s">
        <v>408</v>
      </c>
      <c r="C18" s="720">
        <v>841931.07</v>
      </c>
      <c r="D18" s="720">
        <v>0</v>
      </c>
      <c r="E18" s="720">
        <v>841931.07</v>
      </c>
      <c r="F18" s="720"/>
      <c r="G18" s="720"/>
      <c r="H18" s="385">
        <f t="shared" si="0"/>
        <v>0</v>
      </c>
    </row>
    <row r="19" spans="1:9">
      <c r="A19" s="386">
        <v>13</v>
      </c>
      <c r="B19" s="404" t="s">
        <v>409</v>
      </c>
      <c r="C19" s="720">
        <v>0</v>
      </c>
      <c r="D19" s="720">
        <v>4268893.4656834239</v>
      </c>
      <c r="E19" s="720">
        <v>426809.41703704966</v>
      </c>
      <c r="F19" s="720"/>
      <c r="G19" s="720"/>
      <c r="H19" s="385">
        <f t="shared" si="0"/>
        <v>3842084.0486463741</v>
      </c>
    </row>
    <row r="20" spans="1:9">
      <c r="A20" s="386">
        <v>14</v>
      </c>
      <c r="B20" s="404" t="s">
        <v>410</v>
      </c>
      <c r="C20" s="720">
        <v>13371798.591594901</v>
      </c>
      <c r="D20" s="720">
        <v>26035774.838704005</v>
      </c>
      <c r="E20" s="720">
        <v>5000746.0730229253</v>
      </c>
      <c r="F20" s="720"/>
      <c r="G20" s="720"/>
      <c r="H20" s="385">
        <f t="shared" si="0"/>
        <v>34406827.357275985</v>
      </c>
    </row>
    <row r="21" spans="1:9">
      <c r="A21" s="386">
        <v>15</v>
      </c>
      <c r="B21" s="404" t="s">
        <v>411</v>
      </c>
      <c r="C21" s="720">
        <v>0</v>
      </c>
      <c r="D21" s="720">
        <v>0</v>
      </c>
      <c r="E21" s="720">
        <v>0</v>
      </c>
      <c r="F21" s="720"/>
      <c r="G21" s="720"/>
      <c r="H21" s="385">
        <f t="shared" si="0"/>
        <v>0</v>
      </c>
    </row>
    <row r="22" spans="1:9">
      <c r="A22" s="386">
        <v>16</v>
      </c>
      <c r="B22" s="404" t="s">
        <v>412</v>
      </c>
      <c r="C22" s="720">
        <v>0</v>
      </c>
      <c r="D22" s="720">
        <v>0</v>
      </c>
      <c r="E22" s="720">
        <v>0</v>
      </c>
      <c r="F22" s="720"/>
      <c r="G22" s="720"/>
      <c r="H22" s="385">
        <f t="shared" si="0"/>
        <v>0</v>
      </c>
    </row>
    <row r="23" spans="1:9">
      <c r="A23" s="386">
        <v>17</v>
      </c>
      <c r="B23" s="404" t="s">
        <v>490</v>
      </c>
      <c r="C23" s="720">
        <v>4222141.5488</v>
      </c>
      <c r="D23" s="720">
        <v>13151897.623546448</v>
      </c>
      <c r="E23" s="720">
        <v>2200189.6000786722</v>
      </c>
      <c r="F23" s="720"/>
      <c r="G23" s="720"/>
      <c r="H23" s="385">
        <f t="shared" si="0"/>
        <v>15173849.572267774</v>
      </c>
    </row>
    <row r="24" spans="1:9">
      <c r="A24" s="386">
        <v>18</v>
      </c>
      <c r="B24" s="404" t="s">
        <v>413</v>
      </c>
      <c r="C24" s="720">
        <v>0</v>
      </c>
      <c r="D24" s="720">
        <v>0</v>
      </c>
      <c r="E24" s="720">
        <v>0</v>
      </c>
      <c r="F24" s="720"/>
      <c r="G24" s="720"/>
      <c r="H24" s="385">
        <f t="shared" si="0"/>
        <v>0</v>
      </c>
    </row>
    <row r="25" spans="1:9">
      <c r="A25" s="386">
        <v>19</v>
      </c>
      <c r="B25" s="404" t="s">
        <v>414</v>
      </c>
      <c r="C25" s="720">
        <v>0</v>
      </c>
      <c r="D25" s="720">
        <v>0</v>
      </c>
      <c r="E25" s="720">
        <v>0</v>
      </c>
      <c r="F25" s="720"/>
      <c r="G25" s="720"/>
      <c r="H25" s="385">
        <f t="shared" si="0"/>
        <v>0</v>
      </c>
    </row>
    <row r="26" spans="1:9">
      <c r="A26" s="386">
        <v>20</v>
      </c>
      <c r="B26" s="404" t="s">
        <v>489</v>
      </c>
      <c r="C26" s="720">
        <v>0</v>
      </c>
      <c r="D26" s="720">
        <v>5421215.7500000009</v>
      </c>
      <c r="E26" s="720">
        <v>4496.4102567016644</v>
      </c>
      <c r="F26" s="720"/>
      <c r="G26" s="720"/>
      <c r="H26" s="385">
        <f t="shared" si="0"/>
        <v>5416719.3397432994</v>
      </c>
      <c r="I26" s="401"/>
    </row>
    <row r="27" spans="1:9">
      <c r="A27" s="386">
        <v>21</v>
      </c>
      <c r="B27" s="404" t="s">
        <v>415</v>
      </c>
      <c r="C27" s="720">
        <v>0</v>
      </c>
      <c r="D27" s="720">
        <v>0</v>
      </c>
      <c r="E27" s="720">
        <v>0</v>
      </c>
      <c r="F27" s="720"/>
      <c r="G27" s="720"/>
      <c r="H27" s="385">
        <f t="shared" si="0"/>
        <v>0</v>
      </c>
      <c r="I27" s="401"/>
    </row>
    <row r="28" spans="1:9">
      <c r="A28" s="386">
        <v>22</v>
      </c>
      <c r="B28" s="404" t="s">
        <v>416</v>
      </c>
      <c r="C28" s="720">
        <v>0</v>
      </c>
      <c r="D28" s="720">
        <v>0</v>
      </c>
      <c r="E28" s="720">
        <v>0</v>
      </c>
      <c r="F28" s="720"/>
      <c r="G28" s="720"/>
      <c r="H28" s="385">
        <f t="shared" si="0"/>
        <v>0</v>
      </c>
      <c r="I28" s="401"/>
    </row>
    <row r="29" spans="1:9">
      <c r="A29" s="386">
        <v>23</v>
      </c>
      <c r="B29" s="404" t="s">
        <v>417</v>
      </c>
      <c r="C29" s="720">
        <v>9457861.1731930301</v>
      </c>
      <c r="D29" s="720">
        <v>1595403.1431</v>
      </c>
      <c r="E29" s="720">
        <v>2940151.4422675529</v>
      </c>
      <c r="F29" s="720"/>
      <c r="G29" s="720"/>
      <c r="H29" s="385">
        <f t="shared" si="0"/>
        <v>8113112.874025478</v>
      </c>
      <c r="I29" s="401"/>
    </row>
    <row r="30" spans="1:9">
      <c r="A30" s="386">
        <v>24</v>
      </c>
      <c r="B30" s="404" t="s">
        <v>488</v>
      </c>
      <c r="C30" s="720">
        <v>1911093.1954500002</v>
      </c>
      <c r="D30" s="720">
        <v>1923549.1377000003</v>
      </c>
      <c r="E30" s="720">
        <v>347555.41410848103</v>
      </c>
      <c r="F30" s="720"/>
      <c r="G30" s="720"/>
      <c r="H30" s="385">
        <f t="shared" si="0"/>
        <v>3487086.9190415191</v>
      </c>
      <c r="I30" s="401"/>
    </row>
    <row r="31" spans="1:9">
      <c r="A31" s="386">
        <v>25</v>
      </c>
      <c r="B31" s="404" t="s">
        <v>418</v>
      </c>
      <c r="C31" s="720">
        <v>0</v>
      </c>
      <c r="D31" s="720">
        <v>0</v>
      </c>
      <c r="E31" s="720">
        <v>0</v>
      </c>
      <c r="F31" s="720"/>
      <c r="G31" s="720"/>
      <c r="H31" s="385">
        <f t="shared" si="0"/>
        <v>0</v>
      </c>
      <c r="I31" s="401"/>
    </row>
    <row r="32" spans="1:9">
      <c r="A32" s="386">
        <v>26</v>
      </c>
      <c r="B32" s="404" t="s">
        <v>485</v>
      </c>
      <c r="C32" s="720">
        <v>666212.53526999999</v>
      </c>
      <c r="D32" s="720">
        <v>6196545.8462695992</v>
      </c>
      <c r="E32" s="720">
        <v>351280.74685283075</v>
      </c>
      <c r="F32" s="720"/>
      <c r="G32" s="720"/>
      <c r="H32" s="385">
        <f t="shared" si="0"/>
        <v>6511477.6346867681</v>
      </c>
      <c r="I32" s="401"/>
    </row>
    <row r="33" spans="1:9">
      <c r="A33" s="386">
        <v>27</v>
      </c>
      <c r="B33" s="387" t="s">
        <v>419</v>
      </c>
      <c r="C33" s="720">
        <v>0</v>
      </c>
      <c r="D33" s="720">
        <f>'[5]18. Assets by Exposure classes'!D20</f>
        <v>301650724.0817126</v>
      </c>
      <c r="E33" s="720">
        <v>0</v>
      </c>
      <c r="F33" s="720"/>
      <c r="G33" s="720"/>
      <c r="H33" s="385">
        <f t="shared" si="0"/>
        <v>301650724.0817126</v>
      </c>
      <c r="I33" s="401"/>
    </row>
    <row r="34" spans="1:9">
      <c r="A34" s="386">
        <v>28</v>
      </c>
      <c r="B34" s="403" t="s">
        <v>64</v>
      </c>
      <c r="C34" s="721">
        <f t="shared" ref="C34:F34" si="1">SUM(C7:C33)</f>
        <v>86350153.185972616</v>
      </c>
      <c r="D34" s="721">
        <f t="shared" si="1"/>
        <v>382653093.22472209</v>
      </c>
      <c r="E34" s="721">
        <f t="shared" si="1"/>
        <v>26309615.547395788</v>
      </c>
      <c r="F34" s="721">
        <f t="shared" si="1"/>
        <v>0</v>
      </c>
      <c r="G34" s="721">
        <f>SUM(G7:G33)</f>
        <v>0</v>
      </c>
      <c r="H34" s="385">
        <f t="shared" si="0"/>
        <v>442693630.86329895</v>
      </c>
      <c r="I34" s="401"/>
    </row>
    <row r="35" spans="1:9">
      <c r="A35" s="401"/>
      <c r="B35" s="401"/>
      <c r="C35" s="401"/>
      <c r="D35" s="401"/>
      <c r="E35" s="401"/>
      <c r="F35" s="401"/>
      <c r="G35" s="401"/>
      <c r="H35" s="401"/>
      <c r="I35" s="401"/>
    </row>
    <row r="36" spans="1:9">
      <c r="A36" s="401"/>
      <c r="B36" s="402"/>
      <c r="C36" s="401"/>
      <c r="D36" s="401"/>
      <c r="E36" s="401"/>
      <c r="F36" s="401"/>
      <c r="G36" s="401"/>
      <c r="H36" s="401"/>
      <c r="I36" s="401"/>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C15"/>
    </sheetView>
  </sheetViews>
  <sheetFormatPr defaultColWidth="9.28515625" defaultRowHeight="12.75"/>
  <cols>
    <col min="1" max="1" width="11.7109375" style="373" bestFit="1" customWidth="1"/>
    <col min="2" max="2" width="108" style="373" bestFit="1" customWidth="1"/>
    <col min="3" max="3" width="35.5703125" style="373" customWidth="1"/>
    <col min="4" max="4" width="38.42578125" style="313" customWidth="1"/>
    <col min="5" max="16384" width="9.28515625" style="373"/>
  </cols>
  <sheetData>
    <row r="1" spans="1:4" ht="13.5">
      <c r="A1" s="310" t="s">
        <v>30</v>
      </c>
      <c r="B1" s="383" t="str">
        <f>'Info '!C2</f>
        <v>VTB Bank Georgia JSC</v>
      </c>
      <c r="D1" s="373"/>
    </row>
    <row r="2" spans="1:4">
      <c r="A2" s="311" t="s">
        <v>31</v>
      </c>
      <c r="B2" s="382">
        <f>'1. key ratios '!B2</f>
        <v>45930</v>
      </c>
      <c r="D2" s="373"/>
    </row>
    <row r="3" spans="1:4">
      <c r="A3" s="312" t="s">
        <v>420</v>
      </c>
      <c r="D3" s="373"/>
    </row>
    <row r="5" spans="1:4">
      <c r="A5" s="856" t="s">
        <v>634</v>
      </c>
      <c r="B5" s="856"/>
      <c r="C5" s="381" t="s">
        <v>437</v>
      </c>
      <c r="D5" s="381" t="s">
        <v>478</v>
      </c>
    </row>
    <row r="6" spans="1:4">
      <c r="A6" s="412">
        <v>1</v>
      </c>
      <c r="B6" s="405" t="s">
        <v>633</v>
      </c>
      <c r="C6" s="722">
        <v>23564223.283144657</v>
      </c>
      <c r="D6" s="407"/>
    </row>
    <row r="7" spans="1:4">
      <c r="A7" s="409">
        <v>2</v>
      </c>
      <c r="B7" s="405" t="s">
        <v>632</v>
      </c>
      <c r="C7" s="722">
        <f>SUM(C8:C9)</f>
        <v>2745392</v>
      </c>
      <c r="D7" s="407">
        <f>SUM(D8:D9)</f>
        <v>0</v>
      </c>
    </row>
    <row r="8" spans="1:4">
      <c r="A8" s="411">
        <v>2.1</v>
      </c>
      <c r="B8" s="410" t="s">
        <v>493</v>
      </c>
      <c r="C8" s="722"/>
      <c r="D8" s="407"/>
    </row>
    <row r="9" spans="1:4">
      <c r="A9" s="411">
        <v>2.2000000000000002</v>
      </c>
      <c r="B9" s="410" t="s">
        <v>491</v>
      </c>
      <c r="C9" s="722">
        <v>2745392</v>
      </c>
      <c r="D9" s="407"/>
    </row>
    <row r="10" spans="1:4">
      <c r="A10" s="412">
        <v>3</v>
      </c>
      <c r="B10" s="405" t="s">
        <v>631</v>
      </c>
      <c r="C10" s="722">
        <f>SUM(C11:C13)</f>
        <v>0</v>
      </c>
      <c r="D10" s="407">
        <f>SUM(D11:D13)</f>
        <v>0</v>
      </c>
    </row>
    <row r="11" spans="1:4">
      <c r="A11" s="411">
        <v>3.1</v>
      </c>
      <c r="B11" s="410" t="s">
        <v>422</v>
      </c>
      <c r="C11" s="722"/>
      <c r="D11" s="407"/>
    </row>
    <row r="12" spans="1:4">
      <c r="A12" s="411">
        <v>3.2</v>
      </c>
      <c r="B12" s="410" t="s">
        <v>630</v>
      </c>
      <c r="C12" s="722"/>
      <c r="D12" s="407"/>
    </row>
    <row r="13" spans="1:4">
      <c r="A13" s="411">
        <v>3.3</v>
      </c>
      <c r="B13" s="410" t="s">
        <v>492</v>
      </c>
      <c r="C13" s="722"/>
      <c r="D13" s="407"/>
    </row>
    <row r="14" spans="1:4">
      <c r="A14" s="409">
        <v>4</v>
      </c>
      <c r="B14" s="408" t="s">
        <v>629</v>
      </c>
      <c r="C14" s="722"/>
      <c r="D14" s="407"/>
    </row>
    <row r="15" spans="1:4">
      <c r="A15" s="406">
        <v>5</v>
      </c>
      <c r="B15" s="405" t="s">
        <v>628</v>
      </c>
      <c r="C15" s="723">
        <f>C6+C7-C10+C14</f>
        <v>26309615.283144657</v>
      </c>
      <c r="D15" s="374">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C7" sqref="C7:C18"/>
    </sheetView>
  </sheetViews>
  <sheetFormatPr defaultColWidth="9.28515625" defaultRowHeight="12.75"/>
  <cols>
    <col min="1" max="1" width="11.7109375" style="373" bestFit="1" customWidth="1"/>
    <col min="2" max="2" width="128.85546875" style="373" bestFit="1" customWidth="1"/>
    <col min="3" max="3" width="37" style="373" customWidth="1"/>
    <col min="4" max="4" width="50.5703125" style="373" customWidth="1"/>
    <col min="5" max="16384" width="9.28515625" style="373"/>
  </cols>
  <sheetData>
    <row r="1" spans="1:4" ht="13.5">
      <c r="A1" s="310" t="s">
        <v>30</v>
      </c>
      <c r="B1" s="383" t="str">
        <f>'Info '!C2</f>
        <v>VTB Bank Georgia JSC</v>
      </c>
    </row>
    <row r="2" spans="1:4">
      <c r="A2" s="311" t="s">
        <v>31</v>
      </c>
      <c r="B2" s="382">
        <f>'1. key ratios '!B2</f>
        <v>45930</v>
      </c>
    </row>
    <row r="3" spans="1:4">
      <c r="A3" s="312" t="s">
        <v>424</v>
      </c>
    </row>
    <row r="4" spans="1:4">
      <c r="A4" s="312"/>
    </row>
    <row r="5" spans="1:4" ht="15" customHeight="1">
      <c r="A5" s="857" t="s">
        <v>494</v>
      </c>
      <c r="B5" s="858"/>
      <c r="C5" s="861" t="s">
        <v>425</v>
      </c>
      <c r="D5" s="861" t="s">
        <v>426</v>
      </c>
    </row>
    <row r="6" spans="1:4">
      <c r="A6" s="859"/>
      <c r="B6" s="860"/>
      <c r="C6" s="861"/>
      <c r="D6" s="861"/>
    </row>
    <row r="7" spans="1:4">
      <c r="A7" s="415">
        <v>1</v>
      </c>
      <c r="B7" s="374" t="s">
        <v>421</v>
      </c>
      <c r="C7" s="718">
        <v>86870251.571522325</v>
      </c>
      <c r="D7" s="413"/>
    </row>
    <row r="8" spans="1:4">
      <c r="A8" s="417">
        <v>2</v>
      </c>
      <c r="B8" s="417" t="s">
        <v>427</v>
      </c>
      <c r="C8" s="716">
        <v>50195.77</v>
      </c>
      <c r="D8" s="413"/>
    </row>
    <row r="9" spans="1:4">
      <c r="A9" s="417">
        <v>3</v>
      </c>
      <c r="B9" s="418" t="s">
        <v>637</v>
      </c>
      <c r="C9" s="716">
        <v>0</v>
      </c>
      <c r="D9" s="413"/>
    </row>
    <row r="10" spans="1:4">
      <c r="A10" s="417">
        <v>4</v>
      </c>
      <c r="B10" s="417" t="s">
        <v>428</v>
      </c>
      <c r="C10" s="716">
        <f>SUM(C11:C17)</f>
        <v>570294.0344</v>
      </c>
      <c r="D10" s="413"/>
    </row>
    <row r="11" spans="1:4">
      <c r="A11" s="417">
        <v>5</v>
      </c>
      <c r="B11" s="416" t="s">
        <v>636</v>
      </c>
      <c r="C11" s="716">
        <v>0</v>
      </c>
      <c r="D11" s="413"/>
    </row>
    <row r="12" spans="1:4">
      <c r="A12" s="417">
        <v>6</v>
      </c>
      <c r="B12" s="416" t="s">
        <v>429</v>
      </c>
      <c r="C12" s="716">
        <v>570294.0344</v>
      </c>
      <c r="D12" s="413"/>
    </row>
    <row r="13" spans="1:4">
      <c r="A13" s="417">
        <v>7</v>
      </c>
      <c r="B13" s="416" t="s">
        <v>432</v>
      </c>
      <c r="C13" s="716">
        <v>0</v>
      </c>
      <c r="D13" s="413"/>
    </row>
    <row r="14" spans="1:4">
      <c r="A14" s="417">
        <v>8</v>
      </c>
      <c r="B14" s="416" t="s">
        <v>430</v>
      </c>
      <c r="C14" s="716">
        <v>0</v>
      </c>
      <c r="D14" s="417"/>
    </row>
    <row r="15" spans="1:4">
      <c r="A15" s="417">
        <v>9</v>
      </c>
      <c r="B15" s="416" t="s">
        <v>431</v>
      </c>
      <c r="C15" s="716">
        <v>0</v>
      </c>
      <c r="D15" s="417"/>
    </row>
    <row r="16" spans="1:4">
      <c r="A16" s="417">
        <v>10</v>
      </c>
      <c r="B16" s="416" t="s">
        <v>433</v>
      </c>
      <c r="C16" s="716">
        <v>0</v>
      </c>
      <c r="D16" s="417"/>
    </row>
    <row r="17" spans="1:4">
      <c r="A17" s="417">
        <v>11</v>
      </c>
      <c r="B17" s="416" t="s">
        <v>635</v>
      </c>
      <c r="C17" s="716">
        <v>0</v>
      </c>
      <c r="D17" s="413"/>
    </row>
    <row r="18" spans="1:4">
      <c r="A18" s="415">
        <v>12</v>
      </c>
      <c r="B18" s="414" t="s">
        <v>423</v>
      </c>
      <c r="C18" s="718">
        <f>C7+C8+C9-C10</f>
        <v>86350153.30712232</v>
      </c>
      <c r="D18" s="413"/>
    </row>
    <row r="21" spans="1:4">
      <c r="B21" s="310"/>
    </row>
    <row r="22" spans="1:4">
      <c r="B22" s="311"/>
    </row>
    <row r="23" spans="1:4">
      <c r="B23" s="31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60" zoomScaleNormal="60" workbookViewId="0">
      <selection activeCell="C8" sqref="C8:AA28"/>
    </sheetView>
  </sheetViews>
  <sheetFormatPr defaultColWidth="9.28515625" defaultRowHeight="12.75"/>
  <cols>
    <col min="1" max="1" width="11.7109375" style="398" bestFit="1" customWidth="1"/>
    <col min="2" max="2" width="63.85546875" style="398" customWidth="1"/>
    <col min="3" max="3" width="15.5703125" style="398" customWidth="1"/>
    <col min="4" max="18" width="22.28515625" style="398" customWidth="1"/>
    <col min="19" max="19" width="23.28515625" style="398" bestFit="1" customWidth="1"/>
    <col min="20" max="26" width="22.28515625" style="398" customWidth="1"/>
    <col min="27" max="27" width="23.28515625" style="398" bestFit="1" customWidth="1"/>
    <col min="28" max="28" width="20" style="398" customWidth="1"/>
    <col min="29" max="16384" width="9.28515625" style="398"/>
  </cols>
  <sheetData>
    <row r="1" spans="1:28" ht="13.5">
      <c r="A1" s="310" t="s">
        <v>30</v>
      </c>
      <c r="B1" s="383" t="str">
        <f>'Info '!C2</f>
        <v>VTB Bank Georgia JSC</v>
      </c>
    </row>
    <row r="2" spans="1:28">
      <c r="A2" s="311" t="s">
        <v>31</v>
      </c>
      <c r="B2" s="382">
        <f>'1. key ratios '!B2</f>
        <v>45930</v>
      </c>
      <c r="C2" s="399"/>
    </row>
    <row r="3" spans="1:28">
      <c r="A3" s="312" t="s">
        <v>434</v>
      </c>
    </row>
    <row r="5" spans="1:28" ht="15" customHeight="1">
      <c r="A5" s="863" t="s">
        <v>649</v>
      </c>
      <c r="B5" s="864"/>
      <c r="C5" s="869" t="s">
        <v>435</v>
      </c>
      <c r="D5" s="870"/>
      <c r="E5" s="870"/>
      <c r="F5" s="870"/>
      <c r="G5" s="870"/>
      <c r="H5" s="870"/>
      <c r="I5" s="870"/>
      <c r="J5" s="870"/>
      <c r="K5" s="870"/>
      <c r="L5" s="870"/>
      <c r="M5" s="870"/>
      <c r="N5" s="870"/>
      <c r="O5" s="870"/>
      <c r="P5" s="870"/>
      <c r="Q5" s="870"/>
      <c r="R5" s="870"/>
      <c r="S5" s="870"/>
      <c r="T5" s="430"/>
      <c r="U5" s="430"/>
      <c r="V5" s="430"/>
      <c r="W5" s="430"/>
      <c r="X5" s="430"/>
      <c r="Y5" s="430"/>
      <c r="Z5" s="430"/>
      <c r="AA5" s="429"/>
      <c r="AB5" s="422"/>
    </row>
    <row r="6" spans="1:28" ht="12" customHeight="1">
      <c r="A6" s="865"/>
      <c r="B6" s="866"/>
      <c r="C6" s="871" t="s">
        <v>64</v>
      </c>
      <c r="D6" s="873" t="s">
        <v>648</v>
      </c>
      <c r="E6" s="873"/>
      <c r="F6" s="873"/>
      <c r="G6" s="873"/>
      <c r="H6" s="873" t="s">
        <v>647</v>
      </c>
      <c r="I6" s="873"/>
      <c r="J6" s="873"/>
      <c r="K6" s="873"/>
      <c r="L6" s="428"/>
      <c r="M6" s="874" t="s">
        <v>646</v>
      </c>
      <c r="N6" s="874"/>
      <c r="O6" s="874"/>
      <c r="P6" s="874"/>
      <c r="Q6" s="874"/>
      <c r="R6" s="874"/>
      <c r="S6" s="854"/>
      <c r="T6" s="427"/>
      <c r="U6" s="862" t="s">
        <v>645</v>
      </c>
      <c r="V6" s="862"/>
      <c r="W6" s="862"/>
      <c r="X6" s="862"/>
      <c r="Y6" s="862"/>
      <c r="Z6" s="862"/>
      <c r="AA6" s="855"/>
      <c r="AB6" s="426"/>
    </row>
    <row r="7" spans="1:28">
      <c r="A7" s="867"/>
      <c r="B7" s="868"/>
      <c r="C7" s="872"/>
      <c r="D7" s="425"/>
      <c r="E7" s="423" t="s">
        <v>436</v>
      </c>
      <c r="F7" s="395" t="s">
        <v>643</v>
      </c>
      <c r="G7" s="397" t="s">
        <v>644</v>
      </c>
      <c r="H7" s="399"/>
      <c r="I7" s="423" t="s">
        <v>436</v>
      </c>
      <c r="J7" s="395" t="s">
        <v>643</v>
      </c>
      <c r="K7" s="397" t="s">
        <v>644</v>
      </c>
      <c r="L7" s="424"/>
      <c r="M7" s="423" t="s">
        <v>436</v>
      </c>
      <c r="N7" s="423" t="s">
        <v>643</v>
      </c>
      <c r="O7" s="423" t="s">
        <v>642</v>
      </c>
      <c r="P7" s="423" t="s">
        <v>641</v>
      </c>
      <c r="Q7" s="423" t="s">
        <v>640</v>
      </c>
      <c r="R7" s="395" t="s">
        <v>639</v>
      </c>
      <c r="S7" s="423" t="s">
        <v>638</v>
      </c>
      <c r="T7" s="424"/>
      <c r="U7" s="423" t="s">
        <v>436</v>
      </c>
      <c r="V7" s="423" t="s">
        <v>643</v>
      </c>
      <c r="W7" s="423" t="s">
        <v>642</v>
      </c>
      <c r="X7" s="423" t="s">
        <v>641</v>
      </c>
      <c r="Y7" s="423" t="s">
        <v>640</v>
      </c>
      <c r="Z7" s="395" t="s">
        <v>639</v>
      </c>
      <c r="AA7" s="423" t="s">
        <v>638</v>
      </c>
      <c r="AB7" s="422"/>
    </row>
    <row r="8" spans="1:28">
      <c r="A8" s="421">
        <v>1</v>
      </c>
      <c r="B8" s="391" t="s">
        <v>437</v>
      </c>
      <c r="C8" s="724">
        <f>SUM(C9:C14)</f>
        <v>160269758.48178211</v>
      </c>
      <c r="D8" s="724">
        <f t="shared" ref="D8:U8" si="0">SUM(D9:D14)</f>
        <v>48659468.894767597</v>
      </c>
      <c r="E8" s="724">
        <f t="shared" si="0"/>
        <v>48659468.894767597</v>
      </c>
      <c r="F8" s="724">
        <f t="shared" si="0"/>
        <v>0</v>
      </c>
      <c r="G8" s="724">
        <f t="shared" si="0"/>
        <v>0</v>
      </c>
      <c r="H8" s="724">
        <f t="shared" si="0"/>
        <v>25260136.401041873</v>
      </c>
      <c r="I8" s="724">
        <f t="shared" si="0"/>
        <v>20468803.401041873</v>
      </c>
      <c r="J8" s="724">
        <f t="shared" si="0"/>
        <v>4791333</v>
      </c>
      <c r="K8" s="724">
        <f t="shared" si="0"/>
        <v>0</v>
      </c>
      <c r="L8" s="724">
        <f t="shared" si="0"/>
        <v>86350153.185972631</v>
      </c>
      <c r="M8" s="724">
        <f t="shared" si="0"/>
        <v>31113902.769720096</v>
      </c>
      <c r="N8" s="724">
        <f t="shared" si="0"/>
        <v>700124.67908599996</v>
      </c>
      <c r="O8" s="724">
        <f t="shared" si="0"/>
        <v>2629524.6648869994</v>
      </c>
      <c r="P8" s="724">
        <f t="shared" si="0"/>
        <v>7569644.6708814669</v>
      </c>
      <c r="Q8" s="724">
        <f t="shared" si="0"/>
        <v>7978833.326682047</v>
      </c>
      <c r="R8" s="724">
        <f t="shared" si="0"/>
        <v>36358123.074716009</v>
      </c>
      <c r="S8" s="724">
        <f t="shared" si="0"/>
        <v>0</v>
      </c>
      <c r="T8" s="724">
        <f t="shared" si="0"/>
        <v>0</v>
      </c>
      <c r="U8" s="724">
        <f t="shared" si="0"/>
        <v>0</v>
      </c>
      <c r="V8" s="725"/>
      <c r="W8" s="725"/>
      <c r="X8" s="725"/>
      <c r="Y8" s="725"/>
      <c r="Z8" s="725"/>
      <c r="AA8" s="725"/>
      <c r="AB8" s="419"/>
    </row>
    <row r="9" spans="1:28">
      <c r="A9" s="386">
        <v>1.1000000000000001</v>
      </c>
      <c r="B9" s="420" t="s">
        <v>438</v>
      </c>
      <c r="C9" s="726"/>
      <c r="D9" s="716">
        <f>SUM(E9:G9)</f>
        <v>0</v>
      </c>
      <c r="E9" s="716"/>
      <c r="F9" s="716"/>
      <c r="G9" s="716"/>
      <c r="H9" s="716">
        <f>SUM(I9:K9)</f>
        <v>0</v>
      </c>
      <c r="I9" s="716"/>
      <c r="J9" s="716"/>
      <c r="K9" s="716"/>
      <c r="L9" s="716">
        <f>SUM(M9:S9)</f>
        <v>0</v>
      </c>
      <c r="M9" s="716"/>
      <c r="N9" s="716"/>
      <c r="O9" s="716"/>
      <c r="P9" s="716"/>
      <c r="Q9" s="716"/>
      <c r="R9" s="716"/>
      <c r="S9" s="725"/>
      <c r="T9" s="725"/>
      <c r="U9" s="725"/>
      <c r="V9" s="725"/>
      <c r="W9" s="725"/>
      <c r="X9" s="725"/>
      <c r="Y9" s="725"/>
      <c r="Z9" s="725"/>
      <c r="AA9" s="725"/>
      <c r="AB9" s="419"/>
    </row>
    <row r="10" spans="1:28">
      <c r="A10" s="386">
        <v>1.2</v>
      </c>
      <c r="B10" s="420" t="s">
        <v>439</v>
      </c>
      <c r="C10" s="726"/>
      <c r="D10" s="716">
        <f t="shared" ref="D10:D14" si="1">SUM(E10:G10)</f>
        <v>0</v>
      </c>
      <c r="E10" s="716"/>
      <c r="F10" s="716"/>
      <c r="G10" s="716"/>
      <c r="H10" s="716">
        <f t="shared" ref="H10:H14" si="2">SUM(I10:K10)</f>
        <v>0</v>
      </c>
      <c r="I10" s="716"/>
      <c r="J10" s="716"/>
      <c r="K10" s="716"/>
      <c r="L10" s="716">
        <f t="shared" ref="L10:L14" si="3">SUM(M10:S10)</f>
        <v>0</v>
      </c>
      <c r="M10" s="716"/>
      <c r="N10" s="716"/>
      <c r="O10" s="716"/>
      <c r="P10" s="716"/>
      <c r="Q10" s="716"/>
      <c r="R10" s="716"/>
      <c r="S10" s="725"/>
      <c r="T10" s="725"/>
      <c r="U10" s="725"/>
      <c r="V10" s="725"/>
      <c r="W10" s="725"/>
      <c r="X10" s="725"/>
      <c r="Y10" s="725"/>
      <c r="Z10" s="725"/>
      <c r="AA10" s="725"/>
      <c r="AB10" s="419"/>
    </row>
    <row r="11" spans="1:28">
      <c r="A11" s="386">
        <v>1.3</v>
      </c>
      <c r="B11" s="420" t="s">
        <v>440</v>
      </c>
      <c r="C11" s="726"/>
      <c r="D11" s="716">
        <f t="shared" si="1"/>
        <v>0</v>
      </c>
      <c r="E11" s="716"/>
      <c r="F11" s="716"/>
      <c r="G11" s="716"/>
      <c r="H11" s="716">
        <f t="shared" si="2"/>
        <v>0</v>
      </c>
      <c r="I11" s="716"/>
      <c r="J11" s="716"/>
      <c r="K11" s="716"/>
      <c r="L11" s="716">
        <f t="shared" si="3"/>
        <v>0</v>
      </c>
      <c r="M11" s="716"/>
      <c r="N11" s="716"/>
      <c r="O11" s="716"/>
      <c r="P11" s="716"/>
      <c r="Q11" s="716"/>
      <c r="R11" s="716"/>
      <c r="S11" s="725"/>
      <c r="T11" s="725"/>
      <c r="U11" s="725"/>
      <c r="V11" s="725"/>
      <c r="W11" s="725"/>
      <c r="X11" s="725"/>
      <c r="Y11" s="725"/>
      <c r="Z11" s="725"/>
      <c r="AA11" s="725"/>
      <c r="AB11" s="419"/>
    </row>
    <row r="12" spans="1:28">
      <c r="A12" s="386">
        <v>1.4</v>
      </c>
      <c r="B12" s="420" t="s">
        <v>441</v>
      </c>
      <c r="C12" s="726">
        <f>SUM(D12,H12,L12,)</f>
        <v>358815.74</v>
      </c>
      <c r="D12" s="716">
        <f t="shared" si="1"/>
        <v>358815.74</v>
      </c>
      <c r="E12" s="716">
        <v>358815.74</v>
      </c>
      <c r="F12" s="716">
        <v>0</v>
      </c>
      <c r="G12" s="716">
        <v>0</v>
      </c>
      <c r="H12" s="716">
        <f t="shared" si="2"/>
        <v>0</v>
      </c>
      <c r="I12" s="716">
        <v>0</v>
      </c>
      <c r="J12" s="716">
        <v>0</v>
      </c>
      <c r="K12" s="716">
        <v>0</v>
      </c>
      <c r="L12" s="716">
        <f t="shared" si="3"/>
        <v>0</v>
      </c>
      <c r="M12" s="716">
        <v>0</v>
      </c>
      <c r="N12" s="716">
        <v>0</v>
      </c>
      <c r="O12" s="716">
        <v>0</v>
      </c>
      <c r="P12" s="716">
        <v>0</v>
      </c>
      <c r="Q12" s="716">
        <v>0</v>
      </c>
      <c r="R12" s="716">
        <v>0</v>
      </c>
      <c r="S12" s="725">
        <v>0</v>
      </c>
      <c r="T12" s="725"/>
      <c r="U12" s="725"/>
      <c r="V12" s="725"/>
      <c r="W12" s="725"/>
      <c r="X12" s="725"/>
      <c r="Y12" s="725"/>
      <c r="Z12" s="725"/>
      <c r="AA12" s="725"/>
      <c r="AB12" s="419"/>
    </row>
    <row r="13" spans="1:28">
      <c r="A13" s="386">
        <v>1.5</v>
      </c>
      <c r="B13" s="420" t="s">
        <v>442</v>
      </c>
      <c r="C13" s="726">
        <f>SUM(D13,H13,L13,)</f>
        <v>152919260.77481249</v>
      </c>
      <c r="D13" s="716">
        <f t="shared" si="1"/>
        <v>42104107.308497995</v>
      </c>
      <c r="E13" s="716">
        <v>42104107.308497995</v>
      </c>
      <c r="F13" s="716">
        <v>0</v>
      </c>
      <c r="G13" s="716">
        <v>0</v>
      </c>
      <c r="H13" s="716">
        <f t="shared" si="2"/>
        <v>25260136.401041873</v>
      </c>
      <c r="I13" s="716">
        <v>20468803.401041873</v>
      </c>
      <c r="J13" s="725">
        <v>4791333</v>
      </c>
      <c r="K13" s="725">
        <v>0</v>
      </c>
      <c r="L13" s="716">
        <f t="shared" si="3"/>
        <v>85555017.065272629</v>
      </c>
      <c r="M13" s="716">
        <v>30822873.912980095</v>
      </c>
      <c r="N13" s="716">
        <v>679973.64867599995</v>
      </c>
      <c r="O13" s="716">
        <v>2612019.4909869996</v>
      </c>
      <c r="P13" s="716">
        <v>7269565.8303414667</v>
      </c>
      <c r="Q13" s="716">
        <v>7940488.1875720471</v>
      </c>
      <c r="R13" s="716">
        <v>36230095.994716011</v>
      </c>
      <c r="S13" s="725">
        <v>0</v>
      </c>
      <c r="T13" s="725"/>
      <c r="U13" s="725"/>
      <c r="V13" s="725"/>
      <c r="W13" s="725"/>
      <c r="X13" s="725"/>
      <c r="Y13" s="725"/>
      <c r="Z13" s="725"/>
      <c r="AA13" s="725"/>
      <c r="AB13" s="419"/>
    </row>
    <row r="14" spans="1:28">
      <c r="A14" s="386">
        <v>1.6</v>
      </c>
      <c r="B14" s="420" t="s">
        <v>443</v>
      </c>
      <c r="C14" s="726">
        <f>SUM(D14,H14,L14,)</f>
        <v>6991681.9669695999</v>
      </c>
      <c r="D14" s="716">
        <f t="shared" si="1"/>
        <v>6196545.8462696001</v>
      </c>
      <c r="E14" s="716">
        <v>6196545.8462696001</v>
      </c>
      <c r="F14" s="716">
        <v>0</v>
      </c>
      <c r="G14" s="716">
        <v>0</v>
      </c>
      <c r="H14" s="716">
        <f t="shared" si="2"/>
        <v>0</v>
      </c>
      <c r="I14" s="716">
        <v>0</v>
      </c>
      <c r="J14" s="716">
        <v>0</v>
      </c>
      <c r="K14" s="716">
        <v>0</v>
      </c>
      <c r="L14" s="716">
        <f t="shared" si="3"/>
        <v>795136.12069999985</v>
      </c>
      <c r="M14" s="716">
        <v>291028.85674000002</v>
      </c>
      <c r="N14" s="716">
        <v>20151.030409999999</v>
      </c>
      <c r="O14" s="716">
        <v>17505.173900000002</v>
      </c>
      <c r="P14" s="716">
        <v>300078.84053999995</v>
      </c>
      <c r="Q14" s="716">
        <v>38345.139110000004</v>
      </c>
      <c r="R14" s="716">
        <v>128027.08</v>
      </c>
      <c r="S14" s="725">
        <v>0</v>
      </c>
      <c r="T14" s="725"/>
      <c r="U14" s="725"/>
      <c r="V14" s="725"/>
      <c r="W14" s="725"/>
      <c r="X14" s="725"/>
      <c r="Y14" s="725"/>
      <c r="Z14" s="725"/>
      <c r="AA14" s="725"/>
      <c r="AB14" s="419"/>
    </row>
    <row r="15" spans="1:28">
      <c r="A15" s="421">
        <v>2</v>
      </c>
      <c r="B15" s="403" t="s">
        <v>444</v>
      </c>
      <c r="C15" s="724">
        <f>SUM(C16:C21)</f>
        <v>0</v>
      </c>
      <c r="D15" s="724">
        <f>SUM(D16:D21)</f>
        <v>0</v>
      </c>
      <c r="E15" s="724">
        <f t="shared" ref="E15:U15" si="4">SUM(E16:E21)</f>
        <v>0</v>
      </c>
      <c r="F15" s="724">
        <f t="shared" si="4"/>
        <v>0</v>
      </c>
      <c r="G15" s="724">
        <f t="shared" si="4"/>
        <v>0</v>
      </c>
      <c r="H15" s="724">
        <f t="shared" si="4"/>
        <v>0</v>
      </c>
      <c r="I15" s="724">
        <f t="shared" si="4"/>
        <v>0</v>
      </c>
      <c r="J15" s="724">
        <f t="shared" si="4"/>
        <v>0</v>
      </c>
      <c r="K15" s="724">
        <f t="shared" si="4"/>
        <v>0</v>
      </c>
      <c r="L15" s="724">
        <f t="shared" si="4"/>
        <v>0</v>
      </c>
      <c r="M15" s="724">
        <f t="shared" si="4"/>
        <v>0</v>
      </c>
      <c r="N15" s="724">
        <f t="shared" si="4"/>
        <v>0</v>
      </c>
      <c r="O15" s="724">
        <f t="shared" si="4"/>
        <v>0</v>
      </c>
      <c r="P15" s="724">
        <f t="shared" si="4"/>
        <v>0</v>
      </c>
      <c r="Q15" s="724">
        <f t="shared" si="4"/>
        <v>0</v>
      </c>
      <c r="R15" s="724">
        <f t="shared" si="4"/>
        <v>0</v>
      </c>
      <c r="S15" s="724">
        <f t="shared" si="4"/>
        <v>0</v>
      </c>
      <c r="T15" s="724">
        <f t="shared" si="4"/>
        <v>0</v>
      </c>
      <c r="U15" s="724">
        <f t="shared" si="4"/>
        <v>0</v>
      </c>
      <c r="V15" s="725"/>
      <c r="W15" s="725"/>
      <c r="X15" s="725"/>
      <c r="Y15" s="725"/>
      <c r="Z15" s="725"/>
      <c r="AA15" s="725"/>
      <c r="AB15" s="419"/>
    </row>
    <row r="16" spans="1:28">
      <c r="A16" s="386">
        <v>2.1</v>
      </c>
      <c r="B16" s="420" t="s">
        <v>438</v>
      </c>
      <c r="C16" s="727"/>
      <c r="D16" s="725"/>
      <c r="E16" s="725"/>
      <c r="F16" s="725"/>
      <c r="G16" s="725"/>
      <c r="H16" s="725"/>
      <c r="I16" s="725"/>
      <c r="J16" s="725"/>
      <c r="K16" s="725"/>
      <c r="L16" s="725"/>
      <c r="M16" s="725"/>
      <c r="N16" s="725"/>
      <c r="O16" s="725"/>
      <c r="P16" s="725"/>
      <c r="Q16" s="725"/>
      <c r="R16" s="725"/>
      <c r="S16" s="725"/>
      <c r="T16" s="725"/>
      <c r="U16" s="725"/>
      <c r="V16" s="725"/>
      <c r="W16" s="725"/>
      <c r="X16" s="725"/>
      <c r="Y16" s="725"/>
      <c r="Z16" s="725"/>
      <c r="AA16" s="725"/>
      <c r="AB16" s="419"/>
    </row>
    <row r="17" spans="1:28">
      <c r="A17" s="386">
        <v>2.2000000000000002</v>
      </c>
      <c r="B17" s="420" t="s">
        <v>439</v>
      </c>
      <c r="C17" s="727"/>
      <c r="D17" s="725"/>
      <c r="E17" s="725"/>
      <c r="F17" s="725"/>
      <c r="G17" s="725"/>
      <c r="H17" s="725"/>
      <c r="I17" s="725"/>
      <c r="J17" s="725"/>
      <c r="K17" s="725"/>
      <c r="L17" s="725"/>
      <c r="M17" s="725"/>
      <c r="N17" s="725"/>
      <c r="O17" s="725"/>
      <c r="P17" s="725"/>
      <c r="Q17" s="725"/>
      <c r="R17" s="725"/>
      <c r="S17" s="725"/>
      <c r="T17" s="725"/>
      <c r="U17" s="725"/>
      <c r="V17" s="725"/>
      <c r="W17" s="725"/>
      <c r="X17" s="725"/>
      <c r="Y17" s="725"/>
      <c r="Z17" s="725"/>
      <c r="AA17" s="725"/>
      <c r="AB17" s="419"/>
    </row>
    <row r="18" spans="1:28">
      <c r="A18" s="386">
        <v>2.2999999999999998</v>
      </c>
      <c r="B18" s="420" t="s">
        <v>440</v>
      </c>
      <c r="C18" s="727"/>
      <c r="D18" s="725"/>
      <c r="E18" s="725"/>
      <c r="F18" s="725"/>
      <c r="G18" s="725"/>
      <c r="H18" s="725"/>
      <c r="I18" s="725"/>
      <c r="J18" s="725"/>
      <c r="K18" s="725"/>
      <c r="L18" s="725"/>
      <c r="M18" s="725"/>
      <c r="N18" s="725"/>
      <c r="O18" s="725"/>
      <c r="P18" s="725"/>
      <c r="Q18" s="725"/>
      <c r="R18" s="725"/>
      <c r="S18" s="725"/>
      <c r="T18" s="725"/>
      <c r="U18" s="725"/>
      <c r="V18" s="725"/>
      <c r="W18" s="725"/>
      <c r="X18" s="725"/>
      <c r="Y18" s="725"/>
      <c r="Z18" s="725"/>
      <c r="AA18" s="725"/>
      <c r="AB18" s="419"/>
    </row>
    <row r="19" spans="1:28">
      <c r="A19" s="386">
        <v>2.4</v>
      </c>
      <c r="B19" s="420" t="s">
        <v>441</v>
      </c>
      <c r="C19" s="727"/>
      <c r="D19" s="725"/>
      <c r="E19" s="725"/>
      <c r="F19" s="725"/>
      <c r="G19" s="725"/>
      <c r="H19" s="725"/>
      <c r="I19" s="725"/>
      <c r="J19" s="725"/>
      <c r="K19" s="725"/>
      <c r="L19" s="725"/>
      <c r="M19" s="725"/>
      <c r="N19" s="725"/>
      <c r="O19" s="725"/>
      <c r="P19" s="725"/>
      <c r="Q19" s="725"/>
      <c r="R19" s="725"/>
      <c r="S19" s="725"/>
      <c r="T19" s="725"/>
      <c r="U19" s="725"/>
      <c r="V19" s="725"/>
      <c r="W19" s="725"/>
      <c r="X19" s="725"/>
      <c r="Y19" s="725"/>
      <c r="Z19" s="725"/>
      <c r="AA19" s="725"/>
      <c r="AB19" s="419"/>
    </row>
    <row r="20" spans="1:28">
      <c r="A20" s="386">
        <v>2.5</v>
      </c>
      <c r="B20" s="420" t="s">
        <v>442</v>
      </c>
      <c r="C20" s="727"/>
      <c r="D20" s="725"/>
      <c r="E20" s="725"/>
      <c r="F20" s="725"/>
      <c r="G20" s="725"/>
      <c r="H20" s="725"/>
      <c r="I20" s="725"/>
      <c r="J20" s="725"/>
      <c r="K20" s="725"/>
      <c r="L20" s="725"/>
      <c r="M20" s="725"/>
      <c r="N20" s="725"/>
      <c r="O20" s="725"/>
      <c r="P20" s="725"/>
      <c r="Q20" s="725"/>
      <c r="R20" s="725"/>
      <c r="S20" s="725"/>
      <c r="T20" s="725"/>
      <c r="U20" s="725"/>
      <c r="V20" s="725"/>
      <c r="W20" s="725"/>
      <c r="X20" s="725"/>
      <c r="Y20" s="725"/>
      <c r="Z20" s="725"/>
      <c r="AA20" s="725"/>
      <c r="AB20" s="419"/>
    </row>
    <row r="21" spans="1:28">
      <c r="A21" s="386">
        <v>2.6</v>
      </c>
      <c r="B21" s="420" t="s">
        <v>443</v>
      </c>
      <c r="C21" s="727"/>
      <c r="D21" s="725"/>
      <c r="E21" s="725"/>
      <c r="F21" s="725"/>
      <c r="G21" s="725"/>
      <c r="H21" s="725"/>
      <c r="I21" s="725"/>
      <c r="J21" s="725"/>
      <c r="K21" s="725"/>
      <c r="L21" s="725"/>
      <c r="M21" s="725"/>
      <c r="N21" s="725"/>
      <c r="O21" s="725"/>
      <c r="P21" s="725"/>
      <c r="Q21" s="725"/>
      <c r="R21" s="725"/>
      <c r="S21" s="725"/>
      <c r="T21" s="725"/>
      <c r="U21" s="725"/>
      <c r="V21" s="725"/>
      <c r="W21" s="725"/>
      <c r="X21" s="725"/>
      <c r="Y21" s="725"/>
      <c r="Z21" s="725"/>
      <c r="AA21" s="725"/>
      <c r="AB21" s="419"/>
    </row>
    <row r="22" spans="1:28">
      <c r="A22" s="421">
        <v>3</v>
      </c>
      <c r="B22" s="391" t="s">
        <v>484</v>
      </c>
      <c r="C22" s="724">
        <f>SUM(C23:C28)</f>
        <v>200000</v>
      </c>
      <c r="D22" s="724">
        <f>SUM(D23:D28)</f>
        <v>200000</v>
      </c>
      <c r="E22" s="724">
        <f t="shared" ref="E22:U22" si="5">SUM(E23:E28)</f>
        <v>0</v>
      </c>
      <c r="F22" s="728">
        <f t="shared" si="5"/>
        <v>0</v>
      </c>
      <c r="G22" s="724">
        <f t="shared" si="5"/>
        <v>0</v>
      </c>
      <c r="H22" s="728">
        <f t="shared" si="5"/>
        <v>0</v>
      </c>
      <c r="I22" s="728">
        <f t="shared" si="5"/>
        <v>0</v>
      </c>
      <c r="J22" s="728">
        <f t="shared" si="5"/>
        <v>0</v>
      </c>
      <c r="K22" s="728">
        <f t="shared" si="5"/>
        <v>0</v>
      </c>
      <c r="L22" s="724">
        <f t="shared" si="5"/>
        <v>0</v>
      </c>
      <c r="M22" s="728">
        <f t="shared" si="5"/>
        <v>0</v>
      </c>
      <c r="N22" s="728">
        <f t="shared" si="5"/>
        <v>0</v>
      </c>
      <c r="O22" s="728">
        <f t="shared" si="5"/>
        <v>0</v>
      </c>
      <c r="P22" s="728">
        <f t="shared" si="5"/>
        <v>0</v>
      </c>
      <c r="Q22" s="728">
        <f t="shared" si="5"/>
        <v>0</v>
      </c>
      <c r="R22" s="728">
        <f t="shared" si="5"/>
        <v>0</v>
      </c>
      <c r="S22" s="728">
        <f t="shared" si="5"/>
        <v>0</v>
      </c>
      <c r="T22" s="728">
        <f t="shared" si="5"/>
        <v>0</v>
      </c>
      <c r="U22" s="724">
        <f t="shared" si="5"/>
        <v>0</v>
      </c>
      <c r="V22" s="729"/>
      <c r="W22" s="729"/>
      <c r="X22" s="729"/>
      <c r="Y22" s="729"/>
      <c r="Z22" s="729"/>
      <c r="AA22" s="729"/>
      <c r="AB22" s="419"/>
    </row>
    <row r="23" spans="1:28">
      <c r="A23" s="386">
        <v>3.1</v>
      </c>
      <c r="B23" s="420" t="s">
        <v>438</v>
      </c>
      <c r="C23" s="730"/>
      <c r="D23" s="731"/>
      <c r="E23" s="732"/>
      <c r="F23" s="732"/>
      <c r="G23" s="732"/>
      <c r="H23" s="731"/>
      <c r="I23" s="732"/>
      <c r="J23" s="732"/>
      <c r="K23" s="732"/>
      <c r="L23" s="731"/>
      <c r="M23" s="732"/>
      <c r="N23" s="732"/>
      <c r="O23" s="732"/>
      <c r="P23" s="732"/>
      <c r="Q23" s="732"/>
      <c r="R23" s="732"/>
      <c r="S23" s="729"/>
      <c r="T23" s="733"/>
      <c r="U23" s="729"/>
      <c r="V23" s="729"/>
      <c r="W23" s="729"/>
      <c r="X23" s="729"/>
      <c r="Y23" s="729"/>
      <c r="Z23" s="729"/>
      <c r="AA23" s="729"/>
      <c r="AB23" s="419"/>
    </row>
    <row r="24" spans="1:28">
      <c r="A24" s="386">
        <v>3.2</v>
      </c>
      <c r="B24" s="420" t="s">
        <v>439</v>
      </c>
      <c r="C24" s="730"/>
      <c r="D24" s="731"/>
      <c r="E24" s="732"/>
      <c r="F24" s="732"/>
      <c r="G24" s="732"/>
      <c r="H24" s="731"/>
      <c r="I24" s="732"/>
      <c r="J24" s="732"/>
      <c r="K24" s="732"/>
      <c r="L24" s="731"/>
      <c r="M24" s="732"/>
      <c r="N24" s="732"/>
      <c r="O24" s="732"/>
      <c r="P24" s="732"/>
      <c r="Q24" s="732"/>
      <c r="R24" s="732"/>
      <c r="S24" s="729"/>
      <c r="T24" s="733"/>
      <c r="U24" s="729"/>
      <c r="V24" s="729"/>
      <c r="W24" s="729"/>
      <c r="X24" s="729"/>
      <c r="Y24" s="729"/>
      <c r="Z24" s="729"/>
      <c r="AA24" s="729"/>
      <c r="AB24" s="419"/>
    </row>
    <row r="25" spans="1:28">
      <c r="A25" s="386">
        <v>3.3</v>
      </c>
      <c r="B25" s="420" t="s">
        <v>440</v>
      </c>
      <c r="C25" s="730"/>
      <c r="D25" s="731"/>
      <c r="E25" s="732"/>
      <c r="F25" s="732"/>
      <c r="G25" s="732"/>
      <c r="H25" s="731"/>
      <c r="I25" s="732"/>
      <c r="J25" s="732"/>
      <c r="K25" s="732"/>
      <c r="L25" s="731"/>
      <c r="M25" s="732"/>
      <c r="N25" s="732"/>
      <c r="O25" s="732"/>
      <c r="P25" s="732"/>
      <c r="Q25" s="732"/>
      <c r="R25" s="732"/>
      <c r="S25" s="729"/>
      <c r="T25" s="733"/>
      <c r="U25" s="729"/>
      <c r="V25" s="729"/>
      <c r="W25" s="729"/>
      <c r="X25" s="729"/>
      <c r="Y25" s="729"/>
      <c r="Z25" s="729"/>
      <c r="AA25" s="729"/>
      <c r="AB25" s="419"/>
    </row>
    <row r="26" spans="1:28">
      <c r="A26" s="386">
        <v>3.4</v>
      </c>
      <c r="B26" s="420" t="s">
        <v>441</v>
      </c>
      <c r="C26" s="726">
        <f>SUM(D26,H26,L26,)</f>
        <v>0</v>
      </c>
      <c r="D26" s="731">
        <v>0</v>
      </c>
      <c r="E26" s="732"/>
      <c r="F26" s="732"/>
      <c r="G26" s="732"/>
      <c r="H26" s="731">
        <v>0</v>
      </c>
      <c r="I26" s="732"/>
      <c r="J26" s="732"/>
      <c r="K26" s="732"/>
      <c r="L26" s="731">
        <v>0</v>
      </c>
      <c r="M26" s="732"/>
      <c r="N26" s="732"/>
      <c r="O26" s="732"/>
      <c r="P26" s="732"/>
      <c r="Q26" s="732"/>
      <c r="R26" s="732"/>
      <c r="S26" s="729"/>
      <c r="T26" s="733"/>
      <c r="U26" s="729"/>
      <c r="V26" s="729"/>
      <c r="W26" s="729"/>
      <c r="X26" s="729"/>
      <c r="Y26" s="729"/>
      <c r="Z26" s="729"/>
      <c r="AA26" s="729"/>
      <c r="AB26" s="419"/>
    </row>
    <row r="27" spans="1:28">
      <c r="A27" s="386">
        <v>3.5</v>
      </c>
      <c r="B27" s="420" t="s">
        <v>442</v>
      </c>
      <c r="C27" s="726">
        <f>SUM(D27,H27,L27,)</f>
        <v>200000</v>
      </c>
      <c r="D27" s="734">
        <v>200000</v>
      </c>
      <c r="E27" s="732"/>
      <c r="F27" s="732"/>
      <c r="G27" s="732"/>
      <c r="H27" s="731">
        <v>0</v>
      </c>
      <c r="I27" s="732"/>
      <c r="J27" s="732"/>
      <c r="K27" s="732"/>
      <c r="L27" s="731">
        <v>0</v>
      </c>
      <c r="M27" s="732"/>
      <c r="N27" s="732"/>
      <c r="O27" s="732"/>
      <c r="P27" s="732"/>
      <c r="Q27" s="732"/>
      <c r="R27" s="732"/>
      <c r="S27" s="729"/>
      <c r="T27" s="733"/>
      <c r="U27" s="729"/>
      <c r="V27" s="729"/>
      <c r="W27" s="729"/>
      <c r="X27" s="729"/>
      <c r="Y27" s="729"/>
      <c r="Z27" s="729"/>
      <c r="AA27" s="729"/>
      <c r="AB27" s="419"/>
    </row>
    <row r="28" spans="1:28">
      <c r="A28" s="386">
        <v>3.6</v>
      </c>
      <c r="B28" s="420" t="s">
        <v>443</v>
      </c>
      <c r="C28" s="727"/>
      <c r="D28" s="733"/>
      <c r="E28" s="729"/>
      <c r="F28" s="729"/>
      <c r="G28" s="729"/>
      <c r="H28" s="733"/>
      <c r="I28" s="729"/>
      <c r="J28" s="729"/>
      <c r="K28" s="729"/>
      <c r="L28" s="733"/>
      <c r="M28" s="729"/>
      <c r="N28" s="729"/>
      <c r="O28" s="729"/>
      <c r="P28" s="729"/>
      <c r="Q28" s="729"/>
      <c r="R28" s="729"/>
      <c r="S28" s="729"/>
      <c r="T28" s="733"/>
      <c r="U28" s="729"/>
      <c r="V28" s="729"/>
      <c r="W28" s="729"/>
      <c r="X28" s="729"/>
      <c r="Y28" s="729"/>
      <c r="Z28" s="729"/>
      <c r="AA28" s="729"/>
      <c r="AB28" s="419"/>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heetViews>
  <sheetFormatPr defaultColWidth="9.28515625" defaultRowHeight="12.75"/>
  <cols>
    <col min="1" max="1" width="11.7109375" style="398" bestFit="1" customWidth="1"/>
    <col min="2" max="2" width="90.28515625" style="398" bestFit="1" customWidth="1"/>
    <col min="3" max="3" width="20.28515625" style="398" customWidth="1"/>
    <col min="4" max="4" width="22.28515625" style="398" customWidth="1"/>
    <col min="5" max="7" width="17.140625" style="398" customWidth="1"/>
    <col min="8" max="8" width="22.28515625" style="398" customWidth="1"/>
    <col min="9" max="10" width="17.140625" style="398" customWidth="1"/>
    <col min="11" max="27" width="22.28515625" style="398" customWidth="1"/>
    <col min="28" max="16384" width="9.28515625" style="398"/>
  </cols>
  <sheetData>
    <row r="1" spans="1:27" ht="13.5">
      <c r="A1" s="310" t="s">
        <v>30</v>
      </c>
      <c r="B1" s="383" t="str">
        <f>'Info '!C2</f>
        <v>VTB Bank Georgia JSC</v>
      </c>
    </row>
    <row r="2" spans="1:27">
      <c r="A2" s="311" t="s">
        <v>31</v>
      </c>
      <c r="B2" s="382">
        <f>'1. key ratios '!B2</f>
        <v>45930</v>
      </c>
    </row>
    <row r="3" spans="1:27">
      <c r="A3" s="312" t="s">
        <v>446</v>
      </c>
      <c r="C3" s="400"/>
    </row>
    <row r="4" spans="1:27" ht="13.5" thickBot="1">
      <c r="A4" s="312"/>
      <c r="B4" s="465"/>
      <c r="C4" s="400"/>
    </row>
    <row r="5" spans="1:27" s="431" customFormat="1" ht="13.5" customHeight="1">
      <c r="A5" s="875" t="s">
        <v>652</v>
      </c>
      <c r="B5" s="876"/>
      <c r="C5" s="884" t="s">
        <v>651</v>
      </c>
      <c r="D5" s="885"/>
      <c r="E5" s="885"/>
      <c r="F5" s="885"/>
      <c r="G5" s="885"/>
      <c r="H5" s="885"/>
      <c r="I5" s="885"/>
      <c r="J5" s="885"/>
      <c r="K5" s="885"/>
      <c r="L5" s="885"/>
      <c r="M5" s="885"/>
      <c r="N5" s="885"/>
      <c r="O5" s="885"/>
      <c r="P5" s="885"/>
      <c r="Q5" s="885"/>
      <c r="R5" s="885"/>
      <c r="S5" s="886"/>
      <c r="T5" s="430"/>
      <c r="U5" s="430"/>
      <c r="V5" s="430"/>
      <c r="W5" s="430"/>
      <c r="X5" s="430"/>
      <c r="Y5" s="430"/>
      <c r="Z5" s="430"/>
      <c r="AA5" s="429"/>
    </row>
    <row r="6" spans="1:27" s="431" customFormat="1" ht="12" customHeight="1">
      <c r="A6" s="877"/>
      <c r="B6" s="878"/>
      <c r="C6" s="881" t="s">
        <v>64</v>
      </c>
      <c r="D6" s="873" t="s">
        <v>648</v>
      </c>
      <c r="E6" s="873"/>
      <c r="F6" s="873"/>
      <c r="G6" s="873"/>
      <c r="H6" s="873" t="s">
        <v>647</v>
      </c>
      <c r="I6" s="873"/>
      <c r="J6" s="873"/>
      <c r="K6" s="873"/>
      <c r="L6" s="428"/>
      <c r="M6" s="874" t="s">
        <v>646</v>
      </c>
      <c r="N6" s="874"/>
      <c r="O6" s="874"/>
      <c r="P6" s="874"/>
      <c r="Q6" s="874"/>
      <c r="R6" s="874"/>
      <c r="S6" s="883"/>
      <c r="T6" s="430"/>
      <c r="U6" s="862" t="s">
        <v>645</v>
      </c>
      <c r="V6" s="862"/>
      <c r="W6" s="862"/>
      <c r="X6" s="862"/>
      <c r="Y6" s="862"/>
      <c r="Z6" s="862"/>
      <c r="AA6" s="855"/>
    </row>
    <row r="7" spans="1:27" s="431" customFormat="1" ht="25.5">
      <c r="A7" s="879"/>
      <c r="B7" s="880"/>
      <c r="C7" s="882"/>
      <c r="D7" s="425"/>
      <c r="E7" s="423" t="s">
        <v>436</v>
      </c>
      <c r="F7" s="395" t="s">
        <v>643</v>
      </c>
      <c r="G7" s="397" t="s">
        <v>644</v>
      </c>
      <c r="H7" s="464"/>
      <c r="I7" s="423" t="s">
        <v>436</v>
      </c>
      <c r="J7" s="395" t="s">
        <v>643</v>
      </c>
      <c r="K7" s="397" t="s">
        <v>644</v>
      </c>
      <c r="L7" s="424"/>
      <c r="M7" s="423" t="s">
        <v>436</v>
      </c>
      <c r="N7" s="395" t="s">
        <v>643</v>
      </c>
      <c r="O7" s="395" t="s">
        <v>642</v>
      </c>
      <c r="P7" s="395" t="s">
        <v>641</v>
      </c>
      <c r="Q7" s="395" t="s">
        <v>640</v>
      </c>
      <c r="R7" s="395" t="s">
        <v>639</v>
      </c>
      <c r="S7" s="463" t="s">
        <v>638</v>
      </c>
      <c r="T7" s="462"/>
      <c r="U7" s="423" t="s">
        <v>436</v>
      </c>
      <c r="V7" s="423" t="s">
        <v>643</v>
      </c>
      <c r="W7" s="423" t="s">
        <v>642</v>
      </c>
      <c r="X7" s="423" t="s">
        <v>641</v>
      </c>
      <c r="Y7" s="423" t="s">
        <v>640</v>
      </c>
      <c r="Z7" s="395" t="s">
        <v>639</v>
      </c>
      <c r="AA7" s="423" t="s">
        <v>638</v>
      </c>
    </row>
    <row r="8" spans="1:27">
      <c r="A8" s="461">
        <v>1</v>
      </c>
      <c r="B8" s="460" t="s">
        <v>437</v>
      </c>
      <c r="C8" s="735">
        <f t="shared" ref="C8:C15" si="0">SUM(E8:F8,I8:J8,M8:S8)</f>
        <v>160269758.76178208</v>
      </c>
      <c r="D8" s="716">
        <v>48659468.89476759</v>
      </c>
      <c r="E8" s="716">
        <v>48659468.894767597</v>
      </c>
      <c r="F8" s="716">
        <v>0</v>
      </c>
      <c r="G8" s="716">
        <v>0</v>
      </c>
      <c r="H8" s="716">
        <f>SUM(I8:K8)</f>
        <v>25260136.681041874</v>
      </c>
      <c r="I8" s="716">
        <v>20468803.401041873</v>
      </c>
      <c r="J8" s="716">
        <v>4791333.28</v>
      </c>
      <c r="K8" s="716">
        <v>0</v>
      </c>
      <c r="L8" s="716">
        <f>SUM(M8:S8)</f>
        <v>86350153.185972616</v>
      </c>
      <c r="M8" s="716">
        <v>31113902.769720096</v>
      </c>
      <c r="N8" s="716">
        <v>700124.67908599996</v>
      </c>
      <c r="O8" s="716">
        <v>2629524.6648869994</v>
      </c>
      <c r="P8" s="716">
        <v>7569644.670881466</v>
      </c>
      <c r="Q8" s="716">
        <v>7978833.3266820461</v>
      </c>
      <c r="R8" s="716">
        <v>36358123.074716009</v>
      </c>
      <c r="S8" s="725">
        <v>0</v>
      </c>
      <c r="T8" s="452"/>
      <c r="U8" s="386"/>
      <c r="V8" s="386"/>
      <c r="W8" s="386"/>
      <c r="X8" s="386"/>
      <c r="Y8" s="386"/>
      <c r="Z8" s="386"/>
      <c r="AA8" s="451"/>
    </row>
    <row r="9" spans="1:27">
      <c r="A9" s="458">
        <v>1.1000000000000001</v>
      </c>
      <c r="B9" s="459" t="s">
        <v>447</v>
      </c>
      <c r="C9" s="736">
        <f t="shared" si="0"/>
        <v>157540911.95424205</v>
      </c>
      <c r="D9" s="716">
        <v>46655243.316827595</v>
      </c>
      <c r="E9" s="716">
        <v>46655243.316827595</v>
      </c>
      <c r="F9" s="716">
        <v>0</v>
      </c>
      <c r="G9" s="716">
        <v>0</v>
      </c>
      <c r="H9" s="716">
        <f t="shared" ref="H9:H22" si="1">SUM(I9:K9)</f>
        <v>25260136.681041874</v>
      </c>
      <c r="I9" s="716">
        <v>20468803.401041873</v>
      </c>
      <c r="J9" s="716">
        <v>4791333.28</v>
      </c>
      <c r="K9" s="716">
        <v>0</v>
      </c>
      <c r="L9" s="716">
        <f t="shared" ref="L9:L22" si="2">SUM(M9:S9)</f>
        <v>85625531.956372619</v>
      </c>
      <c r="M9" s="716">
        <v>31102543.882080097</v>
      </c>
      <c r="N9" s="716">
        <v>679973.64867599995</v>
      </c>
      <c r="O9" s="716">
        <v>2612019.4909869996</v>
      </c>
      <c r="P9" s="716">
        <v>7534318.2223414667</v>
      </c>
      <c r="Q9" s="716">
        <v>7940488.1875720471</v>
      </c>
      <c r="R9" s="716">
        <v>35756188.524716005</v>
      </c>
      <c r="S9" s="725">
        <v>0</v>
      </c>
      <c r="T9" s="452"/>
      <c r="U9" s="386"/>
      <c r="V9" s="386"/>
      <c r="W9" s="386"/>
      <c r="X9" s="386"/>
      <c r="Y9" s="386"/>
      <c r="Z9" s="386"/>
      <c r="AA9" s="451"/>
    </row>
    <row r="10" spans="1:27">
      <c r="A10" s="456" t="s">
        <v>14</v>
      </c>
      <c r="B10" s="457" t="s">
        <v>448</v>
      </c>
      <c r="C10" s="736">
        <f t="shared" si="0"/>
        <v>153160177.68328941</v>
      </c>
      <c r="D10" s="716">
        <v>46567648.553223595</v>
      </c>
      <c r="E10" s="716">
        <v>46567648.553223595</v>
      </c>
      <c r="F10" s="716">
        <v>0</v>
      </c>
      <c r="G10" s="716">
        <v>0</v>
      </c>
      <c r="H10" s="716">
        <f t="shared" si="1"/>
        <v>25260136.681041874</v>
      </c>
      <c r="I10" s="716">
        <v>20468803.401041873</v>
      </c>
      <c r="J10" s="716">
        <v>4791333.28</v>
      </c>
      <c r="K10" s="716">
        <v>0</v>
      </c>
      <c r="L10" s="716">
        <f t="shared" si="2"/>
        <v>81332392.449023932</v>
      </c>
      <c r="M10" s="716">
        <v>26846856.444731425</v>
      </c>
      <c r="N10" s="716">
        <v>679973.64867599995</v>
      </c>
      <c r="O10" s="716">
        <v>2612019.4909869996</v>
      </c>
      <c r="P10" s="716">
        <v>7534318.2223414667</v>
      </c>
      <c r="Q10" s="716">
        <v>7903036.1175720394</v>
      </c>
      <c r="R10" s="716">
        <v>35756188.524716005</v>
      </c>
      <c r="S10" s="725">
        <v>0</v>
      </c>
      <c r="T10" s="452"/>
      <c r="U10" s="386"/>
      <c r="V10" s="386"/>
      <c r="W10" s="386"/>
      <c r="X10" s="386"/>
      <c r="Y10" s="386"/>
      <c r="Z10" s="386"/>
      <c r="AA10" s="451"/>
    </row>
    <row r="11" spans="1:27">
      <c r="A11" s="455" t="s">
        <v>449</v>
      </c>
      <c r="B11" s="454" t="s">
        <v>450</v>
      </c>
      <c r="C11" s="736">
        <f t="shared" si="0"/>
        <v>46250228.899632961</v>
      </c>
      <c r="D11" s="716">
        <v>16123034.400025604</v>
      </c>
      <c r="E11" s="716">
        <v>16123034.400025602</v>
      </c>
      <c r="F11" s="716">
        <v>0</v>
      </c>
      <c r="G11" s="716">
        <v>0</v>
      </c>
      <c r="H11" s="716">
        <f t="shared" si="1"/>
        <v>4013346.9656834239</v>
      </c>
      <c r="I11" s="716">
        <v>4013346.9656834239</v>
      </c>
      <c r="J11" s="716">
        <v>0</v>
      </c>
      <c r="K11" s="716">
        <v>0</v>
      </c>
      <c r="L11" s="716">
        <f t="shared" si="2"/>
        <v>26113847.533923928</v>
      </c>
      <c r="M11" s="716">
        <v>11933676.575931417</v>
      </c>
      <c r="N11" s="716">
        <v>679973.64867599995</v>
      </c>
      <c r="O11" s="716">
        <v>2612019.4909869996</v>
      </c>
      <c r="P11" s="716">
        <v>7534318.2223414667</v>
      </c>
      <c r="Q11" s="716">
        <v>2036296.2579720481</v>
      </c>
      <c r="R11" s="716">
        <v>1317563.3380160001</v>
      </c>
      <c r="S11" s="725">
        <v>0</v>
      </c>
      <c r="T11" s="452"/>
      <c r="U11" s="386"/>
      <c r="V11" s="386"/>
      <c r="W11" s="386"/>
      <c r="X11" s="386"/>
      <c r="Y11" s="386"/>
      <c r="Z11" s="386"/>
      <c r="AA11" s="451"/>
    </row>
    <row r="12" spans="1:27">
      <c r="A12" s="455" t="s">
        <v>451</v>
      </c>
      <c r="B12" s="454" t="s">
        <v>452</v>
      </c>
      <c r="C12" s="736">
        <f t="shared" si="0"/>
        <v>23798231.006406002</v>
      </c>
      <c r="D12" s="716">
        <v>8600857.6557940003</v>
      </c>
      <c r="E12" s="716">
        <v>8600857.6557940003</v>
      </c>
      <c r="F12" s="716">
        <v>0</v>
      </c>
      <c r="G12" s="716">
        <v>0</v>
      </c>
      <c r="H12" s="716">
        <f t="shared" si="1"/>
        <v>3112533.4818119998</v>
      </c>
      <c r="I12" s="716">
        <v>3112533.4818119998</v>
      </c>
      <c r="J12" s="716">
        <v>0</v>
      </c>
      <c r="K12" s="716">
        <v>0</v>
      </c>
      <c r="L12" s="716">
        <f t="shared" si="2"/>
        <v>12084839.868800001</v>
      </c>
      <c r="M12" s="716">
        <v>12084839.868800001</v>
      </c>
      <c r="N12" s="716">
        <v>0</v>
      </c>
      <c r="O12" s="716">
        <v>0</v>
      </c>
      <c r="P12" s="716">
        <v>0</v>
      </c>
      <c r="Q12" s="716">
        <v>0</v>
      </c>
      <c r="R12" s="716">
        <v>0</v>
      </c>
      <c r="S12" s="725">
        <v>0</v>
      </c>
      <c r="T12" s="452"/>
      <c r="U12" s="386"/>
      <c r="V12" s="386"/>
      <c r="W12" s="386"/>
      <c r="X12" s="386"/>
      <c r="Y12" s="386"/>
      <c r="Z12" s="386"/>
      <c r="AA12" s="451"/>
    </row>
    <row r="13" spans="1:27">
      <c r="A13" s="455" t="s">
        <v>453</v>
      </c>
      <c r="B13" s="454" t="s">
        <v>454</v>
      </c>
      <c r="C13" s="736">
        <f t="shared" si="0"/>
        <v>9884860.5386999995</v>
      </c>
      <c r="D13" s="716">
        <v>366903.20870000002</v>
      </c>
      <c r="E13" s="716">
        <v>366903.20870000002</v>
      </c>
      <c r="F13" s="716">
        <v>0</v>
      </c>
      <c r="G13" s="716">
        <v>0</v>
      </c>
      <c r="H13" s="716">
        <f t="shared" si="1"/>
        <v>191025.33</v>
      </c>
      <c r="I13" s="716">
        <v>191025.33</v>
      </c>
      <c r="J13" s="716">
        <v>0</v>
      </c>
      <c r="K13" s="716">
        <v>0</v>
      </c>
      <c r="L13" s="716">
        <f t="shared" si="2"/>
        <v>9326932</v>
      </c>
      <c r="M13" s="716">
        <v>2828340</v>
      </c>
      <c r="N13" s="716">
        <v>0</v>
      </c>
      <c r="O13" s="716">
        <v>0</v>
      </c>
      <c r="P13" s="716">
        <v>0</v>
      </c>
      <c r="Q13" s="716">
        <v>0</v>
      </c>
      <c r="R13" s="716">
        <v>6498592</v>
      </c>
      <c r="S13" s="725">
        <v>0</v>
      </c>
      <c r="T13" s="452"/>
      <c r="U13" s="386"/>
      <c r="V13" s="386"/>
      <c r="W13" s="386"/>
      <c r="X13" s="386"/>
      <c r="Y13" s="386"/>
      <c r="Z13" s="386"/>
      <c r="AA13" s="451"/>
    </row>
    <row r="14" spans="1:27">
      <c r="A14" s="455" t="s">
        <v>455</v>
      </c>
      <c r="B14" s="454" t="s">
        <v>456</v>
      </c>
      <c r="C14" s="736">
        <f t="shared" si="0"/>
        <v>73226857.238550454</v>
      </c>
      <c r="D14" s="716">
        <v>21476853.288704</v>
      </c>
      <c r="E14" s="716">
        <v>21476853.288704004</v>
      </c>
      <c r="F14" s="716">
        <v>0</v>
      </c>
      <c r="G14" s="716">
        <v>0</v>
      </c>
      <c r="H14" s="716">
        <f t="shared" si="1"/>
        <v>17943230.903546449</v>
      </c>
      <c r="I14" s="716">
        <v>13151897.623546448</v>
      </c>
      <c r="J14" s="716">
        <v>4791333.28</v>
      </c>
      <c r="K14" s="716">
        <v>0</v>
      </c>
      <c r="L14" s="716">
        <f t="shared" si="2"/>
        <v>33806773.046299994</v>
      </c>
      <c r="M14" s="716">
        <v>0</v>
      </c>
      <c r="N14" s="716">
        <v>0</v>
      </c>
      <c r="O14" s="716">
        <v>0</v>
      </c>
      <c r="P14" s="716">
        <v>0</v>
      </c>
      <c r="Q14" s="716">
        <v>5866739.8595999926</v>
      </c>
      <c r="R14" s="716">
        <v>27940033.186700001</v>
      </c>
      <c r="S14" s="725">
        <v>0</v>
      </c>
      <c r="T14" s="452"/>
      <c r="U14" s="386"/>
      <c r="V14" s="386"/>
      <c r="W14" s="386"/>
      <c r="X14" s="386"/>
      <c r="Y14" s="386"/>
      <c r="Z14" s="386"/>
      <c r="AA14" s="451"/>
    </row>
    <row r="15" spans="1:27">
      <c r="A15" s="453">
        <v>1.2</v>
      </c>
      <c r="B15" s="449" t="s">
        <v>650</v>
      </c>
      <c r="C15" s="736">
        <f t="shared" si="0"/>
        <v>25583599.484704837</v>
      </c>
      <c r="D15" s="716">
        <v>323702.55192688195</v>
      </c>
      <c r="E15" s="716">
        <v>323702.55192688195</v>
      </c>
      <c r="F15" s="716">
        <v>0</v>
      </c>
      <c r="G15" s="716">
        <v>0</v>
      </c>
      <c r="H15" s="716">
        <f t="shared" si="1"/>
        <v>2953633.8189190729</v>
      </c>
      <c r="I15" s="716">
        <v>1116275.1112700775</v>
      </c>
      <c r="J15" s="716">
        <v>1837358.7076489956</v>
      </c>
      <c r="K15" s="716">
        <v>0</v>
      </c>
      <c r="L15" s="716">
        <f t="shared" si="2"/>
        <v>22306263.113858886</v>
      </c>
      <c r="M15" s="716">
        <v>5873874.7063529845</v>
      </c>
      <c r="N15" s="716">
        <v>118516.63156157899</v>
      </c>
      <c r="O15" s="716">
        <v>451034.7818632609</v>
      </c>
      <c r="P15" s="716">
        <v>2983469.261686225</v>
      </c>
      <c r="Q15" s="716">
        <v>3267858.1676382814</v>
      </c>
      <c r="R15" s="716">
        <v>9611509.5647565536</v>
      </c>
      <c r="S15" s="725">
        <v>0</v>
      </c>
      <c r="T15" s="452"/>
      <c r="U15" s="386"/>
      <c r="V15" s="386"/>
      <c r="W15" s="386"/>
      <c r="X15" s="386"/>
      <c r="Y15" s="386"/>
      <c r="Z15" s="386"/>
      <c r="AA15" s="451"/>
    </row>
    <row r="16" spans="1:27">
      <c r="A16" s="450">
        <v>1.3</v>
      </c>
      <c r="B16" s="449" t="s">
        <v>495</v>
      </c>
      <c r="C16" s="737">
        <v>0</v>
      </c>
      <c r="D16" s="738"/>
      <c r="E16" s="738"/>
      <c r="F16" s="738"/>
      <c r="G16" s="738"/>
      <c r="H16" s="738"/>
      <c r="I16" s="738"/>
      <c r="J16" s="738"/>
      <c r="K16" s="738"/>
      <c r="L16" s="738"/>
      <c r="M16" s="738"/>
      <c r="N16" s="738"/>
      <c r="O16" s="738"/>
      <c r="P16" s="738"/>
      <c r="Q16" s="738"/>
      <c r="R16" s="738"/>
      <c r="S16" s="739"/>
      <c r="T16" s="448"/>
      <c r="U16" s="447"/>
      <c r="V16" s="447"/>
      <c r="W16" s="447"/>
      <c r="X16" s="447"/>
      <c r="Y16" s="447"/>
      <c r="Z16" s="447"/>
      <c r="AA16" s="446"/>
    </row>
    <row r="17" spans="1:27" s="431" customFormat="1">
      <c r="A17" s="444" t="s">
        <v>457</v>
      </c>
      <c r="B17" s="445" t="s">
        <v>458</v>
      </c>
      <c r="C17" s="736">
        <f>SUM(E17:F17,I17:J17,M17:S17)</f>
        <v>139857864.21103808</v>
      </c>
      <c r="D17" s="717">
        <v>30710037.375623588</v>
      </c>
      <c r="E17" s="717">
        <v>30710037.375623588</v>
      </c>
      <c r="F17" s="717">
        <v>0</v>
      </c>
      <c r="G17" s="717">
        <v>0</v>
      </c>
      <c r="H17" s="716">
        <f t="shared" si="1"/>
        <v>25260136.681041874</v>
      </c>
      <c r="I17" s="717">
        <v>20468803.401041873</v>
      </c>
      <c r="J17" s="716">
        <v>4791333.28</v>
      </c>
      <c r="K17" s="717">
        <v>0</v>
      </c>
      <c r="L17" s="716">
        <f t="shared" si="2"/>
        <v>83887690.154372633</v>
      </c>
      <c r="M17" s="717">
        <v>31102543.882080097</v>
      </c>
      <c r="N17" s="717">
        <v>679973.64867599995</v>
      </c>
      <c r="O17" s="717">
        <v>2612019.4909869996</v>
      </c>
      <c r="P17" s="717">
        <v>7534318.2223414667</v>
      </c>
      <c r="Q17" s="717">
        <v>6352923.6479720622</v>
      </c>
      <c r="R17" s="717">
        <v>35605911.262316003</v>
      </c>
      <c r="S17" s="725">
        <v>0</v>
      </c>
      <c r="T17" s="438"/>
      <c r="U17" s="387"/>
      <c r="V17" s="387"/>
      <c r="W17" s="387"/>
      <c r="X17" s="387"/>
      <c r="Y17" s="387"/>
      <c r="Z17" s="387"/>
      <c r="AA17" s="437"/>
    </row>
    <row r="18" spans="1:27" s="431" customFormat="1">
      <c r="A18" s="441" t="s">
        <v>459</v>
      </c>
      <c r="B18" s="442" t="s">
        <v>460</v>
      </c>
      <c r="C18" s="736">
        <f>SUM(E18:F18,I18:J18,M18:S18)</f>
        <v>125616756.27223895</v>
      </c>
      <c r="D18" s="717">
        <v>30642004.692019593</v>
      </c>
      <c r="E18" s="717">
        <v>30642004.692019597</v>
      </c>
      <c r="F18" s="717">
        <v>0</v>
      </c>
      <c r="G18" s="717">
        <v>0</v>
      </c>
      <c r="H18" s="716">
        <f t="shared" si="1"/>
        <v>18387771.377495423</v>
      </c>
      <c r="I18" s="717">
        <v>18387771.377495423</v>
      </c>
      <c r="J18" s="717">
        <v>0</v>
      </c>
      <c r="K18" s="717">
        <v>0</v>
      </c>
      <c r="L18" s="716">
        <f t="shared" si="2"/>
        <v>76586980.202723935</v>
      </c>
      <c r="M18" s="717">
        <v>26846856.444731425</v>
      </c>
      <c r="N18" s="717">
        <v>679973.64867599995</v>
      </c>
      <c r="O18" s="717">
        <v>2612019.4909869996</v>
      </c>
      <c r="P18" s="717">
        <v>7534318.2223414667</v>
      </c>
      <c r="Q18" s="717">
        <v>6233601.9689720459</v>
      </c>
      <c r="R18" s="717">
        <v>32680210.427016001</v>
      </c>
      <c r="S18" s="725">
        <v>0</v>
      </c>
      <c r="T18" s="438"/>
      <c r="U18" s="387"/>
      <c r="V18" s="387"/>
      <c r="W18" s="387"/>
      <c r="X18" s="387"/>
      <c r="Y18" s="387"/>
      <c r="Z18" s="387"/>
      <c r="AA18" s="437"/>
    </row>
    <row r="19" spans="1:27" s="431" customFormat="1">
      <c r="A19" s="444" t="s">
        <v>461</v>
      </c>
      <c r="B19" s="443" t="s">
        <v>462</v>
      </c>
      <c r="C19" s="736">
        <f>SUM(E19:F19,I19:J19,M19:S19)</f>
        <v>358880588.56176192</v>
      </c>
      <c r="D19" s="717">
        <v>170315243.76857641</v>
      </c>
      <c r="E19" s="717">
        <v>170315243.76857641</v>
      </c>
      <c r="F19" s="717">
        <v>0</v>
      </c>
      <c r="G19" s="717">
        <v>0</v>
      </c>
      <c r="H19" s="716">
        <f t="shared" si="1"/>
        <v>16144076.901358141</v>
      </c>
      <c r="I19" s="717">
        <v>16144076.901358141</v>
      </c>
      <c r="J19" s="717">
        <v>0</v>
      </c>
      <c r="K19" s="717">
        <v>0</v>
      </c>
      <c r="L19" s="716">
        <f t="shared" si="2"/>
        <v>172421267.8918274</v>
      </c>
      <c r="M19" s="717">
        <v>83785260.122319907</v>
      </c>
      <c r="N19" s="717">
        <v>693988.53112400381</v>
      </c>
      <c r="O19" s="717">
        <v>10740913.404812984</v>
      </c>
      <c r="P19" s="717">
        <v>19923596.214358535</v>
      </c>
      <c r="Q19" s="717">
        <v>3912328.9776279628</v>
      </c>
      <c r="R19" s="717">
        <v>53365180.641583994</v>
      </c>
      <c r="S19" s="740"/>
      <c r="T19" s="438"/>
      <c r="U19" s="387"/>
      <c r="V19" s="387"/>
      <c r="W19" s="387"/>
      <c r="X19" s="387"/>
      <c r="Y19" s="387"/>
      <c r="Z19" s="387"/>
      <c r="AA19" s="437"/>
    </row>
    <row r="20" spans="1:27" s="431" customFormat="1">
      <c r="A20" s="441" t="s">
        <v>463</v>
      </c>
      <c r="B20" s="442" t="s">
        <v>460</v>
      </c>
      <c r="C20" s="736">
        <f>SUM(E20:F20,I20:J20,M20:S20)</f>
        <v>216205838.54446107</v>
      </c>
      <c r="D20" s="717">
        <v>165475932.9486804</v>
      </c>
      <c r="E20" s="717">
        <v>165475932.9486804</v>
      </c>
      <c r="F20" s="717">
        <v>0</v>
      </c>
      <c r="G20" s="717">
        <v>0</v>
      </c>
      <c r="H20" s="716">
        <f t="shared" si="1"/>
        <v>3326708.9249045765</v>
      </c>
      <c r="I20" s="717">
        <v>3326708.9249045765</v>
      </c>
      <c r="J20" s="717">
        <v>0</v>
      </c>
      <c r="K20" s="717">
        <v>0</v>
      </c>
      <c r="L20" s="716">
        <f t="shared" si="2"/>
        <v>47403196.670876056</v>
      </c>
      <c r="M20" s="717">
        <v>29638344.94466858</v>
      </c>
      <c r="N20" s="717">
        <v>693988.53112400009</v>
      </c>
      <c r="O20" s="717">
        <v>8361503.4848130001</v>
      </c>
      <c r="P20" s="717">
        <v>5079372.2143585337</v>
      </c>
      <c r="Q20" s="717">
        <v>1583121.0380279522</v>
      </c>
      <c r="R20" s="717">
        <v>2046866.4578839999</v>
      </c>
      <c r="S20" s="740"/>
      <c r="T20" s="438"/>
      <c r="U20" s="387"/>
      <c r="V20" s="387"/>
      <c r="W20" s="387"/>
      <c r="X20" s="387"/>
      <c r="Y20" s="387"/>
      <c r="Z20" s="387"/>
      <c r="AA20" s="437"/>
    </row>
    <row r="21" spans="1:27" s="431" customFormat="1">
      <c r="A21" s="440">
        <v>1.4</v>
      </c>
      <c r="B21" s="439" t="s">
        <v>464</v>
      </c>
      <c r="C21" s="736">
        <f>SUM(E21:F21,I21:J21,M21:S21)</f>
        <v>44648.72</v>
      </c>
      <c r="D21" s="717">
        <v>44648.72</v>
      </c>
      <c r="E21" s="717">
        <v>44648.72</v>
      </c>
      <c r="F21" s="717">
        <v>0</v>
      </c>
      <c r="G21" s="717">
        <v>0</v>
      </c>
      <c r="H21" s="716">
        <f t="shared" si="1"/>
        <v>0</v>
      </c>
      <c r="I21" s="717">
        <v>0</v>
      </c>
      <c r="J21" s="717">
        <v>0</v>
      </c>
      <c r="K21" s="717">
        <v>0</v>
      </c>
      <c r="L21" s="716">
        <f t="shared" si="2"/>
        <v>0</v>
      </c>
      <c r="M21" s="717">
        <v>0</v>
      </c>
      <c r="N21" s="717">
        <v>0</v>
      </c>
      <c r="O21" s="717">
        <v>0</v>
      </c>
      <c r="P21" s="717">
        <v>0</v>
      </c>
      <c r="Q21" s="717">
        <v>0</v>
      </c>
      <c r="R21" s="717">
        <v>0</v>
      </c>
      <c r="S21" s="740"/>
      <c r="T21" s="438"/>
      <c r="U21" s="387"/>
      <c r="V21" s="387"/>
      <c r="W21" s="387"/>
      <c r="X21" s="387"/>
      <c r="Y21" s="387"/>
      <c r="Z21" s="387"/>
      <c r="AA21" s="437"/>
    </row>
    <row r="22" spans="1:27" s="431" customFormat="1" ht="13.5" thickBot="1">
      <c r="A22" s="436">
        <v>1.5</v>
      </c>
      <c r="B22" s="435" t="s">
        <v>465</v>
      </c>
      <c r="C22" s="741">
        <v>0</v>
      </c>
      <c r="D22" s="742">
        <v>0</v>
      </c>
      <c r="E22" s="742">
        <v>0</v>
      </c>
      <c r="F22" s="742">
        <v>0</v>
      </c>
      <c r="G22" s="742">
        <v>0</v>
      </c>
      <c r="H22" s="716">
        <f t="shared" si="1"/>
        <v>0</v>
      </c>
      <c r="I22" s="742">
        <v>0</v>
      </c>
      <c r="J22" s="742">
        <v>0</v>
      </c>
      <c r="K22" s="742">
        <v>0</v>
      </c>
      <c r="L22" s="716">
        <f t="shared" si="2"/>
        <v>0</v>
      </c>
      <c r="M22" s="742">
        <v>0</v>
      </c>
      <c r="N22" s="742">
        <v>0</v>
      </c>
      <c r="O22" s="742">
        <v>0</v>
      </c>
      <c r="P22" s="742">
        <v>0</v>
      </c>
      <c r="Q22" s="742">
        <v>0</v>
      </c>
      <c r="R22" s="742">
        <v>0</v>
      </c>
      <c r="S22" s="743"/>
      <c r="T22" s="434"/>
      <c r="U22" s="433"/>
      <c r="V22" s="433"/>
      <c r="W22" s="433"/>
      <c r="X22" s="433"/>
      <c r="Y22" s="433"/>
      <c r="Z22" s="433"/>
      <c r="AA22" s="432"/>
    </row>
    <row r="23" spans="1:27">
      <c r="A23" s="419"/>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topLeftCell="A31" zoomScale="80" zoomScaleNormal="80" workbookViewId="0">
      <selection activeCell="E40" sqref="E40"/>
    </sheetView>
  </sheetViews>
  <sheetFormatPr defaultColWidth="8.7109375" defaultRowHeight="15"/>
  <cols>
    <col min="1" max="1" width="8.7109375" style="562"/>
    <col min="2" max="2" width="69.28515625" style="563" customWidth="1"/>
    <col min="3" max="3" width="13.7109375" style="527" customWidth="1"/>
    <col min="4" max="4" width="14.42578125" style="527" customWidth="1"/>
    <col min="5" max="6" width="13.28515625" style="527" customWidth="1"/>
    <col min="7" max="7" width="14.7109375" style="527" bestFit="1" customWidth="1"/>
    <col min="8" max="8" width="13.28515625" style="527" customWidth="1"/>
    <col min="9" max="16384" width="8.7109375" style="527"/>
  </cols>
  <sheetData>
    <row r="1" spans="1:8">
      <c r="A1" s="218" t="s">
        <v>30</v>
      </c>
      <c r="B1" s="526" t="str">
        <f>'Info '!C2</f>
        <v>VTB Bank Georgia JSC</v>
      </c>
      <c r="C1" s="526"/>
    </row>
    <row r="2" spans="1:8">
      <c r="A2" s="218" t="s">
        <v>31</v>
      </c>
      <c r="B2" s="528">
        <f>'1. key ratios '!B2</f>
        <v>45930</v>
      </c>
      <c r="C2" s="529"/>
      <c r="D2" s="530"/>
      <c r="E2" s="530"/>
      <c r="F2" s="530"/>
      <c r="G2" s="530"/>
      <c r="H2" s="530"/>
    </row>
    <row r="3" spans="1:8">
      <c r="A3" s="218"/>
      <c r="B3" s="529"/>
      <c r="C3" s="529"/>
      <c r="D3" s="530"/>
      <c r="E3" s="530"/>
      <c r="F3" s="530"/>
      <c r="G3" s="530"/>
      <c r="H3" s="530"/>
    </row>
    <row r="4" spans="1:8" ht="21" customHeight="1">
      <c r="A4" s="778" t="s">
        <v>6</v>
      </c>
      <c r="B4" s="779" t="s">
        <v>521</v>
      </c>
      <c r="C4" s="781" t="s">
        <v>522</v>
      </c>
      <c r="D4" s="781"/>
      <c r="E4" s="781"/>
      <c r="F4" s="781" t="s">
        <v>523</v>
      </c>
      <c r="G4" s="781"/>
      <c r="H4" s="782"/>
    </row>
    <row r="5" spans="1:8" ht="21" customHeight="1">
      <c r="A5" s="778"/>
      <c r="B5" s="780"/>
      <c r="C5" s="531" t="s">
        <v>32</v>
      </c>
      <c r="D5" s="531" t="s">
        <v>33</v>
      </c>
      <c r="E5" s="531" t="s">
        <v>34</v>
      </c>
      <c r="F5" s="531" t="s">
        <v>32</v>
      </c>
      <c r="G5" s="531" t="s">
        <v>33</v>
      </c>
      <c r="H5" s="531" t="s">
        <v>34</v>
      </c>
    </row>
    <row r="6" spans="1:8" ht="26.65" customHeight="1">
      <c r="A6" s="778"/>
      <c r="B6" s="532" t="s">
        <v>524</v>
      </c>
      <c r="C6" s="783"/>
      <c r="D6" s="784"/>
      <c r="E6" s="784"/>
      <c r="F6" s="784"/>
      <c r="G6" s="784"/>
      <c r="H6" s="785"/>
    </row>
    <row r="7" spans="1:8" ht="22.9" customHeight="1">
      <c r="A7" s="533">
        <v>1</v>
      </c>
      <c r="B7" s="534" t="s">
        <v>525</v>
      </c>
      <c r="C7" s="639">
        <v>105285575.40000001</v>
      </c>
      <c r="D7" s="639">
        <v>99307270.411500007</v>
      </c>
      <c r="E7" s="640">
        <f>C7+D7</f>
        <v>204592845.81150001</v>
      </c>
      <c r="F7" s="639">
        <v>92468536.5</v>
      </c>
      <c r="G7" s="639">
        <v>81467656.335099995</v>
      </c>
      <c r="H7" s="640">
        <f>F7+G7</f>
        <v>173936192.8351</v>
      </c>
    </row>
    <row r="8" spans="1:8" ht="15.75">
      <c r="A8" s="533">
        <v>1.1000000000000001</v>
      </c>
      <c r="B8" s="535" t="s">
        <v>526</v>
      </c>
      <c r="C8" s="639">
        <v>105285224.04000001</v>
      </c>
      <c r="D8" s="639">
        <v>92225000.844300002</v>
      </c>
      <c r="E8" s="640">
        <f t="shared" ref="E8:E36" si="0">C8+D8</f>
        <v>197510224.88429999</v>
      </c>
      <c r="F8" s="639">
        <v>92468185.140000001</v>
      </c>
      <c r="G8" s="639">
        <v>74438750.0792</v>
      </c>
      <c r="H8" s="640">
        <f t="shared" ref="H8:H36" si="1">F8+G8</f>
        <v>166906935.21920002</v>
      </c>
    </row>
    <row r="9" spans="1:8" ht="15.75">
      <c r="A9" s="533">
        <v>1.2</v>
      </c>
      <c r="B9" s="535" t="s">
        <v>527</v>
      </c>
      <c r="C9" s="639">
        <v>351.36</v>
      </c>
      <c r="D9" s="639">
        <v>0</v>
      </c>
      <c r="E9" s="640">
        <f t="shared" si="0"/>
        <v>351.36</v>
      </c>
      <c r="F9" s="639">
        <v>351.36</v>
      </c>
      <c r="G9" s="639">
        <v>0</v>
      </c>
      <c r="H9" s="640">
        <f t="shared" si="1"/>
        <v>351.36</v>
      </c>
    </row>
    <row r="10" spans="1:8" ht="15.75">
      <c r="A10" s="533">
        <v>1.3</v>
      </c>
      <c r="B10" s="535" t="s">
        <v>528</v>
      </c>
      <c r="C10" s="639">
        <v>0</v>
      </c>
      <c r="D10" s="639">
        <v>7082269.5671999995</v>
      </c>
      <c r="E10" s="640">
        <f t="shared" si="0"/>
        <v>7082269.5671999995</v>
      </c>
      <c r="F10" s="639">
        <v>0</v>
      </c>
      <c r="G10" s="639">
        <v>7028906.2559000002</v>
      </c>
      <c r="H10" s="640">
        <f t="shared" si="1"/>
        <v>7028906.2559000002</v>
      </c>
    </row>
    <row r="11" spans="1:8" ht="15.75">
      <c r="A11" s="533">
        <v>2</v>
      </c>
      <c r="B11" s="536" t="s">
        <v>529</v>
      </c>
      <c r="C11" s="639"/>
      <c r="D11" s="639"/>
      <c r="E11" s="640">
        <f t="shared" si="0"/>
        <v>0</v>
      </c>
      <c r="F11" s="639"/>
      <c r="G11" s="639"/>
      <c r="H11" s="640">
        <f t="shared" si="1"/>
        <v>0</v>
      </c>
    </row>
    <row r="12" spans="1:8" ht="15.75">
      <c r="A12" s="533">
        <v>2.1</v>
      </c>
      <c r="B12" s="537" t="s">
        <v>530</v>
      </c>
      <c r="C12" s="639"/>
      <c r="D12" s="639"/>
      <c r="E12" s="640">
        <f t="shared" si="0"/>
        <v>0</v>
      </c>
      <c r="F12" s="639"/>
      <c r="G12" s="639"/>
      <c r="H12" s="640">
        <f t="shared" si="1"/>
        <v>0</v>
      </c>
    </row>
    <row r="13" spans="1:8" ht="26.65" customHeight="1">
      <c r="A13" s="533">
        <v>3</v>
      </c>
      <c r="B13" s="538" t="s">
        <v>531</v>
      </c>
      <c r="C13" s="639"/>
      <c r="D13" s="639"/>
      <c r="E13" s="640">
        <f t="shared" si="0"/>
        <v>0</v>
      </c>
      <c r="F13" s="639"/>
      <c r="G13" s="639"/>
      <c r="H13" s="640">
        <f t="shared" si="1"/>
        <v>0</v>
      </c>
    </row>
    <row r="14" spans="1:8" ht="26.65" customHeight="1">
      <c r="A14" s="533">
        <v>4</v>
      </c>
      <c r="B14" s="539" t="s">
        <v>532</v>
      </c>
      <c r="C14" s="639"/>
      <c r="D14" s="639"/>
      <c r="E14" s="640">
        <f t="shared" si="0"/>
        <v>0</v>
      </c>
      <c r="F14" s="639"/>
      <c r="G14" s="639"/>
      <c r="H14" s="640">
        <f t="shared" si="1"/>
        <v>0</v>
      </c>
    </row>
    <row r="15" spans="1:8" ht="24.4" customHeight="1">
      <c r="A15" s="533">
        <v>5</v>
      </c>
      <c r="B15" s="540" t="s">
        <v>533</v>
      </c>
      <c r="C15" s="641">
        <v>54000</v>
      </c>
      <c r="D15" s="641">
        <v>0</v>
      </c>
      <c r="E15" s="642">
        <f t="shared" si="0"/>
        <v>54000</v>
      </c>
      <c r="F15" s="641">
        <v>54000</v>
      </c>
      <c r="G15" s="641">
        <v>0</v>
      </c>
      <c r="H15" s="642">
        <f t="shared" si="1"/>
        <v>54000</v>
      </c>
    </row>
    <row r="16" spans="1:8" ht="15.75">
      <c r="A16" s="533">
        <v>5.0999999999999996</v>
      </c>
      <c r="B16" s="541" t="s">
        <v>534</v>
      </c>
      <c r="C16" s="639">
        <v>54000</v>
      </c>
      <c r="D16" s="639">
        <v>0</v>
      </c>
      <c r="E16" s="640">
        <f t="shared" si="0"/>
        <v>54000</v>
      </c>
      <c r="F16" s="639">
        <v>54000</v>
      </c>
      <c r="G16" s="639">
        <v>0</v>
      </c>
      <c r="H16" s="640">
        <f t="shared" si="1"/>
        <v>54000</v>
      </c>
    </row>
    <row r="17" spans="1:8" ht="15.75">
      <c r="A17" s="533">
        <v>5.2</v>
      </c>
      <c r="B17" s="541" t="s">
        <v>535</v>
      </c>
      <c r="C17" s="639"/>
      <c r="D17" s="639"/>
      <c r="E17" s="640">
        <f t="shared" si="0"/>
        <v>0</v>
      </c>
      <c r="F17" s="639"/>
      <c r="G17" s="639"/>
      <c r="H17" s="640">
        <f t="shared" si="1"/>
        <v>0</v>
      </c>
    </row>
    <row r="18" spans="1:8" ht="15.75">
      <c r="A18" s="533">
        <v>5.3</v>
      </c>
      <c r="B18" s="542" t="s">
        <v>536</v>
      </c>
      <c r="C18" s="639"/>
      <c r="D18" s="639"/>
      <c r="E18" s="640">
        <f t="shared" si="0"/>
        <v>0</v>
      </c>
      <c r="F18" s="639"/>
      <c r="G18" s="639"/>
      <c r="H18" s="640">
        <f t="shared" si="1"/>
        <v>0</v>
      </c>
    </row>
    <row r="19" spans="1:8" ht="15.75">
      <c r="A19" s="533">
        <v>6</v>
      </c>
      <c r="B19" s="538" t="s">
        <v>537</v>
      </c>
      <c r="C19" s="639">
        <v>48501065.328068033</v>
      </c>
      <c r="D19" s="639">
        <v>85459220.537089095</v>
      </c>
      <c r="E19" s="640">
        <f t="shared" si="0"/>
        <v>133960285.86515713</v>
      </c>
      <c r="F19" s="639">
        <v>66960099.610203683</v>
      </c>
      <c r="G19" s="639">
        <v>113353574.84610026</v>
      </c>
      <c r="H19" s="640">
        <f t="shared" si="1"/>
        <v>180313674.45630395</v>
      </c>
    </row>
    <row r="20" spans="1:8" ht="15.75">
      <c r="A20" s="533">
        <v>6.1</v>
      </c>
      <c r="B20" s="541" t="s">
        <v>535</v>
      </c>
      <c r="C20" s="639"/>
      <c r="D20" s="639"/>
      <c r="E20" s="640">
        <f t="shared" si="0"/>
        <v>0</v>
      </c>
      <c r="F20" s="639"/>
      <c r="G20" s="639"/>
      <c r="H20" s="640">
        <f t="shared" si="1"/>
        <v>0</v>
      </c>
    </row>
    <row r="21" spans="1:8" ht="15.75">
      <c r="A21" s="533">
        <v>6.2</v>
      </c>
      <c r="B21" s="542" t="s">
        <v>536</v>
      </c>
      <c r="C21" s="639">
        <v>48501065.328068033</v>
      </c>
      <c r="D21" s="639">
        <v>85459220.537089095</v>
      </c>
      <c r="E21" s="640">
        <f t="shared" si="0"/>
        <v>133960285.86515713</v>
      </c>
      <c r="F21" s="639">
        <v>66960099.610203683</v>
      </c>
      <c r="G21" s="639">
        <v>113353574.84610026</v>
      </c>
      <c r="H21" s="640">
        <f t="shared" si="1"/>
        <v>180313674.45630395</v>
      </c>
    </row>
    <row r="22" spans="1:8" ht="15.75">
      <c r="A22" s="533">
        <v>7</v>
      </c>
      <c r="B22" s="536" t="s">
        <v>538</v>
      </c>
      <c r="C22" s="639"/>
      <c r="D22" s="639"/>
      <c r="E22" s="640">
        <f t="shared" si="0"/>
        <v>0</v>
      </c>
      <c r="F22" s="639">
        <v>0</v>
      </c>
      <c r="G22" s="639"/>
      <c r="H22" s="640">
        <f t="shared" si="1"/>
        <v>0</v>
      </c>
    </row>
    <row r="23" spans="1:8" ht="15.75">
      <c r="A23" s="533">
        <v>8</v>
      </c>
      <c r="B23" s="543" t="s">
        <v>539</v>
      </c>
      <c r="C23" s="639"/>
      <c r="D23" s="639"/>
      <c r="E23" s="640">
        <f t="shared" si="0"/>
        <v>0</v>
      </c>
      <c r="F23" s="639"/>
      <c r="G23" s="639"/>
      <c r="H23" s="640">
        <f t="shared" si="1"/>
        <v>0</v>
      </c>
    </row>
    <row r="24" spans="1:8" ht="15.75">
      <c r="A24" s="533">
        <v>9</v>
      </c>
      <c r="B24" s="539" t="s">
        <v>540</v>
      </c>
      <c r="C24" s="639">
        <v>60494587.259999998</v>
      </c>
      <c r="D24" s="639">
        <v>0</v>
      </c>
      <c r="E24" s="640">
        <f t="shared" si="0"/>
        <v>60494587.259999998</v>
      </c>
      <c r="F24" s="639">
        <v>61688377.610000014</v>
      </c>
      <c r="G24" s="639">
        <v>0</v>
      </c>
      <c r="H24" s="640">
        <f t="shared" si="1"/>
        <v>61688377.610000014</v>
      </c>
    </row>
    <row r="25" spans="1:8" ht="15.75">
      <c r="A25" s="533">
        <v>9.1</v>
      </c>
      <c r="B25" s="541" t="s">
        <v>541</v>
      </c>
      <c r="C25" s="639">
        <v>33138780.259999998</v>
      </c>
      <c r="D25" s="639"/>
      <c r="E25" s="640">
        <f t="shared" si="0"/>
        <v>33138780.259999998</v>
      </c>
      <c r="F25" s="639">
        <v>33613388.479999997</v>
      </c>
      <c r="G25" s="639"/>
      <c r="H25" s="640">
        <f t="shared" si="1"/>
        <v>33613388.479999997</v>
      </c>
    </row>
    <row r="26" spans="1:8" ht="15.75">
      <c r="A26" s="533">
        <v>9.1999999999999993</v>
      </c>
      <c r="B26" s="541" t="s">
        <v>542</v>
      </c>
      <c r="C26" s="639">
        <v>27355807</v>
      </c>
      <c r="D26" s="639"/>
      <c r="E26" s="640">
        <f t="shared" si="0"/>
        <v>27355807</v>
      </c>
      <c r="F26" s="639">
        <v>28074989.130000018</v>
      </c>
      <c r="G26" s="639"/>
      <c r="H26" s="640">
        <f t="shared" si="1"/>
        <v>28074989.130000018</v>
      </c>
    </row>
    <row r="27" spans="1:8" ht="15.75">
      <c r="A27" s="533">
        <v>10</v>
      </c>
      <c r="B27" s="539" t="s">
        <v>543</v>
      </c>
      <c r="C27" s="639">
        <v>856529.25</v>
      </c>
      <c r="D27" s="639">
        <v>0</v>
      </c>
      <c r="E27" s="640">
        <f t="shared" si="0"/>
        <v>856529.25</v>
      </c>
      <c r="F27" s="639">
        <v>1067767.3400000001</v>
      </c>
      <c r="G27" s="639">
        <v>0</v>
      </c>
      <c r="H27" s="640">
        <f t="shared" si="1"/>
        <v>1067767.3400000001</v>
      </c>
    </row>
    <row r="28" spans="1:8" ht="15.75">
      <c r="A28" s="533">
        <v>10.1</v>
      </c>
      <c r="B28" s="541" t="s">
        <v>544</v>
      </c>
      <c r="C28" s="639"/>
      <c r="D28" s="639"/>
      <c r="E28" s="640">
        <f t="shared" si="0"/>
        <v>0</v>
      </c>
      <c r="F28" s="639"/>
      <c r="G28" s="639"/>
      <c r="H28" s="640">
        <f t="shared" si="1"/>
        <v>0</v>
      </c>
    </row>
    <row r="29" spans="1:8" ht="15.75">
      <c r="A29" s="533">
        <v>10.199999999999999</v>
      </c>
      <c r="B29" s="541" t="s">
        <v>545</v>
      </c>
      <c r="C29" s="639">
        <v>856529.25</v>
      </c>
      <c r="D29" s="639"/>
      <c r="E29" s="640">
        <f t="shared" si="0"/>
        <v>856529.25</v>
      </c>
      <c r="F29" s="639">
        <v>1067767.3400000001</v>
      </c>
      <c r="G29" s="639"/>
      <c r="H29" s="640">
        <f t="shared" si="1"/>
        <v>1067767.3400000001</v>
      </c>
    </row>
    <row r="30" spans="1:8" ht="15.75">
      <c r="A30" s="533">
        <v>11</v>
      </c>
      <c r="B30" s="539" t="s">
        <v>546</v>
      </c>
      <c r="C30" s="639">
        <v>0</v>
      </c>
      <c r="D30" s="639">
        <v>0</v>
      </c>
      <c r="E30" s="640">
        <f t="shared" si="0"/>
        <v>0</v>
      </c>
      <c r="F30" s="639">
        <v>958167.91</v>
      </c>
      <c r="G30" s="639">
        <v>0</v>
      </c>
      <c r="H30" s="640">
        <f t="shared" si="1"/>
        <v>958167.91</v>
      </c>
    </row>
    <row r="31" spans="1:8" ht="15.75">
      <c r="A31" s="533">
        <v>11.1</v>
      </c>
      <c r="B31" s="541" t="s">
        <v>547</v>
      </c>
      <c r="C31" s="639">
        <v>0</v>
      </c>
      <c r="D31" s="639"/>
      <c r="E31" s="640">
        <f t="shared" si="0"/>
        <v>0</v>
      </c>
      <c r="F31" s="639">
        <v>958167.91</v>
      </c>
      <c r="G31" s="639"/>
      <c r="H31" s="640">
        <f t="shared" si="1"/>
        <v>958167.91</v>
      </c>
    </row>
    <row r="32" spans="1:8" ht="15.75">
      <c r="A32" s="533">
        <v>11.2</v>
      </c>
      <c r="B32" s="541" t="s">
        <v>548</v>
      </c>
      <c r="C32" s="639">
        <v>0</v>
      </c>
      <c r="D32" s="639"/>
      <c r="E32" s="640">
        <f t="shared" si="0"/>
        <v>0</v>
      </c>
      <c r="F32" s="639">
        <v>0</v>
      </c>
      <c r="G32" s="639"/>
      <c r="H32" s="640">
        <f t="shared" si="1"/>
        <v>0</v>
      </c>
    </row>
    <row r="33" spans="1:8" ht="15.75">
      <c r="A33" s="533">
        <v>13</v>
      </c>
      <c r="B33" s="539" t="s">
        <v>549</v>
      </c>
      <c r="C33" s="639">
        <v>42030228.165299982</v>
      </c>
      <c r="D33" s="639">
        <v>705154.28669963358</v>
      </c>
      <c r="E33" s="640">
        <f t="shared" si="0"/>
        <v>42735382.451999612</v>
      </c>
      <c r="F33" s="639">
        <v>36862975.710000001</v>
      </c>
      <c r="G33" s="639">
        <v>3400971.7660000138</v>
      </c>
      <c r="H33" s="640">
        <f t="shared" si="1"/>
        <v>40263947.476000011</v>
      </c>
    </row>
    <row r="34" spans="1:8" ht="15.75">
      <c r="A34" s="533">
        <v>13.1</v>
      </c>
      <c r="B34" s="544" t="s">
        <v>550</v>
      </c>
      <c r="C34" s="639">
        <v>26496402</v>
      </c>
      <c r="D34" s="639"/>
      <c r="E34" s="640">
        <f t="shared" si="0"/>
        <v>26496402</v>
      </c>
      <c r="F34" s="639">
        <v>22019563</v>
      </c>
      <c r="G34" s="639"/>
      <c r="H34" s="640">
        <f t="shared" si="1"/>
        <v>22019563</v>
      </c>
    </row>
    <row r="35" spans="1:8" ht="15.75">
      <c r="A35" s="533">
        <v>13.2</v>
      </c>
      <c r="B35" s="544" t="s">
        <v>551</v>
      </c>
      <c r="C35" s="639"/>
      <c r="D35" s="639"/>
      <c r="E35" s="640">
        <f t="shared" si="0"/>
        <v>0</v>
      </c>
      <c r="F35" s="639"/>
      <c r="G35" s="639"/>
      <c r="H35" s="640">
        <f t="shared" si="1"/>
        <v>0</v>
      </c>
    </row>
    <row r="36" spans="1:8" ht="15.75">
      <c r="A36" s="533">
        <v>14</v>
      </c>
      <c r="B36" s="545" t="s">
        <v>552</v>
      </c>
      <c r="C36" s="639">
        <v>257221985.40336803</v>
      </c>
      <c r="D36" s="639">
        <v>185471645.23528871</v>
      </c>
      <c r="E36" s="640">
        <f t="shared" si="0"/>
        <v>442693630.63865674</v>
      </c>
      <c r="F36" s="639">
        <v>260059924.68020371</v>
      </c>
      <c r="G36" s="639">
        <v>198222202.94720027</v>
      </c>
      <c r="H36" s="640">
        <f t="shared" si="1"/>
        <v>458282127.62740397</v>
      </c>
    </row>
    <row r="37" spans="1:8" ht="22.5" customHeight="1">
      <c r="A37" s="533"/>
      <c r="B37" s="546" t="s">
        <v>553</v>
      </c>
      <c r="C37" s="775"/>
      <c r="D37" s="776"/>
      <c r="E37" s="776"/>
      <c r="F37" s="776"/>
      <c r="G37" s="776"/>
      <c r="H37" s="777"/>
    </row>
    <row r="38" spans="1:8" ht="15.75">
      <c r="A38" s="533">
        <v>15</v>
      </c>
      <c r="B38" s="547" t="s">
        <v>554</v>
      </c>
      <c r="C38" s="639"/>
      <c r="D38" s="639"/>
      <c r="E38" s="567">
        <f>C38+D38</f>
        <v>0</v>
      </c>
      <c r="F38" s="643"/>
      <c r="G38" s="643"/>
      <c r="H38" s="567">
        <f>F38+G38</f>
        <v>0</v>
      </c>
    </row>
    <row r="39" spans="1:8" ht="15.75">
      <c r="A39" s="548">
        <v>15.1</v>
      </c>
      <c r="B39" s="549" t="s">
        <v>530</v>
      </c>
      <c r="C39" s="639"/>
      <c r="D39" s="639"/>
      <c r="E39" s="567">
        <f t="shared" ref="E39:E53" si="2">C39+D39</f>
        <v>0</v>
      </c>
      <c r="F39" s="643"/>
      <c r="G39" s="643"/>
      <c r="H39" s="567">
        <f t="shared" ref="H39:H53" si="3">F39+G39</f>
        <v>0</v>
      </c>
    </row>
    <row r="40" spans="1:8" ht="24" customHeight="1">
      <c r="A40" s="548">
        <v>16</v>
      </c>
      <c r="B40" s="536" t="s">
        <v>555</v>
      </c>
      <c r="C40" s="639"/>
      <c r="D40" s="639"/>
      <c r="E40" s="567">
        <f t="shared" si="2"/>
        <v>0</v>
      </c>
      <c r="F40" s="643"/>
      <c r="G40" s="643"/>
      <c r="H40" s="567">
        <f t="shared" si="3"/>
        <v>0</v>
      </c>
    </row>
    <row r="41" spans="1:8" ht="15.75">
      <c r="A41" s="548">
        <v>17</v>
      </c>
      <c r="B41" s="536" t="s">
        <v>556</v>
      </c>
      <c r="C41" s="639">
        <v>12254634.020000001</v>
      </c>
      <c r="D41" s="639">
        <v>741584.49239999999</v>
      </c>
      <c r="E41" s="567">
        <f t="shared" si="2"/>
        <v>12996218.512400001</v>
      </c>
      <c r="F41" s="643">
        <v>13075231.040000001</v>
      </c>
      <c r="G41" s="643">
        <v>1464601.5863000001</v>
      </c>
      <c r="H41" s="567">
        <f t="shared" si="3"/>
        <v>14539832.626300002</v>
      </c>
    </row>
    <row r="42" spans="1:8" ht="15.75">
      <c r="A42" s="548">
        <v>17.100000000000001</v>
      </c>
      <c r="B42" s="550" t="s">
        <v>557</v>
      </c>
      <c r="C42" s="639">
        <v>12254634.020000001</v>
      </c>
      <c r="D42" s="639">
        <v>741584.49239999999</v>
      </c>
      <c r="E42" s="567">
        <f t="shared" si="2"/>
        <v>12996218.512400001</v>
      </c>
      <c r="F42" s="643">
        <v>13075231.040000001</v>
      </c>
      <c r="G42" s="643">
        <v>1464601.5863000001</v>
      </c>
      <c r="H42" s="567">
        <f t="shared" si="3"/>
        <v>14539832.626300002</v>
      </c>
    </row>
    <row r="43" spans="1:8" ht="15.75">
      <c r="A43" s="548">
        <v>17.2</v>
      </c>
      <c r="B43" s="551" t="s">
        <v>558</v>
      </c>
      <c r="C43" s="639"/>
      <c r="D43" s="639"/>
      <c r="E43" s="567">
        <f t="shared" si="2"/>
        <v>0</v>
      </c>
      <c r="F43" s="643"/>
      <c r="G43" s="643"/>
      <c r="H43" s="567">
        <f t="shared" si="3"/>
        <v>0</v>
      </c>
    </row>
    <row r="44" spans="1:8" ht="15.75">
      <c r="A44" s="548">
        <v>17.3</v>
      </c>
      <c r="B44" s="550" t="s">
        <v>559</v>
      </c>
      <c r="C44" s="639"/>
      <c r="D44" s="639"/>
      <c r="E44" s="567">
        <f t="shared" si="2"/>
        <v>0</v>
      </c>
      <c r="F44" s="643"/>
      <c r="G44" s="643"/>
      <c r="H44" s="567">
        <f t="shared" si="3"/>
        <v>0</v>
      </c>
    </row>
    <row r="45" spans="1:8" ht="15.75">
      <c r="A45" s="548">
        <v>17.399999999999999</v>
      </c>
      <c r="B45" s="550" t="s">
        <v>560</v>
      </c>
      <c r="C45" s="639"/>
      <c r="D45" s="639"/>
      <c r="E45" s="567">
        <f t="shared" si="2"/>
        <v>0</v>
      </c>
      <c r="F45" s="643"/>
      <c r="G45" s="643"/>
      <c r="H45" s="567">
        <f t="shared" si="3"/>
        <v>0</v>
      </c>
    </row>
    <row r="46" spans="1:8" ht="15.75">
      <c r="A46" s="548">
        <v>18</v>
      </c>
      <c r="B46" s="552" t="s">
        <v>561</v>
      </c>
      <c r="C46" s="639">
        <v>7949.1754861820946</v>
      </c>
      <c r="D46" s="639">
        <v>9.4853153738029672</v>
      </c>
      <c r="E46" s="567">
        <f t="shared" si="2"/>
        <v>7958.6608015558977</v>
      </c>
      <c r="F46" s="643">
        <v>7957</v>
      </c>
      <c r="G46" s="643">
        <v>21</v>
      </c>
      <c r="H46" s="567">
        <f t="shared" si="3"/>
        <v>7978</v>
      </c>
    </row>
    <row r="47" spans="1:8" ht="15.75">
      <c r="A47" s="548">
        <v>19</v>
      </c>
      <c r="B47" s="552" t="s">
        <v>562</v>
      </c>
      <c r="C47" s="639">
        <v>58240</v>
      </c>
      <c r="D47" s="639">
        <v>0</v>
      </c>
      <c r="E47" s="567">
        <f t="shared" si="2"/>
        <v>58240</v>
      </c>
      <c r="F47" s="643">
        <v>139799.78</v>
      </c>
      <c r="G47" s="643">
        <v>0</v>
      </c>
      <c r="H47" s="567">
        <f t="shared" si="3"/>
        <v>139799.78</v>
      </c>
    </row>
    <row r="48" spans="1:8" ht="15.75">
      <c r="A48" s="548">
        <v>19.100000000000001</v>
      </c>
      <c r="B48" s="553" t="s">
        <v>563</v>
      </c>
      <c r="C48" s="639">
        <v>0</v>
      </c>
      <c r="D48" s="639">
        <v>0</v>
      </c>
      <c r="E48" s="567">
        <f t="shared" si="2"/>
        <v>0</v>
      </c>
      <c r="F48" s="643">
        <v>26661.78</v>
      </c>
      <c r="G48" s="643">
        <v>0</v>
      </c>
      <c r="H48" s="567">
        <f t="shared" si="3"/>
        <v>26661.78</v>
      </c>
    </row>
    <row r="49" spans="1:8" ht="15.75">
      <c r="A49" s="548">
        <v>19.2</v>
      </c>
      <c r="B49" s="554" t="s">
        <v>564</v>
      </c>
      <c r="C49" s="639">
        <v>58240</v>
      </c>
      <c r="D49" s="639">
        <v>0</v>
      </c>
      <c r="E49" s="567">
        <f t="shared" si="2"/>
        <v>58240</v>
      </c>
      <c r="F49" s="643">
        <v>113138</v>
      </c>
      <c r="G49" s="643">
        <v>0</v>
      </c>
      <c r="H49" s="567">
        <f t="shared" si="3"/>
        <v>113138</v>
      </c>
    </row>
    <row r="50" spans="1:8" ht="15.75">
      <c r="A50" s="548">
        <v>20</v>
      </c>
      <c r="B50" s="555" t="s">
        <v>565</v>
      </c>
      <c r="C50" s="639">
        <v>0</v>
      </c>
      <c r="D50" s="639">
        <v>121963695.57439999</v>
      </c>
      <c r="E50" s="567">
        <f t="shared" si="2"/>
        <v>121963695.57439999</v>
      </c>
      <c r="F50" s="643">
        <v>0</v>
      </c>
      <c r="G50" s="643">
        <v>100375447.6059</v>
      </c>
      <c r="H50" s="567">
        <f t="shared" si="3"/>
        <v>100375447.6059</v>
      </c>
    </row>
    <row r="51" spans="1:8" ht="15.75">
      <c r="A51" s="548">
        <v>21</v>
      </c>
      <c r="B51" s="543" t="s">
        <v>566</v>
      </c>
      <c r="C51" s="639">
        <v>2212036.7599999998</v>
      </c>
      <c r="D51" s="639">
        <v>16034985.338300003</v>
      </c>
      <c r="E51" s="567">
        <f t="shared" si="2"/>
        <v>18247022.098300003</v>
      </c>
      <c r="F51" s="643">
        <v>4026401.7878420698</v>
      </c>
      <c r="G51" s="643">
        <v>14634076.118399994</v>
      </c>
      <c r="H51" s="567">
        <f t="shared" si="3"/>
        <v>18660477.906242065</v>
      </c>
    </row>
    <row r="52" spans="1:8" ht="15.75">
      <c r="A52" s="548">
        <v>21.1</v>
      </c>
      <c r="B52" s="551" t="s">
        <v>567</v>
      </c>
      <c r="C52" s="639">
        <v>1060412.6299999999</v>
      </c>
      <c r="D52" s="639"/>
      <c r="E52" s="567">
        <f t="shared" si="2"/>
        <v>1060412.6299999999</v>
      </c>
      <c r="F52" s="643">
        <v>1060412.6299999999</v>
      </c>
      <c r="G52" s="643"/>
      <c r="H52" s="567">
        <f t="shared" si="3"/>
        <v>1060412.6299999999</v>
      </c>
    </row>
    <row r="53" spans="1:8" ht="15.75">
      <c r="A53" s="548">
        <v>22</v>
      </c>
      <c r="B53" s="556" t="s">
        <v>568</v>
      </c>
      <c r="C53" s="639">
        <v>14532859.955486184</v>
      </c>
      <c r="D53" s="639">
        <v>138740274.89041537</v>
      </c>
      <c r="E53" s="567">
        <f t="shared" si="2"/>
        <v>153273134.84590155</v>
      </c>
      <c r="F53" s="643">
        <v>17249389.607842069</v>
      </c>
      <c r="G53" s="643">
        <v>116474146.3106</v>
      </c>
      <c r="H53" s="567">
        <f t="shared" si="3"/>
        <v>133723535.91844207</v>
      </c>
    </row>
    <row r="54" spans="1:8" ht="24" customHeight="1">
      <c r="A54" s="548"/>
      <c r="B54" s="557" t="s">
        <v>569</v>
      </c>
      <c r="C54" s="775"/>
      <c r="D54" s="776"/>
      <c r="E54" s="776"/>
      <c r="F54" s="776"/>
      <c r="G54" s="776"/>
      <c r="H54" s="777"/>
    </row>
    <row r="55" spans="1:8" ht="15.75">
      <c r="A55" s="548">
        <v>23</v>
      </c>
      <c r="B55" s="569" t="s">
        <v>709</v>
      </c>
      <c r="C55" s="639">
        <v>209008277</v>
      </c>
      <c r="D55" s="639"/>
      <c r="E55" s="567">
        <f>C55+D55</f>
        <v>209008277</v>
      </c>
      <c r="F55" s="639">
        <v>209008277</v>
      </c>
      <c r="G55" s="639"/>
      <c r="H55" s="567">
        <f>F55+G55</f>
        <v>209008277</v>
      </c>
    </row>
    <row r="56" spans="1:8" ht="15.75">
      <c r="A56" s="548">
        <v>24</v>
      </c>
      <c r="B56" s="555" t="s">
        <v>571</v>
      </c>
      <c r="C56" s="639"/>
      <c r="D56" s="639"/>
      <c r="E56" s="567">
        <f t="shared" ref="E56:E69" si="4">C56+D56</f>
        <v>0</v>
      </c>
      <c r="F56" s="639"/>
      <c r="G56" s="639"/>
      <c r="H56" s="567">
        <f t="shared" ref="H56:H69" si="5">F56+G56</f>
        <v>0</v>
      </c>
    </row>
    <row r="57" spans="1:8" ht="15.75">
      <c r="A57" s="548">
        <v>25</v>
      </c>
      <c r="B57" s="552" t="s">
        <v>572</v>
      </c>
      <c r="C57" s="639"/>
      <c r="D57" s="639"/>
      <c r="E57" s="567">
        <f t="shared" si="4"/>
        <v>0</v>
      </c>
      <c r="F57" s="639"/>
      <c r="G57" s="639"/>
      <c r="H57" s="567">
        <f t="shared" si="5"/>
        <v>0</v>
      </c>
    </row>
    <row r="58" spans="1:8" ht="15.75">
      <c r="A58" s="548">
        <v>26</v>
      </c>
      <c r="B58" s="552" t="s">
        <v>573</v>
      </c>
      <c r="C58" s="639"/>
      <c r="D58" s="639"/>
      <c r="E58" s="567">
        <f t="shared" si="4"/>
        <v>0</v>
      </c>
      <c r="F58" s="639"/>
      <c r="G58" s="639"/>
      <c r="H58" s="567">
        <f t="shared" si="5"/>
        <v>0</v>
      </c>
    </row>
    <row r="59" spans="1:8" ht="15.75">
      <c r="A59" s="548">
        <v>27</v>
      </c>
      <c r="B59" s="552" t="s">
        <v>574</v>
      </c>
      <c r="C59" s="639">
        <v>0</v>
      </c>
      <c r="D59" s="639">
        <v>55386000</v>
      </c>
      <c r="E59" s="567">
        <f t="shared" si="4"/>
        <v>55386000</v>
      </c>
      <c r="F59" s="639">
        <v>0</v>
      </c>
      <c r="G59" s="639">
        <v>49978300</v>
      </c>
      <c r="H59" s="567">
        <f t="shared" si="5"/>
        <v>49978300</v>
      </c>
    </row>
    <row r="60" spans="1:8" ht="15.75">
      <c r="A60" s="548">
        <v>27.1</v>
      </c>
      <c r="B60" s="550" t="s">
        <v>575</v>
      </c>
      <c r="C60" s="639">
        <v>0</v>
      </c>
      <c r="D60" s="639">
        <v>55386000</v>
      </c>
      <c r="E60" s="567">
        <f t="shared" si="4"/>
        <v>55386000</v>
      </c>
      <c r="F60" s="639">
        <v>0</v>
      </c>
      <c r="G60" s="639">
        <v>49978300</v>
      </c>
      <c r="H60" s="567">
        <f t="shared" si="5"/>
        <v>49978300</v>
      </c>
    </row>
    <row r="61" spans="1:8" ht="15.75">
      <c r="A61" s="548">
        <v>27.2</v>
      </c>
      <c r="B61" s="550" t="s">
        <v>576</v>
      </c>
      <c r="C61" s="639"/>
      <c r="D61" s="639"/>
      <c r="E61" s="567">
        <f t="shared" si="4"/>
        <v>0</v>
      </c>
      <c r="F61" s="639"/>
      <c r="G61" s="639"/>
      <c r="H61" s="567">
        <f t="shared" si="5"/>
        <v>0</v>
      </c>
    </row>
    <row r="62" spans="1:8" ht="15.75">
      <c r="A62" s="548">
        <v>28</v>
      </c>
      <c r="B62" s="558" t="s">
        <v>577</v>
      </c>
      <c r="C62" s="639"/>
      <c r="D62" s="639"/>
      <c r="E62" s="567">
        <f t="shared" si="4"/>
        <v>0</v>
      </c>
      <c r="F62" s="639"/>
      <c r="G62" s="639"/>
      <c r="H62" s="567">
        <f t="shared" si="5"/>
        <v>0</v>
      </c>
    </row>
    <row r="63" spans="1:8" ht="15.75">
      <c r="A63" s="548">
        <v>29</v>
      </c>
      <c r="B63" s="552" t="s">
        <v>578</v>
      </c>
      <c r="C63" s="639">
        <v>12392777</v>
      </c>
      <c r="D63" s="639">
        <v>0</v>
      </c>
      <c r="E63" s="567">
        <f t="shared" si="4"/>
        <v>12392777</v>
      </c>
      <c r="F63" s="639">
        <v>11667950</v>
      </c>
      <c r="G63" s="639">
        <v>0</v>
      </c>
      <c r="H63" s="567">
        <f t="shared" si="5"/>
        <v>11667950</v>
      </c>
    </row>
    <row r="64" spans="1:8" ht="15.75">
      <c r="A64" s="548">
        <v>29.1</v>
      </c>
      <c r="B64" s="542" t="s">
        <v>579</v>
      </c>
      <c r="C64" s="639">
        <v>12392777</v>
      </c>
      <c r="D64" s="639"/>
      <c r="E64" s="567">
        <f t="shared" si="4"/>
        <v>12392777</v>
      </c>
      <c r="F64" s="639">
        <v>11667950</v>
      </c>
      <c r="G64" s="639"/>
      <c r="H64" s="567">
        <f t="shared" si="5"/>
        <v>11667950</v>
      </c>
    </row>
    <row r="65" spans="1:8" ht="25.15" customHeight="1">
      <c r="A65" s="548">
        <v>29.2</v>
      </c>
      <c r="B65" s="559" t="s">
        <v>580</v>
      </c>
      <c r="C65" s="639"/>
      <c r="D65" s="639"/>
      <c r="E65" s="567">
        <f t="shared" si="4"/>
        <v>0</v>
      </c>
      <c r="F65" s="639"/>
      <c r="G65" s="639"/>
      <c r="H65" s="567">
        <f t="shared" si="5"/>
        <v>0</v>
      </c>
    </row>
    <row r="66" spans="1:8" ht="22.5" customHeight="1">
      <c r="A66" s="548">
        <v>29.3</v>
      </c>
      <c r="B66" s="559" t="s">
        <v>581</v>
      </c>
      <c r="C66" s="639"/>
      <c r="D66" s="639"/>
      <c r="E66" s="567">
        <f t="shared" si="4"/>
        <v>0</v>
      </c>
      <c r="F66" s="639"/>
      <c r="G66" s="639"/>
      <c r="H66" s="567">
        <f t="shared" si="5"/>
        <v>0</v>
      </c>
    </row>
    <row r="67" spans="1:8" ht="15.75">
      <c r="A67" s="548">
        <v>30</v>
      </c>
      <c r="B67" s="539" t="s">
        <v>582</v>
      </c>
      <c r="C67" s="639">
        <v>12633441.7975633</v>
      </c>
      <c r="D67" s="639"/>
      <c r="E67" s="567">
        <f t="shared" si="4"/>
        <v>12633441.7975633</v>
      </c>
      <c r="F67" s="639">
        <v>53904064.68</v>
      </c>
      <c r="G67" s="639"/>
      <c r="H67" s="567">
        <f t="shared" si="5"/>
        <v>53904064.68</v>
      </c>
    </row>
    <row r="68" spans="1:8" ht="15.75">
      <c r="A68" s="548">
        <v>31</v>
      </c>
      <c r="B68" s="560" t="s">
        <v>751</v>
      </c>
      <c r="C68" s="639">
        <v>234034495.79756331</v>
      </c>
      <c r="D68" s="639">
        <v>55386000</v>
      </c>
      <c r="E68" s="567">
        <f t="shared" si="4"/>
        <v>289420495.79756331</v>
      </c>
      <c r="F68" s="639">
        <v>274580291.68000001</v>
      </c>
      <c r="G68" s="639">
        <v>49978300</v>
      </c>
      <c r="H68" s="567">
        <f t="shared" si="5"/>
        <v>324558591.68000001</v>
      </c>
    </row>
    <row r="69" spans="1:8" ht="15.75">
      <c r="A69" s="548">
        <v>32</v>
      </c>
      <c r="B69" s="561" t="s">
        <v>584</v>
      </c>
      <c r="C69" s="644">
        <f>SUM(C53,C68)</f>
        <v>248567355.75304949</v>
      </c>
      <c r="D69" s="644">
        <f>SUM(D53,D68)</f>
        <v>194126274.89041537</v>
      </c>
      <c r="E69" s="567">
        <f t="shared" si="4"/>
        <v>442693630.64346486</v>
      </c>
      <c r="F69" s="644">
        <f>SUM(F53,F68)</f>
        <v>291829681.28784209</v>
      </c>
      <c r="G69" s="644">
        <f>SUM(G53,G68)</f>
        <v>166452446.31059998</v>
      </c>
      <c r="H69" s="567">
        <f t="shared" si="5"/>
        <v>458282127.59844208</v>
      </c>
    </row>
    <row r="72" spans="1:8">
      <c r="B72" s="615" t="s">
        <v>752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60" zoomScaleNormal="60" workbookViewId="0">
      <selection activeCell="C7" sqref="C7:L33"/>
    </sheetView>
  </sheetViews>
  <sheetFormatPr defaultColWidth="9.28515625" defaultRowHeight="12.75"/>
  <cols>
    <col min="1" max="1" width="11.7109375" style="398" bestFit="1" customWidth="1"/>
    <col min="2" max="2" width="93.42578125" style="398" customWidth="1"/>
    <col min="3" max="3" width="14.7109375" style="398" customWidth="1"/>
    <col min="4" max="5" width="16.140625" style="398" customWidth="1"/>
    <col min="6" max="6" width="16.140625" style="466" customWidth="1"/>
    <col min="7" max="7" width="25.28515625" style="466" customWidth="1"/>
    <col min="8" max="8" width="16.140625" style="398" customWidth="1"/>
    <col min="9" max="11" width="16.140625" style="466" customWidth="1"/>
    <col min="12" max="12" width="26.28515625" style="466" customWidth="1"/>
    <col min="13" max="16384" width="9.28515625" style="398"/>
  </cols>
  <sheetData>
    <row r="1" spans="1:12" ht="13.5">
      <c r="A1" s="310" t="s">
        <v>30</v>
      </c>
      <c r="B1" s="383" t="str">
        <f>'Info '!C2</f>
        <v>VTB Bank Georgia JSC</v>
      </c>
      <c r="F1" s="398"/>
      <c r="G1" s="398"/>
      <c r="I1" s="398"/>
      <c r="J1" s="398"/>
      <c r="K1" s="398"/>
      <c r="L1" s="398"/>
    </row>
    <row r="2" spans="1:12">
      <c r="A2" s="311" t="s">
        <v>31</v>
      </c>
      <c r="B2" s="382">
        <f>'1. key ratios '!B2</f>
        <v>45930</v>
      </c>
      <c r="F2" s="398"/>
      <c r="G2" s="398"/>
      <c r="I2" s="398"/>
      <c r="J2" s="398"/>
      <c r="K2" s="398"/>
      <c r="L2" s="398"/>
    </row>
    <row r="3" spans="1:12">
      <c r="A3" s="312" t="s">
        <v>466</v>
      </c>
      <c r="F3" s="398"/>
      <c r="G3" s="398"/>
      <c r="I3" s="398"/>
      <c r="J3" s="398"/>
      <c r="K3" s="398"/>
      <c r="L3" s="398"/>
    </row>
    <row r="4" spans="1:12">
      <c r="F4" s="398"/>
      <c r="G4" s="398"/>
      <c r="I4" s="398"/>
      <c r="J4" s="398"/>
      <c r="K4" s="398"/>
      <c r="L4" s="398"/>
    </row>
    <row r="5" spans="1:12" ht="37.5" customHeight="1">
      <c r="A5" s="841" t="s">
        <v>483</v>
      </c>
      <c r="B5" s="842"/>
      <c r="C5" s="887" t="s">
        <v>467</v>
      </c>
      <c r="D5" s="888"/>
      <c r="E5" s="888"/>
      <c r="F5" s="888"/>
      <c r="G5" s="888"/>
      <c r="H5" s="889" t="s">
        <v>627</v>
      </c>
      <c r="I5" s="890"/>
      <c r="J5" s="890"/>
      <c r="K5" s="890"/>
      <c r="L5" s="891"/>
    </row>
    <row r="6" spans="1:12" ht="39.4" customHeight="1">
      <c r="A6" s="845"/>
      <c r="B6" s="846"/>
      <c r="C6" s="314"/>
      <c r="D6" s="396" t="s">
        <v>648</v>
      </c>
      <c r="E6" s="396" t="s">
        <v>647</v>
      </c>
      <c r="F6" s="396" t="s">
        <v>646</v>
      </c>
      <c r="G6" s="396" t="s">
        <v>645</v>
      </c>
      <c r="H6" s="469"/>
      <c r="I6" s="396" t="s">
        <v>648</v>
      </c>
      <c r="J6" s="396" t="s">
        <v>647</v>
      </c>
      <c r="K6" s="396" t="s">
        <v>646</v>
      </c>
      <c r="L6" s="396" t="s">
        <v>645</v>
      </c>
    </row>
    <row r="7" spans="1:12" ht="18">
      <c r="A7" s="387">
        <v>1</v>
      </c>
      <c r="B7" s="404" t="s">
        <v>486</v>
      </c>
      <c r="C7" s="744">
        <v>0</v>
      </c>
      <c r="D7" s="716">
        <v>0</v>
      </c>
      <c r="E7" s="716">
        <v>0</v>
      </c>
      <c r="F7" s="745">
        <v>0</v>
      </c>
      <c r="G7" s="745">
        <v>0</v>
      </c>
      <c r="H7" s="716">
        <v>0</v>
      </c>
      <c r="I7" s="745">
        <v>0</v>
      </c>
      <c r="J7" s="745">
        <v>0</v>
      </c>
      <c r="K7" s="745">
        <v>0</v>
      </c>
      <c r="L7" s="745">
        <v>0</v>
      </c>
    </row>
    <row r="8" spans="1:12">
      <c r="A8" s="387">
        <v>2</v>
      </c>
      <c r="B8" s="404" t="s">
        <v>399</v>
      </c>
      <c r="C8" s="744">
        <v>6262600.905301597</v>
      </c>
      <c r="D8" s="716">
        <v>5771471.3337015975</v>
      </c>
      <c r="E8" s="716">
        <v>0</v>
      </c>
      <c r="F8" s="746">
        <v>491129.57159999991</v>
      </c>
      <c r="G8" s="746"/>
      <c r="H8" s="716">
        <v>278200.4658278788</v>
      </c>
      <c r="I8" s="746">
        <v>16057.981083058705</v>
      </c>
      <c r="J8" s="746">
        <v>0</v>
      </c>
      <c r="K8" s="746">
        <v>262142.4847448201</v>
      </c>
      <c r="L8" s="746"/>
    </row>
    <row r="9" spans="1:12">
      <c r="A9" s="387">
        <v>3</v>
      </c>
      <c r="B9" s="404" t="s">
        <v>400</v>
      </c>
      <c r="C9" s="744">
        <v>0</v>
      </c>
      <c r="D9" s="716">
        <v>0</v>
      </c>
      <c r="E9" s="716">
        <v>0</v>
      </c>
      <c r="F9" s="747">
        <v>0</v>
      </c>
      <c r="G9" s="747"/>
      <c r="H9" s="716">
        <v>0</v>
      </c>
      <c r="I9" s="747">
        <v>0</v>
      </c>
      <c r="J9" s="747">
        <v>0</v>
      </c>
      <c r="K9" s="747">
        <v>0</v>
      </c>
      <c r="L9" s="747"/>
    </row>
    <row r="10" spans="1:12">
      <c r="A10" s="387">
        <v>4</v>
      </c>
      <c r="B10" s="404" t="s">
        <v>487</v>
      </c>
      <c r="C10" s="744">
        <v>678468.88320000004</v>
      </c>
      <c r="D10" s="716">
        <v>0</v>
      </c>
      <c r="E10" s="716">
        <v>0</v>
      </c>
      <c r="F10" s="747">
        <v>678468.88320000004</v>
      </c>
      <c r="G10" s="747"/>
      <c r="H10" s="716">
        <v>439465.29063120455</v>
      </c>
      <c r="I10" s="747">
        <v>0</v>
      </c>
      <c r="J10" s="747">
        <v>0</v>
      </c>
      <c r="K10" s="747">
        <v>439465.29063120455</v>
      </c>
      <c r="L10" s="747"/>
    </row>
    <row r="11" spans="1:12">
      <c r="A11" s="387">
        <v>5</v>
      </c>
      <c r="B11" s="404" t="s">
        <v>401</v>
      </c>
      <c r="C11" s="744">
        <v>4768020.7917160001</v>
      </c>
      <c r="D11" s="716">
        <v>4051559.8236999996</v>
      </c>
      <c r="E11" s="716">
        <v>0</v>
      </c>
      <c r="F11" s="747">
        <v>716460.968016</v>
      </c>
      <c r="G11" s="747"/>
      <c r="H11" s="716">
        <v>263695.60170478799</v>
      </c>
      <c r="I11" s="747">
        <v>1889.1427810097505</v>
      </c>
      <c r="J11" s="747">
        <v>0</v>
      </c>
      <c r="K11" s="747">
        <v>261806.45892377826</v>
      </c>
      <c r="L11" s="747"/>
    </row>
    <row r="12" spans="1:12">
      <c r="A12" s="387">
        <v>6</v>
      </c>
      <c r="B12" s="404" t="s">
        <v>402</v>
      </c>
      <c r="C12" s="744">
        <v>0</v>
      </c>
      <c r="D12" s="716">
        <v>0</v>
      </c>
      <c r="E12" s="716">
        <v>0</v>
      </c>
      <c r="F12" s="747">
        <v>0</v>
      </c>
      <c r="G12" s="747"/>
      <c r="H12" s="716">
        <v>0</v>
      </c>
      <c r="I12" s="747">
        <v>0</v>
      </c>
      <c r="J12" s="747">
        <v>0</v>
      </c>
      <c r="K12" s="747">
        <v>0</v>
      </c>
      <c r="L12" s="747"/>
    </row>
    <row r="13" spans="1:12">
      <c r="A13" s="387">
        <v>7</v>
      </c>
      <c r="B13" s="404" t="s">
        <v>403</v>
      </c>
      <c r="C13" s="744">
        <v>0</v>
      </c>
      <c r="D13" s="716">
        <v>0</v>
      </c>
      <c r="E13" s="716">
        <v>0</v>
      </c>
      <c r="F13" s="747">
        <v>0</v>
      </c>
      <c r="G13" s="747"/>
      <c r="H13" s="716">
        <v>0</v>
      </c>
      <c r="I13" s="747">
        <v>0</v>
      </c>
      <c r="J13" s="747">
        <v>0</v>
      </c>
      <c r="K13" s="747">
        <v>0</v>
      </c>
      <c r="L13" s="747"/>
    </row>
    <row r="14" spans="1:12">
      <c r="A14" s="387">
        <v>8</v>
      </c>
      <c r="B14" s="404" t="s">
        <v>404</v>
      </c>
      <c r="C14" s="744">
        <v>40578622.276942678</v>
      </c>
      <c r="D14" s="716">
        <v>7784795.8252940001</v>
      </c>
      <c r="E14" s="716">
        <v>0</v>
      </c>
      <c r="F14" s="747">
        <v>32793826.451648675</v>
      </c>
      <c r="G14" s="747"/>
      <c r="H14" s="716">
        <v>8532224.0964744277</v>
      </c>
      <c r="I14" s="747">
        <v>5022.8883779875096</v>
      </c>
      <c r="J14" s="747">
        <v>0</v>
      </c>
      <c r="K14" s="747">
        <v>8527201.2080964409</v>
      </c>
      <c r="L14" s="747"/>
    </row>
    <row r="15" spans="1:12">
      <c r="A15" s="387">
        <v>9</v>
      </c>
      <c r="B15" s="404" t="s">
        <v>405</v>
      </c>
      <c r="C15" s="744">
        <v>24813613.250611998</v>
      </c>
      <c r="D15" s="716">
        <v>83142.069999999992</v>
      </c>
      <c r="E15" s="716">
        <v>3048012.3118119999</v>
      </c>
      <c r="F15" s="747">
        <v>21682458.868799999</v>
      </c>
      <c r="G15" s="747"/>
      <c r="H15" s="716">
        <v>4947437.4849611558</v>
      </c>
      <c r="I15" s="747">
        <v>18.722479003674401</v>
      </c>
      <c r="J15" s="747">
        <v>609602.46236240002</v>
      </c>
      <c r="K15" s="747">
        <v>4337816.3001197521</v>
      </c>
      <c r="L15" s="747"/>
    </row>
    <row r="16" spans="1:12">
      <c r="A16" s="387">
        <v>10</v>
      </c>
      <c r="B16" s="404" t="s">
        <v>406</v>
      </c>
      <c r="C16" s="744">
        <v>7899.9</v>
      </c>
      <c r="D16" s="716">
        <v>0</v>
      </c>
      <c r="E16" s="716">
        <v>0</v>
      </c>
      <c r="F16" s="747">
        <v>7899.9</v>
      </c>
      <c r="G16" s="747"/>
      <c r="H16" s="716">
        <v>7899.9</v>
      </c>
      <c r="I16" s="747">
        <v>0</v>
      </c>
      <c r="J16" s="747">
        <v>0</v>
      </c>
      <c r="K16" s="747">
        <v>7899.9</v>
      </c>
      <c r="L16" s="747"/>
    </row>
    <row r="17" spans="1:12">
      <c r="A17" s="387">
        <v>11</v>
      </c>
      <c r="B17" s="404" t="s">
        <v>407</v>
      </c>
      <c r="C17" s="744">
        <v>0</v>
      </c>
      <c r="D17" s="716">
        <v>0</v>
      </c>
      <c r="E17" s="716">
        <v>0</v>
      </c>
      <c r="F17" s="747">
        <v>0</v>
      </c>
      <c r="G17" s="747"/>
      <c r="H17" s="716">
        <v>0</v>
      </c>
      <c r="I17" s="747">
        <v>0</v>
      </c>
      <c r="J17" s="747">
        <v>0</v>
      </c>
      <c r="K17" s="747">
        <v>0</v>
      </c>
      <c r="L17" s="747"/>
    </row>
    <row r="18" spans="1:12">
      <c r="A18" s="387">
        <v>12</v>
      </c>
      <c r="B18" s="404" t="s">
        <v>408</v>
      </c>
      <c r="C18" s="744">
        <v>841931.07</v>
      </c>
      <c r="D18" s="716">
        <v>0</v>
      </c>
      <c r="E18" s="716">
        <v>0</v>
      </c>
      <c r="F18" s="747">
        <v>841931.07</v>
      </c>
      <c r="G18" s="747"/>
      <c r="H18" s="716">
        <v>841931.07</v>
      </c>
      <c r="I18" s="747">
        <v>0</v>
      </c>
      <c r="J18" s="747">
        <v>0</v>
      </c>
      <c r="K18" s="747">
        <v>841931.07</v>
      </c>
      <c r="L18" s="747"/>
    </row>
    <row r="19" spans="1:12">
      <c r="A19" s="387">
        <v>13</v>
      </c>
      <c r="B19" s="404" t="s">
        <v>409</v>
      </c>
      <c r="C19" s="744">
        <v>4268893.4656834239</v>
      </c>
      <c r="D19" s="716">
        <v>0</v>
      </c>
      <c r="E19" s="716">
        <v>4268893.4656834239</v>
      </c>
      <c r="F19" s="747">
        <v>0</v>
      </c>
      <c r="G19" s="747"/>
      <c r="H19" s="716">
        <v>426809.41703704966</v>
      </c>
      <c r="I19" s="747">
        <v>0</v>
      </c>
      <c r="J19" s="747">
        <v>426809.41703704966</v>
      </c>
      <c r="K19" s="747">
        <v>0</v>
      </c>
      <c r="L19" s="747"/>
    </row>
    <row r="20" spans="1:12">
      <c r="A20" s="387">
        <v>14</v>
      </c>
      <c r="B20" s="404" t="s">
        <v>410</v>
      </c>
      <c r="C20" s="744">
        <v>39407573.43029891</v>
      </c>
      <c r="D20" s="716">
        <v>21244441.558704004</v>
      </c>
      <c r="E20" s="716">
        <v>4791333.28</v>
      </c>
      <c r="F20" s="747">
        <v>13371798.591594901</v>
      </c>
      <c r="G20" s="747"/>
      <c r="H20" s="716">
        <v>5000746.0730229262</v>
      </c>
      <c r="I20" s="747">
        <v>293956.64808667853</v>
      </c>
      <c r="J20" s="747">
        <v>1837358.7076489956</v>
      </c>
      <c r="K20" s="747">
        <v>2869430.7172872517</v>
      </c>
      <c r="L20" s="747"/>
    </row>
    <row r="21" spans="1:12">
      <c r="A21" s="387">
        <v>15</v>
      </c>
      <c r="B21" s="404" t="s">
        <v>411</v>
      </c>
      <c r="C21" s="744">
        <v>0</v>
      </c>
      <c r="D21" s="716">
        <v>0</v>
      </c>
      <c r="E21" s="716">
        <v>0</v>
      </c>
      <c r="F21" s="747">
        <v>0</v>
      </c>
      <c r="G21" s="747"/>
      <c r="H21" s="716">
        <v>0</v>
      </c>
      <c r="I21" s="747">
        <v>0</v>
      </c>
      <c r="J21" s="747">
        <v>0</v>
      </c>
      <c r="K21" s="747">
        <v>0</v>
      </c>
      <c r="L21" s="747"/>
    </row>
    <row r="22" spans="1:12">
      <c r="A22" s="387">
        <v>16</v>
      </c>
      <c r="B22" s="404" t="s">
        <v>412</v>
      </c>
      <c r="C22" s="744">
        <v>0</v>
      </c>
      <c r="D22" s="716">
        <v>0</v>
      </c>
      <c r="E22" s="716">
        <v>0</v>
      </c>
      <c r="F22" s="747">
        <v>0</v>
      </c>
      <c r="G22" s="747"/>
      <c r="H22" s="716">
        <v>0</v>
      </c>
      <c r="I22" s="747">
        <v>0</v>
      </c>
      <c r="J22" s="747">
        <v>0</v>
      </c>
      <c r="K22" s="747">
        <v>0</v>
      </c>
      <c r="L22" s="747"/>
    </row>
    <row r="23" spans="1:12">
      <c r="A23" s="387">
        <v>17</v>
      </c>
      <c r="B23" s="404" t="s">
        <v>490</v>
      </c>
      <c r="C23" s="744">
        <v>17374039.172346447</v>
      </c>
      <c r="D23" s="716">
        <v>0</v>
      </c>
      <c r="E23" s="716">
        <v>13151897.623546448</v>
      </c>
      <c r="F23" s="747">
        <v>4222141.5488</v>
      </c>
      <c r="G23" s="747"/>
      <c r="H23" s="716">
        <v>2200189.6000786722</v>
      </c>
      <c r="I23" s="747">
        <v>0</v>
      </c>
      <c r="J23" s="747">
        <v>79863.231870627686</v>
      </c>
      <c r="K23" s="747">
        <v>2120326.3682080447</v>
      </c>
      <c r="L23" s="747"/>
    </row>
    <row r="24" spans="1:12">
      <c r="A24" s="387">
        <v>18</v>
      </c>
      <c r="B24" s="404" t="s">
        <v>413</v>
      </c>
      <c r="C24" s="744">
        <v>0</v>
      </c>
      <c r="D24" s="716">
        <v>0</v>
      </c>
      <c r="E24" s="716">
        <v>0</v>
      </c>
      <c r="F24" s="747">
        <v>0</v>
      </c>
      <c r="G24" s="747"/>
      <c r="H24" s="716">
        <v>0</v>
      </c>
      <c r="I24" s="747">
        <v>0</v>
      </c>
      <c r="J24" s="747">
        <v>0</v>
      </c>
      <c r="K24" s="747">
        <v>0</v>
      </c>
      <c r="L24" s="747"/>
    </row>
    <row r="25" spans="1:12">
      <c r="A25" s="387">
        <v>19</v>
      </c>
      <c r="B25" s="404" t="s">
        <v>414</v>
      </c>
      <c r="C25" s="744">
        <v>0</v>
      </c>
      <c r="D25" s="716">
        <v>0</v>
      </c>
      <c r="E25" s="716">
        <v>0</v>
      </c>
      <c r="F25" s="747">
        <v>0</v>
      </c>
      <c r="G25" s="747"/>
      <c r="H25" s="716">
        <v>0</v>
      </c>
      <c r="I25" s="747">
        <v>0</v>
      </c>
      <c r="J25" s="747">
        <v>0</v>
      </c>
      <c r="K25" s="747">
        <v>0</v>
      </c>
      <c r="L25" s="747"/>
    </row>
    <row r="26" spans="1:12">
      <c r="A26" s="387">
        <v>20</v>
      </c>
      <c r="B26" s="404" t="s">
        <v>489</v>
      </c>
      <c r="C26" s="744">
        <v>5421215.7500000009</v>
      </c>
      <c r="D26" s="716">
        <v>5421215.7500000009</v>
      </c>
      <c r="E26" s="716">
        <v>0</v>
      </c>
      <c r="F26" s="747">
        <v>0</v>
      </c>
      <c r="G26" s="747"/>
      <c r="H26" s="716">
        <v>4496.4102567016644</v>
      </c>
      <c r="I26" s="747">
        <v>4496.4102567016644</v>
      </c>
      <c r="J26" s="747">
        <v>0</v>
      </c>
      <c r="K26" s="747">
        <v>0</v>
      </c>
      <c r="L26" s="747"/>
    </row>
    <row r="27" spans="1:12">
      <c r="A27" s="387">
        <v>21</v>
      </c>
      <c r="B27" s="404" t="s">
        <v>415</v>
      </c>
      <c r="C27" s="744">
        <v>0</v>
      </c>
      <c r="D27" s="716">
        <v>0</v>
      </c>
      <c r="E27" s="716">
        <v>0</v>
      </c>
      <c r="F27" s="747">
        <v>0</v>
      </c>
      <c r="G27" s="747"/>
      <c r="H27" s="716">
        <v>0</v>
      </c>
      <c r="I27" s="747">
        <v>0</v>
      </c>
      <c r="J27" s="747">
        <v>0</v>
      </c>
      <c r="K27" s="747">
        <v>0</v>
      </c>
      <c r="L27" s="747"/>
    </row>
    <row r="28" spans="1:12">
      <c r="A28" s="387">
        <v>22</v>
      </c>
      <c r="B28" s="404" t="s">
        <v>416</v>
      </c>
      <c r="C28" s="744">
        <v>0</v>
      </c>
      <c r="D28" s="716">
        <v>0</v>
      </c>
      <c r="E28" s="716">
        <v>0</v>
      </c>
      <c r="F28" s="747">
        <v>0</v>
      </c>
      <c r="G28" s="747"/>
      <c r="H28" s="716">
        <v>0</v>
      </c>
      <c r="I28" s="747">
        <v>0</v>
      </c>
      <c r="J28" s="747">
        <v>0</v>
      </c>
      <c r="K28" s="747">
        <v>0</v>
      </c>
      <c r="L28" s="747"/>
    </row>
    <row r="29" spans="1:12">
      <c r="A29" s="387">
        <v>23</v>
      </c>
      <c r="B29" s="404" t="s">
        <v>417</v>
      </c>
      <c r="C29" s="744">
        <v>11053264.316293031</v>
      </c>
      <c r="D29" s="716">
        <v>1595403.1431</v>
      </c>
      <c r="E29" s="716">
        <v>0</v>
      </c>
      <c r="F29" s="747">
        <v>9457861.1731930301</v>
      </c>
      <c r="G29" s="747"/>
      <c r="H29" s="716">
        <v>2940151.4422675529</v>
      </c>
      <c r="I29" s="747">
        <v>12163.4517757843</v>
      </c>
      <c r="J29" s="747">
        <v>0</v>
      </c>
      <c r="K29" s="747">
        <v>2927987.9904917688</v>
      </c>
      <c r="L29" s="747"/>
    </row>
    <row r="30" spans="1:12">
      <c r="A30" s="387">
        <v>24</v>
      </c>
      <c r="B30" s="404" t="s">
        <v>488</v>
      </c>
      <c r="C30" s="744">
        <v>3834642.3331500003</v>
      </c>
      <c r="D30" s="716">
        <v>1923549.1377000003</v>
      </c>
      <c r="E30" s="716">
        <v>0</v>
      </c>
      <c r="F30" s="747">
        <v>1911093.1954500002</v>
      </c>
      <c r="G30" s="747"/>
      <c r="H30" s="716">
        <v>347555.41410848103</v>
      </c>
      <c r="I30" s="747">
        <v>5088.2139256214969</v>
      </c>
      <c r="J30" s="747">
        <v>0</v>
      </c>
      <c r="K30" s="747">
        <v>342467.20018285955</v>
      </c>
      <c r="L30" s="747"/>
    </row>
    <row r="31" spans="1:12">
      <c r="A31" s="387">
        <v>25</v>
      </c>
      <c r="B31" s="404" t="s">
        <v>418</v>
      </c>
      <c r="C31" s="744">
        <v>0</v>
      </c>
      <c r="D31" s="716">
        <v>0</v>
      </c>
      <c r="E31" s="716">
        <v>0</v>
      </c>
      <c r="F31" s="747">
        <v>0</v>
      </c>
      <c r="G31" s="747"/>
      <c r="H31" s="716">
        <v>0</v>
      </c>
      <c r="I31" s="747">
        <v>0</v>
      </c>
      <c r="J31" s="747">
        <v>0</v>
      </c>
      <c r="K31" s="747">
        <v>0</v>
      </c>
      <c r="L31" s="747"/>
    </row>
    <row r="32" spans="1:12">
      <c r="A32" s="387">
        <v>26</v>
      </c>
      <c r="B32" s="404" t="s">
        <v>485</v>
      </c>
      <c r="C32" s="744">
        <v>958973.2162380002</v>
      </c>
      <c r="D32" s="716">
        <v>783890.25256800011</v>
      </c>
      <c r="E32" s="716">
        <v>0</v>
      </c>
      <c r="F32" s="747">
        <v>175082.96367000003</v>
      </c>
      <c r="G32" s="747"/>
      <c r="H32" s="716">
        <v>78670.630254151984</v>
      </c>
      <c r="I32" s="747">
        <v>3726.3357363663004</v>
      </c>
      <c r="J32" s="747">
        <v>0</v>
      </c>
      <c r="K32" s="747">
        <v>74944.294517785689</v>
      </c>
      <c r="L32" s="747"/>
    </row>
    <row r="33" spans="1:12">
      <c r="A33" s="387">
        <v>27</v>
      </c>
      <c r="B33" s="468" t="s">
        <v>64</v>
      </c>
      <c r="C33" s="748">
        <v>160269758.76178208</v>
      </c>
      <c r="D33" s="716">
        <v>48659468.894767605</v>
      </c>
      <c r="E33" s="716">
        <v>25260136.68104187</v>
      </c>
      <c r="F33" s="747">
        <v>86350153.185972601</v>
      </c>
      <c r="G33" s="747">
        <v>0</v>
      </c>
      <c r="H33" s="717">
        <v>26309472.896624994</v>
      </c>
      <c r="I33" s="747">
        <v>342419.79450221185</v>
      </c>
      <c r="J33" s="747">
        <v>2953633.8189190729</v>
      </c>
      <c r="K33" s="747">
        <v>23013419.283203706</v>
      </c>
      <c r="L33" s="747">
        <v>0</v>
      </c>
    </row>
    <row r="34" spans="1:12">
      <c r="A34" s="419"/>
      <c r="B34" s="419"/>
      <c r="C34" s="419"/>
      <c r="D34" s="419"/>
      <c r="E34" s="419"/>
      <c r="H34" s="419"/>
    </row>
    <row r="35" spans="1:12">
      <c r="A35" s="419"/>
      <c r="B35" s="467"/>
      <c r="C35" s="467"/>
      <c r="D35" s="419"/>
      <c r="E35" s="419"/>
      <c r="H35" s="419"/>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C6" sqref="C6:K10"/>
    </sheetView>
  </sheetViews>
  <sheetFormatPr defaultColWidth="8.7109375" defaultRowHeight="12"/>
  <cols>
    <col min="1" max="1" width="11.7109375" style="470" bestFit="1" customWidth="1"/>
    <col min="2" max="2" width="68.7109375" style="470" customWidth="1"/>
    <col min="3" max="11" width="28.28515625" style="470" customWidth="1"/>
    <col min="12" max="16384" width="8.7109375" style="470"/>
  </cols>
  <sheetData>
    <row r="1" spans="1:11" s="398" customFormat="1" ht="13.5">
      <c r="A1" s="310" t="s">
        <v>30</v>
      </c>
      <c r="B1" s="383" t="str">
        <f>'Info '!C2</f>
        <v>VTB Bank Georgia JSC</v>
      </c>
    </row>
    <row r="2" spans="1:11" s="398" customFormat="1" ht="12.75">
      <c r="A2" s="311" t="s">
        <v>31</v>
      </c>
      <c r="B2" s="382">
        <f>'1. key ratios '!B2</f>
        <v>45930</v>
      </c>
    </row>
    <row r="3" spans="1:11" s="398" customFormat="1" ht="12.75">
      <c r="A3" s="312" t="s">
        <v>468</v>
      </c>
    </row>
    <row r="4" spans="1:11">
      <c r="C4" s="474" t="s">
        <v>662</v>
      </c>
      <c r="D4" s="474" t="s">
        <v>661</v>
      </c>
      <c r="E4" s="474" t="s">
        <v>660</v>
      </c>
      <c r="F4" s="474" t="s">
        <v>659</v>
      </c>
      <c r="G4" s="474" t="s">
        <v>658</v>
      </c>
      <c r="H4" s="474" t="s">
        <v>657</v>
      </c>
      <c r="I4" s="474" t="s">
        <v>656</v>
      </c>
      <c r="J4" s="474" t="s">
        <v>655</v>
      </c>
      <c r="K4" s="474" t="s">
        <v>654</v>
      </c>
    </row>
    <row r="5" spans="1:11" ht="103.9" customHeight="1">
      <c r="A5" s="892" t="s">
        <v>653</v>
      </c>
      <c r="B5" s="893"/>
      <c r="C5" s="473" t="s">
        <v>469</v>
      </c>
      <c r="D5" s="473" t="s">
        <v>470</v>
      </c>
      <c r="E5" s="473" t="s">
        <v>471</v>
      </c>
      <c r="F5" s="473" t="s">
        <v>472</v>
      </c>
      <c r="G5" s="473" t="s">
        <v>473</v>
      </c>
      <c r="H5" s="473" t="s">
        <v>474</v>
      </c>
      <c r="I5" s="473" t="s">
        <v>475</v>
      </c>
      <c r="J5" s="473" t="s">
        <v>476</v>
      </c>
      <c r="K5" s="473" t="s">
        <v>477</v>
      </c>
    </row>
    <row r="6" spans="1:11" ht="12.75">
      <c r="A6" s="386">
        <v>1</v>
      </c>
      <c r="B6" s="386" t="s">
        <v>437</v>
      </c>
      <c r="C6" s="734">
        <v>128923.58542999999</v>
      </c>
      <c r="D6" s="734">
        <v>44648.72</v>
      </c>
      <c r="E6" s="734">
        <v>0</v>
      </c>
      <c r="F6" s="734">
        <v>0</v>
      </c>
      <c r="G6" s="734">
        <v>130052891.94960901</v>
      </c>
      <c r="H6" s="734">
        <v>4442060.7173486724</v>
      </c>
      <c r="I6" s="734">
        <v>5169000.5814504465</v>
      </c>
      <c r="J6" s="734">
        <v>3394641.9630000005</v>
      </c>
      <c r="K6" s="734">
        <v>17037591.244943995</v>
      </c>
    </row>
    <row r="7" spans="1:11" ht="12.75">
      <c r="A7" s="386">
        <v>2</v>
      </c>
      <c r="B7" s="387" t="s">
        <v>478</v>
      </c>
      <c r="C7" s="734"/>
      <c r="D7" s="734"/>
      <c r="E7" s="734"/>
      <c r="F7" s="734"/>
      <c r="G7" s="734"/>
      <c r="H7" s="734"/>
      <c r="I7" s="734"/>
      <c r="J7" s="734"/>
      <c r="K7" s="734"/>
    </row>
    <row r="8" spans="1:11" ht="12.75">
      <c r="A8" s="386">
        <v>3</v>
      </c>
      <c r="B8" s="387" t="s">
        <v>445</v>
      </c>
      <c r="C8" s="734">
        <v>30000</v>
      </c>
      <c r="D8" s="734">
        <v>0</v>
      </c>
      <c r="E8" s="734">
        <v>0</v>
      </c>
      <c r="F8" s="734">
        <v>0</v>
      </c>
      <c r="G8" s="734">
        <v>47753.851799999997</v>
      </c>
      <c r="H8" s="734">
        <v>0</v>
      </c>
      <c r="I8" s="734">
        <v>0</v>
      </c>
      <c r="J8" s="734">
        <v>0</v>
      </c>
      <c r="K8" s="734">
        <v>122246.1482</v>
      </c>
    </row>
    <row r="9" spans="1:11" ht="12.75">
      <c r="A9" s="386">
        <v>4</v>
      </c>
      <c r="B9" s="420" t="s">
        <v>479</v>
      </c>
      <c r="C9" s="749">
        <v>128923.58542999999</v>
      </c>
      <c r="D9" s="749">
        <v>0</v>
      </c>
      <c r="E9" s="749">
        <v>0</v>
      </c>
      <c r="F9" s="749">
        <v>0</v>
      </c>
      <c r="G9" s="749">
        <v>76458056.617293924</v>
      </c>
      <c r="H9" s="749">
        <v>4255687.4373486722</v>
      </c>
      <c r="I9" s="749">
        <v>3045022.5142999995</v>
      </c>
      <c r="J9" s="749">
        <v>1708289.6320000002</v>
      </c>
      <c r="K9" s="749">
        <v>754173.3996</v>
      </c>
    </row>
    <row r="10" spans="1:11" ht="12.75">
      <c r="A10" s="386">
        <v>5</v>
      </c>
      <c r="B10" s="409" t="s">
        <v>480</v>
      </c>
      <c r="C10" s="749"/>
      <c r="D10" s="749"/>
      <c r="E10" s="749"/>
      <c r="F10" s="749"/>
      <c r="G10" s="749"/>
      <c r="H10" s="749"/>
      <c r="I10" s="749"/>
      <c r="J10" s="749"/>
      <c r="K10" s="749"/>
    </row>
    <row r="11" spans="1:11" ht="12.75">
      <c r="A11" s="386">
        <v>6</v>
      </c>
      <c r="B11" s="409" t="s">
        <v>481</v>
      </c>
      <c r="C11" s="472"/>
      <c r="D11" s="472"/>
      <c r="E11" s="472"/>
      <c r="F11" s="472"/>
      <c r="G11" s="472"/>
      <c r="H11" s="472"/>
      <c r="I11" s="472"/>
      <c r="J11" s="472"/>
      <c r="K11" s="472"/>
    </row>
    <row r="13" spans="1:11" ht="15">
      <c r="B13" s="471"/>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C7" sqref="C7:V19"/>
    </sheetView>
  </sheetViews>
  <sheetFormatPr defaultColWidth="8.7109375" defaultRowHeight="15"/>
  <cols>
    <col min="1" max="1" width="10" style="475" bestFit="1" customWidth="1"/>
    <col min="2" max="2" width="71.7109375" style="475" customWidth="1"/>
    <col min="3" max="3" width="10.7109375" style="475" bestFit="1" customWidth="1"/>
    <col min="4" max="7" width="15.5703125" style="475" customWidth="1"/>
    <col min="8" max="8" width="10.7109375" style="475" bestFit="1" customWidth="1"/>
    <col min="9" max="12" width="17.28515625" style="475" customWidth="1"/>
    <col min="13" max="13" width="10.7109375" style="475" bestFit="1" customWidth="1"/>
    <col min="14" max="17" width="16.28515625" style="475" customWidth="1"/>
    <col min="18" max="18" width="12.28515625" style="475" bestFit="1" customWidth="1"/>
    <col min="19" max="19" width="46.85546875" style="475" bestFit="1" customWidth="1"/>
    <col min="20" max="20" width="43.42578125" style="475" bestFit="1" customWidth="1"/>
    <col min="21" max="21" width="45.85546875" style="475" bestFit="1" customWidth="1"/>
    <col min="22" max="22" width="43.28515625" style="475" bestFit="1" customWidth="1"/>
    <col min="23" max="16384" width="8.7109375" style="475"/>
  </cols>
  <sheetData>
    <row r="1" spans="1:22">
      <c r="A1" s="310" t="s">
        <v>30</v>
      </c>
      <c r="B1" s="383" t="str">
        <f>'Info '!C2</f>
        <v>VTB Bank Georgia JSC</v>
      </c>
    </row>
    <row r="2" spans="1:22">
      <c r="A2" s="311" t="s">
        <v>31</v>
      </c>
      <c r="B2" s="382">
        <f>'1. key ratios '!B2</f>
        <v>45930</v>
      </c>
    </row>
    <row r="3" spans="1:22">
      <c r="A3" s="312" t="s">
        <v>496</v>
      </c>
      <c r="B3" s="398"/>
    </row>
    <row r="4" spans="1:22">
      <c r="A4" s="312"/>
      <c r="B4" s="398"/>
    </row>
    <row r="5" spans="1:22" ht="24" customHeight="1">
      <c r="A5" s="894" t="s">
        <v>497</v>
      </c>
      <c r="B5" s="895"/>
      <c r="C5" s="899" t="s">
        <v>663</v>
      </c>
      <c r="D5" s="899"/>
      <c r="E5" s="899"/>
      <c r="F5" s="899"/>
      <c r="G5" s="899"/>
      <c r="H5" s="899" t="s">
        <v>515</v>
      </c>
      <c r="I5" s="899"/>
      <c r="J5" s="899"/>
      <c r="K5" s="899"/>
      <c r="L5" s="899"/>
      <c r="M5" s="899" t="s">
        <v>627</v>
      </c>
      <c r="N5" s="899"/>
      <c r="O5" s="899"/>
      <c r="P5" s="899"/>
      <c r="Q5" s="899"/>
      <c r="R5" s="898" t="s">
        <v>498</v>
      </c>
      <c r="S5" s="898" t="s">
        <v>512</v>
      </c>
      <c r="T5" s="898" t="s">
        <v>513</v>
      </c>
      <c r="U5" s="898" t="s">
        <v>671</v>
      </c>
      <c r="V5" s="898" t="s">
        <v>672</v>
      </c>
    </row>
    <row r="6" spans="1:22" ht="36" customHeight="1">
      <c r="A6" s="896"/>
      <c r="B6" s="897"/>
      <c r="C6" s="485"/>
      <c r="D6" s="396" t="s">
        <v>648</v>
      </c>
      <c r="E6" s="396" t="s">
        <v>647</v>
      </c>
      <c r="F6" s="396" t="s">
        <v>646</v>
      </c>
      <c r="G6" s="396" t="s">
        <v>645</v>
      </c>
      <c r="H6" s="485"/>
      <c r="I6" s="396" t="s">
        <v>648</v>
      </c>
      <c r="J6" s="396" t="s">
        <v>647</v>
      </c>
      <c r="K6" s="396" t="s">
        <v>646</v>
      </c>
      <c r="L6" s="396" t="s">
        <v>645</v>
      </c>
      <c r="M6" s="485"/>
      <c r="N6" s="396" t="s">
        <v>648</v>
      </c>
      <c r="O6" s="396" t="s">
        <v>647</v>
      </c>
      <c r="P6" s="396" t="s">
        <v>646</v>
      </c>
      <c r="Q6" s="396" t="s">
        <v>645</v>
      </c>
      <c r="R6" s="898"/>
      <c r="S6" s="898"/>
      <c r="T6" s="898"/>
      <c r="U6" s="898"/>
      <c r="V6" s="898"/>
    </row>
    <row r="7" spans="1:22">
      <c r="A7" s="483">
        <v>1</v>
      </c>
      <c r="B7" s="484" t="s">
        <v>506</v>
      </c>
      <c r="C7" s="750">
        <v>85830.115804000001</v>
      </c>
      <c r="D7" s="750">
        <v>85830.115804000001</v>
      </c>
      <c r="E7" s="750">
        <v>0</v>
      </c>
      <c r="F7" s="750">
        <v>0</v>
      </c>
      <c r="G7" s="750"/>
      <c r="H7" s="750">
        <v>87594.763604000007</v>
      </c>
      <c r="I7" s="750">
        <v>87594.763604000007</v>
      </c>
      <c r="J7" s="750">
        <v>0</v>
      </c>
      <c r="K7" s="750">
        <v>0</v>
      </c>
      <c r="L7" s="750"/>
      <c r="M7" s="750">
        <v>2638.3875150363001</v>
      </c>
      <c r="N7" s="750">
        <v>2638.3875150363001</v>
      </c>
      <c r="O7" s="750">
        <v>0</v>
      </c>
      <c r="P7" s="750">
        <v>0</v>
      </c>
      <c r="Q7" s="750"/>
      <c r="R7" s="750">
        <v>1</v>
      </c>
      <c r="S7" s="750">
        <v>0</v>
      </c>
      <c r="T7" s="750">
        <v>0</v>
      </c>
      <c r="U7" s="750">
        <v>6.0062337697087791E-2</v>
      </c>
      <c r="V7" s="750">
        <v>30.636662322254256</v>
      </c>
    </row>
    <row r="8" spans="1:22">
      <c r="A8" s="483">
        <v>2</v>
      </c>
      <c r="B8" s="482" t="s">
        <v>505</v>
      </c>
      <c r="C8" s="750">
        <v>228110.59443999999</v>
      </c>
      <c r="D8" s="750">
        <v>44601.524839999998</v>
      </c>
      <c r="E8" s="750">
        <v>0</v>
      </c>
      <c r="F8" s="750">
        <v>183509.06959999999</v>
      </c>
      <c r="G8" s="750"/>
      <c r="H8" s="750">
        <v>300720.45444</v>
      </c>
      <c r="I8" s="750">
        <v>50006.694839999996</v>
      </c>
      <c r="J8" s="750">
        <v>0</v>
      </c>
      <c r="K8" s="750">
        <v>250713.75959999999</v>
      </c>
      <c r="L8" s="750"/>
      <c r="M8" s="750">
        <v>238274.20494373719</v>
      </c>
      <c r="N8" s="750">
        <v>963.44157034570003</v>
      </c>
      <c r="O8" s="750">
        <v>0</v>
      </c>
      <c r="P8" s="750">
        <v>237310.7633733915</v>
      </c>
      <c r="Q8" s="750"/>
      <c r="R8" s="750">
        <v>43</v>
      </c>
      <c r="S8" s="750">
        <v>0.15</v>
      </c>
      <c r="T8" s="750">
        <v>0.16070399999999999</v>
      </c>
      <c r="U8" s="750">
        <v>0.12886772432541296</v>
      </c>
      <c r="V8" s="750">
        <v>7.9862325130630207</v>
      </c>
    </row>
    <row r="9" spans="1:22">
      <c r="A9" s="483">
        <v>3</v>
      </c>
      <c r="B9" s="482" t="s">
        <v>504</v>
      </c>
      <c r="C9" s="750">
        <v>0</v>
      </c>
      <c r="D9" s="750">
        <v>0</v>
      </c>
      <c r="E9" s="750">
        <v>0</v>
      </c>
      <c r="F9" s="750">
        <v>0</v>
      </c>
      <c r="G9" s="750"/>
      <c r="H9" s="750">
        <v>0</v>
      </c>
      <c r="I9" s="750">
        <v>0</v>
      </c>
      <c r="J9" s="750">
        <v>0</v>
      </c>
      <c r="K9" s="750">
        <v>0</v>
      </c>
      <c r="L9" s="750"/>
      <c r="M9" s="750">
        <v>0</v>
      </c>
      <c r="N9" s="750">
        <v>0</v>
      </c>
      <c r="O9" s="750">
        <v>0</v>
      </c>
      <c r="P9" s="750">
        <v>0</v>
      </c>
      <c r="Q9" s="750"/>
      <c r="R9" s="750">
        <v>0</v>
      </c>
      <c r="S9" s="750" t="s">
        <v>777</v>
      </c>
      <c r="T9" s="750" t="s">
        <v>777</v>
      </c>
      <c r="U9" s="750">
        <v>0</v>
      </c>
      <c r="V9" s="750">
        <v>0</v>
      </c>
    </row>
    <row r="10" spans="1:22">
      <c r="A10" s="483">
        <v>4</v>
      </c>
      <c r="B10" s="482" t="s">
        <v>503</v>
      </c>
      <c r="C10" s="750">
        <v>0</v>
      </c>
      <c r="D10" s="750">
        <v>0</v>
      </c>
      <c r="E10" s="750">
        <v>0</v>
      </c>
      <c r="F10" s="750">
        <v>0</v>
      </c>
      <c r="G10" s="750"/>
      <c r="H10" s="750">
        <v>0</v>
      </c>
      <c r="I10" s="750">
        <v>0</v>
      </c>
      <c r="J10" s="750">
        <v>0</v>
      </c>
      <c r="K10" s="750">
        <v>0</v>
      </c>
      <c r="L10" s="750"/>
      <c r="M10" s="750">
        <v>0</v>
      </c>
      <c r="N10" s="750">
        <v>0</v>
      </c>
      <c r="O10" s="750">
        <v>0</v>
      </c>
      <c r="P10" s="750">
        <v>0</v>
      </c>
      <c r="Q10" s="750"/>
      <c r="R10" s="750">
        <v>0</v>
      </c>
      <c r="S10" s="750" t="s">
        <v>777</v>
      </c>
      <c r="T10" s="750" t="s">
        <v>777</v>
      </c>
      <c r="U10" s="750">
        <v>0</v>
      </c>
      <c r="V10" s="750">
        <v>0</v>
      </c>
    </row>
    <row r="11" spans="1:22">
      <c r="A11" s="483">
        <v>5</v>
      </c>
      <c r="B11" s="482" t="s">
        <v>502</v>
      </c>
      <c r="C11" s="750">
        <v>0</v>
      </c>
      <c r="D11" s="750">
        <v>0</v>
      </c>
      <c r="E11" s="750">
        <v>0</v>
      </c>
      <c r="F11" s="750">
        <v>0</v>
      </c>
      <c r="G11" s="750"/>
      <c r="H11" s="750">
        <v>0</v>
      </c>
      <c r="I11" s="750">
        <v>0</v>
      </c>
      <c r="J11" s="750">
        <v>0</v>
      </c>
      <c r="K11" s="750">
        <v>0</v>
      </c>
      <c r="L11" s="750"/>
      <c r="M11" s="750">
        <v>0</v>
      </c>
      <c r="N11" s="750">
        <v>0</v>
      </c>
      <c r="O11" s="750">
        <v>0</v>
      </c>
      <c r="P11" s="750">
        <v>0</v>
      </c>
      <c r="Q11" s="750"/>
      <c r="R11" s="750">
        <v>0</v>
      </c>
      <c r="S11" s="750">
        <v>0</v>
      </c>
      <c r="T11" s="750">
        <v>0</v>
      </c>
      <c r="U11" s="750">
        <v>0</v>
      </c>
      <c r="V11" s="750">
        <v>0</v>
      </c>
    </row>
    <row r="12" spans="1:22">
      <c r="A12" s="483">
        <v>6</v>
      </c>
      <c r="B12" s="482" t="s">
        <v>501</v>
      </c>
      <c r="C12" s="750">
        <v>0</v>
      </c>
      <c r="D12" s="750">
        <v>0</v>
      </c>
      <c r="E12" s="750">
        <v>0</v>
      </c>
      <c r="F12" s="750">
        <v>0</v>
      </c>
      <c r="G12" s="750"/>
      <c r="H12" s="750">
        <v>0</v>
      </c>
      <c r="I12" s="750">
        <v>0</v>
      </c>
      <c r="J12" s="750">
        <v>0</v>
      </c>
      <c r="K12" s="750">
        <v>0</v>
      </c>
      <c r="L12" s="750"/>
      <c r="M12" s="750">
        <v>0</v>
      </c>
      <c r="N12" s="750">
        <v>0</v>
      </c>
      <c r="O12" s="750">
        <v>0</v>
      </c>
      <c r="P12" s="750">
        <v>0</v>
      </c>
      <c r="Q12" s="750"/>
      <c r="R12" s="750">
        <v>0</v>
      </c>
      <c r="S12" s="750">
        <v>0</v>
      </c>
      <c r="T12" s="750">
        <v>0</v>
      </c>
      <c r="U12" s="750">
        <v>0</v>
      </c>
      <c r="V12" s="750">
        <v>0</v>
      </c>
    </row>
    <row r="13" spans="1:22">
      <c r="A13" s="483">
        <v>7</v>
      </c>
      <c r="B13" s="482" t="s">
        <v>500</v>
      </c>
      <c r="C13" s="750">
        <v>6345276.6312956028</v>
      </c>
      <c r="D13" s="750">
        <v>5987928.9179256028</v>
      </c>
      <c r="E13" s="750">
        <v>0</v>
      </c>
      <c r="F13" s="750">
        <v>357347.71337000001</v>
      </c>
      <c r="G13" s="750"/>
      <c r="H13" s="750">
        <v>6474443.1634956002</v>
      </c>
      <c r="I13" s="750">
        <v>6058944.3878255999</v>
      </c>
      <c r="J13" s="750">
        <v>0</v>
      </c>
      <c r="K13" s="750">
        <v>415498.77567000006</v>
      </c>
      <c r="L13" s="750"/>
      <c r="M13" s="750">
        <v>110368.15439405729</v>
      </c>
      <c r="N13" s="750">
        <v>10592.138504843002</v>
      </c>
      <c r="O13" s="750">
        <v>0</v>
      </c>
      <c r="P13" s="750">
        <v>99776.015889214294</v>
      </c>
      <c r="Q13" s="750"/>
      <c r="R13" s="750">
        <v>104</v>
      </c>
      <c r="S13" s="750">
        <v>0</v>
      </c>
      <c r="T13" s="750">
        <v>0</v>
      </c>
      <c r="U13" s="750">
        <v>7.0249744574017753E-2</v>
      </c>
      <c r="V13" s="750">
        <v>103.51959511088855</v>
      </c>
    </row>
    <row r="14" spans="1:22">
      <c r="A14" s="477">
        <v>7.1</v>
      </c>
      <c r="B14" s="476" t="s">
        <v>509</v>
      </c>
      <c r="C14" s="750">
        <v>6194131.9781226031</v>
      </c>
      <c r="D14" s="750">
        <v>5836784.2647526031</v>
      </c>
      <c r="E14" s="750">
        <v>0</v>
      </c>
      <c r="F14" s="750">
        <v>357347.71337000001</v>
      </c>
      <c r="G14" s="750"/>
      <c r="H14" s="750">
        <v>6321613.3961226</v>
      </c>
      <c r="I14" s="750">
        <v>5906114.6204525996</v>
      </c>
      <c r="J14" s="750">
        <v>0</v>
      </c>
      <c r="K14" s="750">
        <v>415498.77567000006</v>
      </c>
      <c r="L14" s="750"/>
      <c r="M14" s="750">
        <v>110128.4234500321</v>
      </c>
      <c r="N14" s="750">
        <v>10352.407560817803</v>
      </c>
      <c r="O14" s="750">
        <v>0</v>
      </c>
      <c r="P14" s="750">
        <v>99776.015889214294</v>
      </c>
      <c r="Q14" s="750"/>
      <c r="R14" s="750">
        <v>102</v>
      </c>
      <c r="S14" s="750">
        <v>0</v>
      </c>
      <c r="T14" s="750">
        <v>0</v>
      </c>
      <c r="U14" s="750">
        <v>6.9891447119474176E-2</v>
      </c>
      <c r="V14" s="750">
        <v>105.02116441227639</v>
      </c>
    </row>
    <row r="15" spans="1:22">
      <c r="A15" s="477">
        <v>7.2</v>
      </c>
      <c r="B15" s="476" t="s">
        <v>511</v>
      </c>
      <c r="C15" s="750">
        <v>151144.65317300003</v>
      </c>
      <c r="D15" s="750">
        <v>151144.65317300003</v>
      </c>
      <c r="E15" s="750">
        <v>0</v>
      </c>
      <c r="F15" s="750">
        <v>0</v>
      </c>
      <c r="G15" s="750"/>
      <c r="H15" s="750">
        <v>152829.76737300001</v>
      </c>
      <c r="I15" s="750">
        <v>152829.76737300001</v>
      </c>
      <c r="J15" s="750">
        <v>0</v>
      </c>
      <c r="K15" s="750">
        <v>0</v>
      </c>
      <c r="L15" s="750"/>
      <c r="M15" s="750">
        <v>239.73094402519999</v>
      </c>
      <c r="N15" s="750">
        <v>239.73094402519999</v>
      </c>
      <c r="O15" s="750">
        <v>0</v>
      </c>
      <c r="P15" s="750">
        <v>0</v>
      </c>
      <c r="Q15" s="750"/>
      <c r="R15" s="750">
        <v>2</v>
      </c>
      <c r="S15" s="750" t="s">
        <v>777</v>
      </c>
      <c r="T15" s="750" t="s">
        <v>777</v>
      </c>
      <c r="U15" s="750">
        <v>8.4933305482573274E-2</v>
      </c>
      <c r="V15" s="750">
        <v>41.983058873329</v>
      </c>
    </row>
    <row r="16" spans="1:22">
      <c r="A16" s="477">
        <v>7.3</v>
      </c>
      <c r="B16" s="476" t="s">
        <v>508</v>
      </c>
      <c r="C16" s="750"/>
      <c r="D16" s="750"/>
      <c r="E16" s="750"/>
      <c r="F16" s="750"/>
      <c r="G16" s="750"/>
      <c r="H16" s="750"/>
      <c r="I16" s="750"/>
      <c r="J16" s="750"/>
      <c r="K16" s="750"/>
      <c r="L16" s="750"/>
      <c r="M16" s="750"/>
      <c r="N16" s="750"/>
      <c r="O16" s="750"/>
      <c r="P16" s="750"/>
      <c r="Q16" s="750"/>
      <c r="R16" s="750"/>
      <c r="S16" s="750" t="s">
        <v>777</v>
      </c>
      <c r="T16" s="750" t="s">
        <v>777</v>
      </c>
      <c r="U16" s="750"/>
      <c r="V16" s="750"/>
    </row>
    <row r="17" spans="1:22">
      <c r="A17" s="483">
        <v>8</v>
      </c>
      <c r="B17" s="482" t="s">
        <v>507</v>
      </c>
      <c r="C17" s="750">
        <v>0</v>
      </c>
      <c r="D17" s="750">
        <v>0</v>
      </c>
      <c r="E17" s="750">
        <v>0</v>
      </c>
      <c r="F17" s="750">
        <v>0</v>
      </c>
      <c r="G17" s="750"/>
      <c r="H17" s="750">
        <v>0</v>
      </c>
      <c r="I17" s="750">
        <v>0</v>
      </c>
      <c r="J17" s="750">
        <v>0</v>
      </c>
      <c r="K17" s="750">
        <v>0</v>
      </c>
      <c r="L17" s="750"/>
      <c r="M17" s="750">
        <v>0</v>
      </c>
      <c r="N17" s="750">
        <v>0</v>
      </c>
      <c r="O17" s="750">
        <v>0</v>
      </c>
      <c r="P17" s="750">
        <v>0</v>
      </c>
      <c r="Q17" s="750"/>
      <c r="R17" s="750">
        <v>0</v>
      </c>
      <c r="S17" s="750">
        <v>0</v>
      </c>
      <c r="T17" s="750">
        <v>0</v>
      </c>
      <c r="U17" s="750">
        <v>0</v>
      </c>
      <c r="V17" s="750">
        <v>0</v>
      </c>
    </row>
    <row r="18" spans="1:22">
      <c r="A18" s="481">
        <v>9</v>
      </c>
      <c r="B18" s="480" t="s">
        <v>499</v>
      </c>
      <c r="C18" s="751">
        <v>0</v>
      </c>
      <c r="D18" s="751">
        <v>0</v>
      </c>
      <c r="E18" s="751">
        <v>0</v>
      </c>
      <c r="F18" s="751">
        <v>0</v>
      </c>
      <c r="G18" s="751"/>
      <c r="H18" s="751">
        <v>0</v>
      </c>
      <c r="I18" s="751">
        <v>0</v>
      </c>
      <c r="J18" s="751">
        <v>0</v>
      </c>
      <c r="K18" s="751">
        <v>0</v>
      </c>
      <c r="L18" s="751"/>
      <c r="M18" s="751">
        <v>0</v>
      </c>
      <c r="N18" s="751">
        <v>0</v>
      </c>
      <c r="O18" s="751">
        <v>0</v>
      </c>
      <c r="P18" s="751">
        <v>0</v>
      </c>
      <c r="Q18" s="751"/>
      <c r="R18" s="751">
        <v>0</v>
      </c>
      <c r="S18" s="751">
        <v>0</v>
      </c>
      <c r="T18" s="751">
        <v>0</v>
      </c>
      <c r="U18" s="751">
        <v>0</v>
      </c>
      <c r="V18" s="751">
        <v>0</v>
      </c>
    </row>
    <row r="19" spans="1:22">
      <c r="A19" s="479">
        <v>10</v>
      </c>
      <c r="B19" s="478" t="s">
        <v>510</v>
      </c>
      <c r="C19" s="750">
        <v>6659217.3415396027</v>
      </c>
      <c r="D19" s="750">
        <v>6118360.5585696027</v>
      </c>
      <c r="E19" s="750">
        <v>0</v>
      </c>
      <c r="F19" s="750">
        <v>540856.78297000006</v>
      </c>
      <c r="G19" s="750">
        <v>0</v>
      </c>
      <c r="H19" s="750">
        <v>6862758.3815396</v>
      </c>
      <c r="I19" s="750">
        <v>6196545.8462696001</v>
      </c>
      <c r="J19" s="750">
        <v>0</v>
      </c>
      <c r="K19" s="750">
        <v>666212.53527000011</v>
      </c>
      <c r="L19" s="750">
        <v>0</v>
      </c>
      <c r="M19" s="750">
        <v>351280.74685283075</v>
      </c>
      <c r="N19" s="750">
        <v>14193.967590225002</v>
      </c>
      <c r="O19" s="750">
        <v>0</v>
      </c>
      <c r="P19" s="750">
        <v>337086.77926260582</v>
      </c>
      <c r="Q19" s="750">
        <v>0</v>
      </c>
      <c r="R19" s="750">
        <v>148</v>
      </c>
      <c r="S19" s="750">
        <v>0.15</v>
      </c>
      <c r="T19" s="750">
        <v>0.16070399999999999</v>
      </c>
      <c r="U19" s="750">
        <v>7.212639092043116E-2</v>
      </c>
      <c r="V19" s="750">
        <v>99.307730374552889</v>
      </c>
    </row>
    <row r="20" spans="1:22" ht="25.5">
      <c r="A20" s="477">
        <v>10.1</v>
      </c>
      <c r="B20" s="476" t="s">
        <v>514</v>
      </c>
      <c r="C20" s="472"/>
      <c r="D20" s="472"/>
      <c r="E20" s="472"/>
      <c r="F20" s="472"/>
      <c r="G20" s="472"/>
      <c r="H20" s="472"/>
      <c r="I20" s="472"/>
      <c r="J20" s="472"/>
      <c r="K20" s="472"/>
      <c r="L20" s="472"/>
      <c r="M20" s="472"/>
      <c r="N20" s="472"/>
      <c r="O20" s="472"/>
      <c r="P20" s="472"/>
      <c r="Q20" s="472"/>
      <c r="R20" s="472"/>
      <c r="S20" s="472"/>
      <c r="T20" s="472"/>
      <c r="U20" s="472"/>
      <c r="V20" s="472"/>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zoomScale="80" zoomScaleNormal="80" workbookViewId="0"/>
  </sheetViews>
  <sheetFormatPr defaultRowHeight="15"/>
  <cols>
    <col min="2" max="2" width="66.7109375" customWidth="1"/>
    <col min="3" max="8" width="17.7109375" customWidth="1"/>
  </cols>
  <sheetData>
    <row r="1" spans="1:8" s="5" customFormat="1" ht="14.25">
      <c r="A1" s="2" t="s">
        <v>30</v>
      </c>
      <c r="B1" s="3" t="str">
        <f>'Info '!C2</f>
        <v>VTB Bank Georgia JSC</v>
      </c>
      <c r="C1" s="3"/>
      <c r="D1" s="4"/>
      <c r="E1" s="4"/>
      <c r="F1" s="4"/>
      <c r="G1" s="4"/>
    </row>
    <row r="2" spans="1:8" s="5" customFormat="1" ht="14.25">
      <c r="A2" s="2" t="s">
        <v>31</v>
      </c>
      <c r="B2" s="273">
        <f>'1. key ratios '!B2</f>
        <v>45930</v>
      </c>
      <c r="C2" s="6"/>
      <c r="D2" s="7"/>
      <c r="E2" s="7"/>
      <c r="F2" s="7"/>
      <c r="G2" s="7"/>
      <c r="H2" s="8"/>
    </row>
    <row r="4" spans="1:8">
      <c r="A4" s="786" t="s">
        <v>6</v>
      </c>
      <c r="B4" s="788" t="s">
        <v>585</v>
      </c>
      <c r="C4" s="781" t="s">
        <v>522</v>
      </c>
      <c r="D4" s="781"/>
      <c r="E4" s="781"/>
      <c r="F4" s="781" t="s">
        <v>523</v>
      </c>
      <c r="G4" s="781"/>
      <c r="H4" s="782"/>
    </row>
    <row r="5" spans="1:8" ht="15.4" customHeight="1">
      <c r="A5" s="787"/>
      <c r="B5" s="789"/>
      <c r="C5" s="342" t="s">
        <v>32</v>
      </c>
      <c r="D5" s="342" t="s">
        <v>33</v>
      </c>
      <c r="E5" s="342" t="s">
        <v>34</v>
      </c>
      <c r="F5" s="342" t="s">
        <v>32</v>
      </c>
      <c r="G5" s="342" t="s">
        <v>33</v>
      </c>
      <c r="H5" s="342" t="s">
        <v>34</v>
      </c>
    </row>
    <row r="6" spans="1:8">
      <c r="A6" s="343">
        <v>1</v>
      </c>
      <c r="B6" s="344" t="s">
        <v>586</v>
      </c>
      <c r="C6" s="639">
        <v>4806879.9029553747</v>
      </c>
      <c r="D6" s="639">
        <v>5421385.3435238376</v>
      </c>
      <c r="E6" s="640">
        <f>C6+D6</f>
        <v>10228265.246479213</v>
      </c>
      <c r="F6" s="639">
        <v>7928074.3323100964</v>
      </c>
      <c r="G6" s="639">
        <v>5141604.4840352098</v>
      </c>
      <c r="H6" s="640">
        <f>F6+G6</f>
        <v>13069678.816345306</v>
      </c>
    </row>
    <row r="7" spans="1:8">
      <c r="A7" s="343">
        <v>1.1000000000000001</v>
      </c>
      <c r="B7" s="345" t="s">
        <v>529</v>
      </c>
      <c r="C7" s="639"/>
      <c r="D7" s="639"/>
      <c r="E7" s="640">
        <f t="shared" ref="E7:E45" si="0">C7+D7</f>
        <v>0</v>
      </c>
      <c r="F7" s="639"/>
      <c r="G7" s="639"/>
      <c r="H7" s="640">
        <f t="shared" ref="H7:H44" si="1">F7+G7</f>
        <v>0</v>
      </c>
    </row>
    <row r="8" spans="1:8">
      <c r="A8" s="343">
        <v>1.2</v>
      </c>
      <c r="B8" s="345" t="s">
        <v>531</v>
      </c>
      <c r="C8" s="639">
        <v>0</v>
      </c>
      <c r="D8" s="639"/>
      <c r="E8" s="640">
        <f t="shared" si="0"/>
        <v>0</v>
      </c>
      <c r="F8" s="639">
        <v>0</v>
      </c>
      <c r="G8" s="639"/>
      <c r="H8" s="640">
        <f t="shared" si="1"/>
        <v>0</v>
      </c>
    </row>
    <row r="9" spans="1:8" ht="21.4" customHeight="1">
      <c r="A9" s="343">
        <v>1.3</v>
      </c>
      <c r="B9" s="345" t="s">
        <v>587</v>
      </c>
      <c r="C9" s="639"/>
      <c r="D9" s="639"/>
      <c r="E9" s="640">
        <f t="shared" si="0"/>
        <v>0</v>
      </c>
      <c r="F9" s="639"/>
      <c r="G9" s="639"/>
      <c r="H9" s="640">
        <f t="shared" si="1"/>
        <v>0</v>
      </c>
    </row>
    <row r="10" spans="1:8">
      <c r="A10" s="343">
        <v>1.4</v>
      </c>
      <c r="B10" s="345" t="s">
        <v>533</v>
      </c>
      <c r="C10" s="639"/>
      <c r="D10" s="639"/>
      <c r="E10" s="640">
        <f t="shared" si="0"/>
        <v>0</v>
      </c>
      <c r="F10" s="639"/>
      <c r="G10" s="639"/>
      <c r="H10" s="640">
        <f t="shared" si="1"/>
        <v>0</v>
      </c>
    </row>
    <row r="11" spans="1:8">
      <c r="A11" s="343">
        <v>1.5</v>
      </c>
      <c r="B11" s="345" t="s">
        <v>537</v>
      </c>
      <c r="C11" s="639">
        <v>4806879.9029553747</v>
      </c>
      <c r="D11" s="639">
        <v>5421385.3435238376</v>
      </c>
      <c r="E11" s="640">
        <f t="shared" si="0"/>
        <v>10228265.246479213</v>
      </c>
      <c r="F11" s="639">
        <v>7928074.3323100964</v>
      </c>
      <c r="G11" s="639">
        <v>5141604.4840352098</v>
      </c>
      <c r="H11" s="640">
        <f t="shared" si="1"/>
        <v>13069678.816345306</v>
      </c>
    </row>
    <row r="12" spans="1:8">
      <c r="A12" s="343">
        <v>1.6</v>
      </c>
      <c r="B12" s="346" t="s">
        <v>419</v>
      </c>
      <c r="C12" s="639"/>
      <c r="D12" s="639"/>
      <c r="E12" s="640">
        <f t="shared" si="0"/>
        <v>0</v>
      </c>
      <c r="F12" s="639"/>
      <c r="G12" s="639"/>
      <c r="H12" s="640">
        <f t="shared" si="1"/>
        <v>0</v>
      </c>
    </row>
    <row r="13" spans="1:8">
      <c r="A13" s="343">
        <v>2</v>
      </c>
      <c r="B13" s="347" t="s">
        <v>588</v>
      </c>
      <c r="C13" s="639">
        <v>-697155.4800000001</v>
      </c>
      <c r="D13" s="639">
        <v>-6873300.3700000001</v>
      </c>
      <c r="E13" s="640">
        <f t="shared" si="0"/>
        <v>-7570455.8500000006</v>
      </c>
      <c r="F13" s="639">
        <v>-876969.67</v>
      </c>
      <c r="G13" s="639">
        <v>-6295027.3399999999</v>
      </c>
      <c r="H13" s="640">
        <f t="shared" si="1"/>
        <v>-7171997.0099999998</v>
      </c>
    </row>
    <row r="14" spans="1:8">
      <c r="A14" s="343">
        <v>2.1</v>
      </c>
      <c r="B14" s="345" t="s">
        <v>589</v>
      </c>
      <c r="C14" s="639"/>
      <c r="D14" s="639"/>
      <c r="E14" s="640">
        <f t="shared" si="0"/>
        <v>0</v>
      </c>
      <c r="F14" s="639"/>
      <c r="G14" s="639"/>
      <c r="H14" s="640">
        <f t="shared" si="1"/>
        <v>0</v>
      </c>
    </row>
    <row r="15" spans="1:8" ht="24.4" customHeight="1">
      <c r="A15" s="343">
        <v>2.2000000000000002</v>
      </c>
      <c r="B15" s="345" t="s">
        <v>590</v>
      </c>
      <c r="C15" s="639"/>
      <c r="D15" s="639"/>
      <c r="E15" s="640">
        <f t="shared" si="0"/>
        <v>0</v>
      </c>
      <c r="F15" s="639"/>
      <c r="G15" s="639"/>
      <c r="H15" s="640">
        <f t="shared" si="1"/>
        <v>0</v>
      </c>
    </row>
    <row r="16" spans="1:8" ht="20.65" customHeight="1">
      <c r="A16" s="343">
        <v>2.2999999999999998</v>
      </c>
      <c r="B16" s="345" t="s">
        <v>591</v>
      </c>
      <c r="C16" s="639">
        <v>-697155.4800000001</v>
      </c>
      <c r="D16" s="639">
        <v>-6873300.3700000001</v>
      </c>
      <c r="E16" s="640">
        <f t="shared" si="0"/>
        <v>-7570455.8500000006</v>
      </c>
      <c r="F16" s="639">
        <v>-876969.67</v>
      </c>
      <c r="G16" s="639">
        <v>-6295027.3399999999</v>
      </c>
      <c r="H16" s="640">
        <f t="shared" si="1"/>
        <v>-7171997.0099999998</v>
      </c>
    </row>
    <row r="17" spans="1:8">
      <c r="A17" s="343">
        <v>2.4</v>
      </c>
      <c r="B17" s="345" t="s">
        <v>592</v>
      </c>
      <c r="C17" s="639"/>
      <c r="D17" s="639">
        <v>0</v>
      </c>
      <c r="E17" s="640">
        <f t="shared" si="0"/>
        <v>0</v>
      </c>
      <c r="F17" s="639"/>
      <c r="G17" s="639">
        <v>0</v>
      </c>
      <c r="H17" s="640">
        <f t="shared" si="1"/>
        <v>0</v>
      </c>
    </row>
    <row r="18" spans="1:8">
      <c r="A18" s="343">
        <v>3</v>
      </c>
      <c r="B18" s="347" t="s">
        <v>593</v>
      </c>
      <c r="C18" s="639"/>
      <c r="D18" s="639"/>
      <c r="E18" s="640">
        <f t="shared" si="0"/>
        <v>0</v>
      </c>
      <c r="F18" s="639"/>
      <c r="G18" s="639"/>
      <c r="H18" s="640">
        <f t="shared" si="1"/>
        <v>0</v>
      </c>
    </row>
    <row r="19" spans="1:8">
      <c r="A19" s="343">
        <v>4</v>
      </c>
      <c r="B19" s="347" t="s">
        <v>594</v>
      </c>
      <c r="C19" s="639">
        <v>3281.6999999999989</v>
      </c>
      <c r="D19" s="639">
        <v>557</v>
      </c>
      <c r="E19" s="640">
        <f t="shared" si="0"/>
        <v>3838.6999999999989</v>
      </c>
      <c r="F19" s="639">
        <v>33597.51</v>
      </c>
      <c r="G19" s="639">
        <v>0</v>
      </c>
      <c r="H19" s="640">
        <f t="shared" si="1"/>
        <v>33597.51</v>
      </c>
    </row>
    <row r="20" spans="1:8">
      <c r="A20" s="343">
        <v>5</v>
      </c>
      <c r="B20" s="347" t="s">
        <v>595</v>
      </c>
      <c r="C20" s="639">
        <v>-5892.26</v>
      </c>
      <c r="D20" s="639">
        <v>0</v>
      </c>
      <c r="E20" s="640">
        <f t="shared" si="0"/>
        <v>-5892.26</v>
      </c>
      <c r="F20" s="639">
        <v>-11971.99</v>
      </c>
      <c r="G20" s="639">
        <v>0</v>
      </c>
      <c r="H20" s="640">
        <f t="shared" si="1"/>
        <v>-11971.99</v>
      </c>
    </row>
    <row r="21" spans="1:8" ht="24" customHeight="1">
      <c r="A21" s="343">
        <v>6</v>
      </c>
      <c r="B21" s="347" t="s">
        <v>596</v>
      </c>
      <c r="C21" s="639">
        <v>11400</v>
      </c>
      <c r="D21" s="639">
        <v>178</v>
      </c>
      <c r="E21" s="640">
        <f t="shared" si="0"/>
        <v>11578</v>
      </c>
      <c r="F21" s="639">
        <v>0</v>
      </c>
      <c r="G21" s="639">
        <v>0</v>
      </c>
      <c r="H21" s="640">
        <f t="shared" si="1"/>
        <v>0</v>
      </c>
    </row>
    <row r="22" spans="1:8" ht="18.399999999999999" customHeight="1">
      <c r="A22" s="343">
        <v>7</v>
      </c>
      <c r="B22" s="347" t="s">
        <v>597</v>
      </c>
      <c r="C22" s="639"/>
      <c r="D22" s="639"/>
      <c r="E22" s="640">
        <f t="shared" si="0"/>
        <v>0</v>
      </c>
      <c r="F22" s="639"/>
      <c r="G22" s="639"/>
      <c r="H22" s="640">
        <f t="shared" si="1"/>
        <v>0</v>
      </c>
    </row>
    <row r="23" spans="1:8" ht="25.5" customHeight="1">
      <c r="A23" s="343">
        <v>8</v>
      </c>
      <c r="B23" s="348" t="s">
        <v>598</v>
      </c>
      <c r="C23" s="639"/>
      <c r="D23" s="639"/>
      <c r="E23" s="640">
        <f t="shared" si="0"/>
        <v>0</v>
      </c>
      <c r="F23" s="639"/>
      <c r="G23" s="639"/>
      <c r="H23" s="640">
        <f t="shared" si="1"/>
        <v>0</v>
      </c>
    </row>
    <row r="24" spans="1:8" ht="34.5" customHeight="1">
      <c r="A24" s="343">
        <v>9</v>
      </c>
      <c r="B24" s="348" t="s">
        <v>599</v>
      </c>
      <c r="C24" s="639"/>
      <c r="D24" s="639"/>
      <c r="E24" s="640">
        <f t="shared" si="0"/>
        <v>0</v>
      </c>
      <c r="F24" s="639"/>
      <c r="G24" s="639"/>
      <c r="H24" s="640">
        <f t="shared" si="1"/>
        <v>0</v>
      </c>
    </row>
    <row r="25" spans="1:8">
      <c r="A25" s="343">
        <v>10</v>
      </c>
      <c r="B25" s="347" t="s">
        <v>600</v>
      </c>
      <c r="C25" s="639">
        <v>-26265933.952166408</v>
      </c>
      <c r="D25" s="639">
        <v>0</v>
      </c>
      <c r="E25" s="640">
        <f t="shared" si="0"/>
        <v>-26265933.952166408</v>
      </c>
      <c r="F25" s="639">
        <v>5326306.6326399148</v>
      </c>
      <c r="G25" s="639">
        <v>0</v>
      </c>
      <c r="H25" s="640">
        <f t="shared" si="1"/>
        <v>5326306.6326399148</v>
      </c>
    </row>
    <row r="26" spans="1:8">
      <c r="A26" s="343">
        <v>11</v>
      </c>
      <c r="B26" s="349" t="s">
        <v>601</v>
      </c>
      <c r="C26" s="639">
        <v>0</v>
      </c>
      <c r="D26" s="639">
        <v>0</v>
      </c>
      <c r="E26" s="640">
        <f t="shared" si="0"/>
        <v>0</v>
      </c>
      <c r="F26" s="639">
        <v>2778.58</v>
      </c>
      <c r="G26" s="639">
        <v>0</v>
      </c>
      <c r="H26" s="640">
        <f t="shared" si="1"/>
        <v>2778.58</v>
      </c>
    </row>
    <row r="27" spans="1:8">
      <c r="A27" s="343">
        <v>12</v>
      </c>
      <c r="B27" s="347" t="s">
        <v>602</v>
      </c>
      <c r="C27" s="639">
        <v>0</v>
      </c>
      <c r="D27" s="639">
        <v>0</v>
      </c>
      <c r="E27" s="640">
        <f t="shared" si="0"/>
        <v>0</v>
      </c>
      <c r="F27" s="639">
        <v>10490.54</v>
      </c>
      <c r="G27" s="639">
        <v>0</v>
      </c>
      <c r="H27" s="640">
        <f t="shared" si="1"/>
        <v>10490.54</v>
      </c>
    </row>
    <row r="28" spans="1:8">
      <c r="A28" s="343">
        <v>13</v>
      </c>
      <c r="B28" s="350" t="s">
        <v>603</v>
      </c>
      <c r="C28" s="639">
        <v>-2386101</v>
      </c>
      <c r="D28" s="639">
        <v>-60009</v>
      </c>
      <c r="E28" s="640">
        <f t="shared" si="0"/>
        <v>-2446110</v>
      </c>
      <c r="F28" s="639">
        <v>-2713231.1399999997</v>
      </c>
      <c r="G28" s="639">
        <v>0</v>
      </c>
      <c r="H28" s="640">
        <f t="shared" si="1"/>
        <v>-2713231.1399999997</v>
      </c>
    </row>
    <row r="29" spans="1:8">
      <c r="A29" s="343">
        <v>14</v>
      </c>
      <c r="B29" s="351" t="s">
        <v>604</v>
      </c>
      <c r="C29" s="639">
        <v>-5544666</v>
      </c>
      <c r="D29" s="639">
        <v>0</v>
      </c>
      <c r="E29" s="640">
        <f t="shared" si="0"/>
        <v>-5544666</v>
      </c>
      <c r="F29" s="639">
        <v>-5557323</v>
      </c>
      <c r="G29" s="639">
        <v>0</v>
      </c>
      <c r="H29" s="640">
        <f t="shared" si="1"/>
        <v>-5557323</v>
      </c>
    </row>
    <row r="30" spans="1:8">
      <c r="A30" s="343">
        <v>14.1</v>
      </c>
      <c r="B30" s="326" t="s">
        <v>605</v>
      </c>
      <c r="C30" s="639">
        <v>-5544666</v>
      </c>
      <c r="D30" s="639">
        <v>0</v>
      </c>
      <c r="E30" s="640">
        <f t="shared" si="0"/>
        <v>-5544666</v>
      </c>
      <c r="F30" s="639">
        <v>-5557323</v>
      </c>
      <c r="G30" s="639">
        <v>0</v>
      </c>
      <c r="H30" s="640">
        <f t="shared" si="1"/>
        <v>-5557323</v>
      </c>
    </row>
    <row r="31" spans="1:8">
      <c r="A31" s="343">
        <v>14.2</v>
      </c>
      <c r="B31" s="326" t="s">
        <v>606</v>
      </c>
      <c r="C31" s="639">
        <v>0</v>
      </c>
      <c r="D31" s="639"/>
      <c r="E31" s="640">
        <f t="shared" si="0"/>
        <v>0</v>
      </c>
      <c r="F31" s="639">
        <v>0</v>
      </c>
      <c r="G31" s="639"/>
      <c r="H31" s="640">
        <f t="shared" si="1"/>
        <v>0</v>
      </c>
    </row>
    <row r="32" spans="1:8">
      <c r="A32" s="343">
        <v>15</v>
      </c>
      <c r="B32" s="347" t="s">
        <v>607</v>
      </c>
      <c r="C32" s="639">
        <v>-1054605</v>
      </c>
      <c r="D32" s="639">
        <v>0</v>
      </c>
      <c r="E32" s="640">
        <f t="shared" si="0"/>
        <v>-1054605</v>
      </c>
      <c r="F32" s="639">
        <v>-998941</v>
      </c>
      <c r="G32" s="639">
        <v>0</v>
      </c>
      <c r="H32" s="640">
        <f t="shared" si="1"/>
        <v>-998941</v>
      </c>
    </row>
    <row r="33" spans="1:8" ht="22.5" customHeight="1">
      <c r="A33" s="343">
        <v>16</v>
      </c>
      <c r="B33" s="324" t="s">
        <v>608</v>
      </c>
      <c r="C33" s="639">
        <v>-389578.684534</v>
      </c>
      <c r="D33" s="639">
        <v>-307923.79359700001</v>
      </c>
      <c r="E33" s="640">
        <f t="shared" si="0"/>
        <v>-697502.47813099995</v>
      </c>
      <c r="F33" s="639">
        <v>-185600.2795899997</v>
      </c>
      <c r="G33" s="639">
        <v>0</v>
      </c>
      <c r="H33" s="640">
        <f t="shared" si="1"/>
        <v>-185600.2795899997</v>
      </c>
    </row>
    <row r="34" spans="1:8">
      <c r="A34" s="343">
        <v>17</v>
      </c>
      <c r="B34" s="347" t="s">
        <v>609</v>
      </c>
      <c r="C34" s="639">
        <v>81442.066406822894</v>
      </c>
      <c r="D34" s="639">
        <v>0</v>
      </c>
      <c r="E34" s="640">
        <f t="shared" si="0"/>
        <v>81442.066406822894</v>
      </c>
      <c r="F34" s="639">
        <v>0</v>
      </c>
      <c r="G34" s="639">
        <v>0</v>
      </c>
      <c r="H34" s="640">
        <f t="shared" si="1"/>
        <v>0</v>
      </c>
    </row>
    <row r="35" spans="1:8">
      <c r="A35" s="343">
        <v>17.100000000000001</v>
      </c>
      <c r="B35" s="326" t="s">
        <v>610</v>
      </c>
      <c r="C35" s="639">
        <v>81442.066406822894</v>
      </c>
      <c r="D35" s="639"/>
      <c r="E35" s="640">
        <f t="shared" si="0"/>
        <v>81442.066406822894</v>
      </c>
      <c r="F35" s="639"/>
      <c r="G35" s="639"/>
      <c r="H35" s="640">
        <f t="shared" si="1"/>
        <v>0</v>
      </c>
    </row>
    <row r="36" spans="1:8">
      <c r="A36" s="343">
        <v>17.2</v>
      </c>
      <c r="B36" s="326" t="s">
        <v>611</v>
      </c>
      <c r="C36" s="639"/>
      <c r="D36" s="639">
        <v>0</v>
      </c>
      <c r="E36" s="640">
        <f t="shared" si="0"/>
        <v>0</v>
      </c>
      <c r="F36" s="639"/>
      <c r="G36" s="639">
        <v>0</v>
      </c>
      <c r="H36" s="640">
        <f t="shared" si="1"/>
        <v>0</v>
      </c>
    </row>
    <row r="37" spans="1:8" ht="41.65" customHeight="1">
      <c r="A37" s="343">
        <v>18</v>
      </c>
      <c r="B37" s="352" t="s">
        <v>612</v>
      </c>
      <c r="C37" s="639">
        <v>-7524402.4100000001</v>
      </c>
      <c r="D37" s="639">
        <v>0</v>
      </c>
      <c r="E37" s="640">
        <f t="shared" si="0"/>
        <v>-7524402.4100000001</v>
      </c>
      <c r="F37" s="639">
        <v>-2310483.9433052791</v>
      </c>
      <c r="G37" s="645">
        <v>0</v>
      </c>
      <c r="H37" s="640">
        <f t="shared" si="1"/>
        <v>-2310483.9433052791</v>
      </c>
    </row>
    <row r="38" spans="1:8">
      <c r="A38" s="343">
        <v>18.100000000000001</v>
      </c>
      <c r="B38" s="353" t="s">
        <v>613</v>
      </c>
      <c r="C38" s="639"/>
      <c r="D38" s="639"/>
      <c r="E38" s="640">
        <f t="shared" si="0"/>
        <v>0</v>
      </c>
      <c r="F38" s="639"/>
      <c r="G38" s="639"/>
      <c r="H38" s="640">
        <f t="shared" si="1"/>
        <v>0</v>
      </c>
    </row>
    <row r="39" spans="1:8">
      <c r="A39" s="343">
        <v>18.2</v>
      </c>
      <c r="B39" s="353" t="s">
        <v>614</v>
      </c>
      <c r="C39" s="639">
        <v>-7524402.4100000001</v>
      </c>
      <c r="D39" s="639">
        <v>0</v>
      </c>
      <c r="E39" s="640">
        <f t="shared" si="0"/>
        <v>-7524402.4100000001</v>
      </c>
      <c r="F39" s="639">
        <v>-2310483.9433052791</v>
      </c>
      <c r="G39" s="639">
        <v>0</v>
      </c>
      <c r="H39" s="640">
        <f t="shared" si="1"/>
        <v>-2310483.9433052791</v>
      </c>
    </row>
    <row r="40" spans="1:8" ht="24.4" customHeight="1">
      <c r="A40" s="343">
        <v>19</v>
      </c>
      <c r="B40" s="352" t="s">
        <v>615</v>
      </c>
      <c r="C40" s="639"/>
      <c r="D40" s="639"/>
      <c r="E40" s="640">
        <f t="shared" si="0"/>
        <v>0</v>
      </c>
      <c r="F40" s="639"/>
      <c r="G40" s="639"/>
      <c r="H40" s="640">
        <f t="shared" si="1"/>
        <v>0</v>
      </c>
    </row>
    <row r="41" spans="1:8" ht="17.649999999999999" customHeight="1">
      <c r="A41" s="343">
        <v>20</v>
      </c>
      <c r="B41" s="352" t="s">
        <v>616</v>
      </c>
      <c r="C41" s="639"/>
      <c r="D41" s="639"/>
      <c r="E41" s="640">
        <f t="shared" si="0"/>
        <v>0</v>
      </c>
      <c r="F41" s="639"/>
      <c r="G41" s="639"/>
      <c r="H41" s="640">
        <f t="shared" si="1"/>
        <v>0</v>
      </c>
    </row>
    <row r="42" spans="1:8" ht="26.65" customHeight="1">
      <c r="A42" s="343">
        <v>21</v>
      </c>
      <c r="B42" s="352" t="s">
        <v>617</v>
      </c>
      <c r="C42" s="639"/>
      <c r="D42" s="639"/>
      <c r="E42" s="640">
        <f t="shared" si="0"/>
        <v>0</v>
      </c>
      <c r="F42" s="639"/>
      <c r="G42" s="639"/>
      <c r="H42" s="640">
        <f t="shared" si="1"/>
        <v>0</v>
      </c>
    </row>
    <row r="43" spans="1:8">
      <c r="A43" s="343">
        <v>22</v>
      </c>
      <c r="B43" s="354" t="s">
        <v>618</v>
      </c>
      <c r="C43" s="639">
        <v>-38965331.11733821</v>
      </c>
      <c r="D43" s="639">
        <v>-1819112.8200731624</v>
      </c>
      <c r="E43" s="640">
        <f t="shared" si="0"/>
        <v>-40784443.937411375</v>
      </c>
      <c r="F43" s="639">
        <v>646726.57205473352</v>
      </c>
      <c r="G43" s="639">
        <v>-1153422.8559647901</v>
      </c>
      <c r="H43" s="640">
        <f t="shared" si="1"/>
        <v>-506696.28391005658</v>
      </c>
    </row>
    <row r="44" spans="1:8">
      <c r="A44" s="343">
        <v>23</v>
      </c>
      <c r="B44" s="354" t="s">
        <v>619</v>
      </c>
      <c r="C44" s="639">
        <v>375229</v>
      </c>
      <c r="D44" s="639">
        <v>0</v>
      </c>
      <c r="E44" s="640">
        <f t="shared" si="0"/>
        <v>375229</v>
      </c>
      <c r="F44" s="639">
        <v>-62342</v>
      </c>
      <c r="G44" s="639">
        <v>0</v>
      </c>
      <c r="H44" s="640">
        <f t="shared" si="1"/>
        <v>-62342</v>
      </c>
    </row>
    <row r="45" spans="1:8">
      <c r="A45" s="343">
        <v>24</v>
      </c>
      <c r="B45" s="355" t="s">
        <v>620</v>
      </c>
      <c r="C45" s="646">
        <v>-39340560.11733821</v>
      </c>
      <c r="D45" s="646">
        <v>-1819112.8200731624</v>
      </c>
      <c r="E45" s="640">
        <f t="shared" si="0"/>
        <v>-41159672.937411375</v>
      </c>
      <c r="F45" s="646">
        <v>709068.57205473352</v>
      </c>
      <c r="G45" s="646">
        <v>-1153422.8559647901</v>
      </c>
      <c r="H45" s="640">
        <f>F45+G45</f>
        <v>-444354.28391005658</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heetViews>
  <sheetFormatPr defaultColWidth="8.7109375" defaultRowHeight="15"/>
  <cols>
    <col min="1" max="1" width="8.7109375" style="562"/>
    <col min="2" max="2" width="87.7109375" style="527" bestFit="1" customWidth="1"/>
    <col min="3" max="8" width="15.42578125" style="527" customWidth="1"/>
    <col min="9" max="16384" width="8.7109375" style="527"/>
  </cols>
  <sheetData>
    <row r="1" spans="1:8">
      <c r="A1" s="218" t="s">
        <v>30</v>
      </c>
      <c r="B1" s="526" t="str">
        <f>'Info '!C2</f>
        <v>VTB Bank Georgia JSC</v>
      </c>
      <c r="C1" s="526"/>
    </row>
    <row r="2" spans="1:8">
      <c r="A2" s="218" t="s">
        <v>31</v>
      </c>
      <c r="B2" s="528">
        <f>'1. key ratios '!B2</f>
        <v>45930</v>
      </c>
      <c r="C2" s="529"/>
      <c r="D2" s="530"/>
      <c r="E2" s="530"/>
      <c r="F2" s="530"/>
      <c r="G2" s="530"/>
      <c r="H2" s="530"/>
    </row>
    <row r="3" spans="1:8" ht="15.75" thickBot="1">
      <c r="A3" s="527"/>
    </row>
    <row r="4" spans="1:8">
      <c r="A4" s="790" t="s">
        <v>6</v>
      </c>
      <c r="B4" s="791" t="s">
        <v>94</v>
      </c>
      <c r="C4" s="792" t="s">
        <v>522</v>
      </c>
      <c r="D4" s="792"/>
      <c r="E4" s="792"/>
      <c r="F4" s="792" t="s">
        <v>523</v>
      </c>
      <c r="G4" s="792"/>
      <c r="H4" s="793"/>
    </row>
    <row r="5" spans="1:8">
      <c r="A5" s="790"/>
      <c r="B5" s="791"/>
      <c r="C5" s="342" t="s">
        <v>32</v>
      </c>
      <c r="D5" s="342" t="s">
        <v>33</v>
      </c>
      <c r="E5" s="342" t="s">
        <v>34</v>
      </c>
      <c r="F5" s="342" t="s">
        <v>32</v>
      </c>
      <c r="G5" s="342" t="s">
        <v>33</v>
      </c>
      <c r="H5" s="342" t="s">
        <v>34</v>
      </c>
    </row>
    <row r="6" spans="1:8">
      <c r="A6" s="371">
        <v>1</v>
      </c>
      <c r="B6" s="357" t="s">
        <v>621</v>
      </c>
      <c r="C6" s="570">
        <v>0</v>
      </c>
      <c r="D6" s="570">
        <v>0</v>
      </c>
      <c r="E6" s="566">
        <f t="shared" ref="E6:E43" si="0">C6+D6</f>
        <v>0</v>
      </c>
      <c r="F6" s="570"/>
      <c r="G6" s="570"/>
      <c r="H6" s="647">
        <f t="shared" ref="H6:H43" si="1">F6+G6</f>
        <v>0</v>
      </c>
    </row>
    <row r="7" spans="1:8">
      <c r="A7" s="371">
        <v>2</v>
      </c>
      <c r="B7" s="357" t="s">
        <v>183</v>
      </c>
      <c r="C7" s="570">
        <v>0</v>
      </c>
      <c r="D7" s="570">
        <v>0</v>
      </c>
      <c r="E7" s="566">
        <f t="shared" si="0"/>
        <v>0</v>
      </c>
      <c r="F7" s="570"/>
      <c r="G7" s="570"/>
      <c r="H7" s="647">
        <f t="shared" si="1"/>
        <v>0</v>
      </c>
    </row>
    <row r="8" spans="1:8">
      <c r="A8" s="371">
        <v>3</v>
      </c>
      <c r="B8" s="357" t="s">
        <v>193</v>
      </c>
      <c r="C8" s="570">
        <v>31252157</v>
      </c>
      <c r="D8" s="570">
        <v>3168303963</v>
      </c>
      <c r="E8" s="566">
        <f t="shared" si="0"/>
        <v>3199556120</v>
      </c>
      <c r="F8" s="570">
        <v>31427497</v>
      </c>
      <c r="G8" s="570">
        <v>3199604036</v>
      </c>
      <c r="H8" s="647">
        <f t="shared" si="1"/>
        <v>3231031533</v>
      </c>
    </row>
    <row r="9" spans="1:8">
      <c r="A9" s="371">
        <v>3.1</v>
      </c>
      <c r="B9" s="356" t="s">
        <v>184</v>
      </c>
      <c r="C9" s="570">
        <v>31252157</v>
      </c>
      <c r="D9" s="570">
        <v>3110950811.48</v>
      </c>
      <c r="E9" s="566">
        <f t="shared" si="0"/>
        <v>3142202968.48</v>
      </c>
      <c r="F9" s="570">
        <v>31427497</v>
      </c>
      <c r="G9" s="570">
        <v>3191873361.8179998</v>
      </c>
      <c r="H9" s="647">
        <f t="shared" si="1"/>
        <v>3223300858.8179998</v>
      </c>
    </row>
    <row r="10" spans="1:8">
      <c r="A10" s="371">
        <v>3.2</v>
      </c>
      <c r="B10" s="356" t="s">
        <v>180</v>
      </c>
      <c r="C10" s="570">
        <v>0</v>
      </c>
      <c r="D10" s="570">
        <v>57353151.520000003</v>
      </c>
      <c r="E10" s="566">
        <f t="shared" si="0"/>
        <v>57353151.520000003</v>
      </c>
      <c r="F10" s="570">
        <v>0</v>
      </c>
      <c r="G10" s="570">
        <v>7730674.182</v>
      </c>
      <c r="H10" s="647">
        <f t="shared" si="1"/>
        <v>7730674.182</v>
      </c>
    </row>
    <row r="11" spans="1:8">
      <c r="A11" s="371">
        <v>4</v>
      </c>
      <c r="B11" s="357" t="s">
        <v>182</v>
      </c>
      <c r="C11" s="570">
        <f>C12+C13</f>
        <v>0</v>
      </c>
      <c r="D11" s="570">
        <f>D12+D13</f>
        <v>0</v>
      </c>
      <c r="E11" s="566">
        <f t="shared" si="0"/>
        <v>0</v>
      </c>
      <c r="F11" s="570">
        <v>0</v>
      </c>
      <c r="G11" s="570">
        <v>0</v>
      </c>
      <c r="H11" s="647">
        <f t="shared" si="1"/>
        <v>0</v>
      </c>
    </row>
    <row r="12" spans="1:8">
      <c r="A12" s="371">
        <v>4.0999999999999996</v>
      </c>
      <c r="B12" s="356" t="s">
        <v>166</v>
      </c>
      <c r="C12" s="570">
        <v>0</v>
      </c>
      <c r="D12" s="570">
        <v>0</v>
      </c>
      <c r="E12" s="566">
        <f t="shared" si="0"/>
        <v>0</v>
      </c>
      <c r="F12" s="570">
        <v>0</v>
      </c>
      <c r="G12" s="570">
        <v>0</v>
      </c>
      <c r="H12" s="647">
        <f t="shared" si="1"/>
        <v>0</v>
      </c>
    </row>
    <row r="13" spans="1:8">
      <c r="A13" s="371">
        <v>4.2</v>
      </c>
      <c r="B13" s="356" t="s">
        <v>167</v>
      </c>
      <c r="C13" s="570">
        <v>0</v>
      </c>
      <c r="D13" s="570">
        <v>0</v>
      </c>
      <c r="E13" s="566">
        <f t="shared" si="0"/>
        <v>0</v>
      </c>
      <c r="F13" s="570">
        <v>0</v>
      </c>
      <c r="G13" s="570">
        <v>0</v>
      </c>
      <c r="H13" s="647">
        <f t="shared" si="1"/>
        <v>0</v>
      </c>
    </row>
    <row r="14" spans="1:8">
      <c r="A14" s="371">
        <v>5</v>
      </c>
      <c r="B14" s="357" t="s">
        <v>192</v>
      </c>
      <c r="C14" s="570">
        <f>C15+C16+C17+C23+C24+C25+C26</f>
        <v>24287780</v>
      </c>
      <c r="D14" s="570">
        <f>D15+D16+D17+D23+D24+D25+D26</f>
        <v>560984767.7105</v>
      </c>
      <c r="E14" s="566">
        <f t="shared" si="0"/>
        <v>585272547.7105</v>
      </c>
      <c r="F14" s="570">
        <v>24287780</v>
      </c>
      <c r="G14" s="570">
        <v>593308658.9476999</v>
      </c>
      <c r="H14" s="647">
        <f t="shared" si="1"/>
        <v>617596438.9476999</v>
      </c>
    </row>
    <row r="15" spans="1:8">
      <c r="A15" s="371">
        <v>5.0999999999999996</v>
      </c>
      <c r="B15" s="358" t="s">
        <v>170</v>
      </c>
      <c r="C15" s="570">
        <v>230000</v>
      </c>
      <c r="D15" s="570">
        <v>270880</v>
      </c>
      <c r="E15" s="566">
        <f t="shared" si="0"/>
        <v>500880</v>
      </c>
      <c r="F15" s="570">
        <v>230000</v>
      </c>
      <c r="G15" s="570">
        <v>618251.8003</v>
      </c>
      <c r="H15" s="647">
        <f t="shared" si="1"/>
        <v>848251.8003</v>
      </c>
    </row>
    <row r="16" spans="1:8">
      <c r="A16" s="371">
        <v>5.2</v>
      </c>
      <c r="B16" s="358" t="s">
        <v>169</v>
      </c>
      <c r="C16" s="570">
        <v>0</v>
      </c>
      <c r="D16" s="570">
        <v>72453.709300000002</v>
      </c>
      <c r="E16" s="566">
        <f t="shared" si="0"/>
        <v>72453.709300000002</v>
      </c>
      <c r="F16" s="570">
        <v>0</v>
      </c>
      <c r="G16" s="570">
        <v>73012.732699999993</v>
      </c>
      <c r="H16" s="647">
        <f t="shared" si="1"/>
        <v>73012.732699999993</v>
      </c>
    </row>
    <row r="17" spans="1:8">
      <c r="A17" s="371">
        <v>5.3</v>
      </c>
      <c r="B17" s="358" t="s">
        <v>168</v>
      </c>
      <c r="C17" s="570">
        <v>23225400</v>
      </c>
      <c r="D17" s="570">
        <v>382462772.21599996</v>
      </c>
      <c r="E17" s="566">
        <f t="shared" si="0"/>
        <v>405688172.21599996</v>
      </c>
      <c r="F17" s="570">
        <v>23225400</v>
      </c>
      <c r="G17" s="570">
        <v>399264986.22479999</v>
      </c>
      <c r="H17" s="647">
        <f t="shared" si="1"/>
        <v>422490386.22479999</v>
      </c>
    </row>
    <row r="18" spans="1:8">
      <c r="A18" s="371" t="s">
        <v>15</v>
      </c>
      <c r="B18" s="359" t="s">
        <v>36</v>
      </c>
      <c r="C18" s="570">
        <v>138000</v>
      </c>
      <c r="D18" s="570">
        <v>31215669.440000001</v>
      </c>
      <c r="E18" s="566">
        <f t="shared" si="0"/>
        <v>31353669.440000001</v>
      </c>
      <c r="F18" s="570">
        <v>138000</v>
      </c>
      <c r="G18" s="570">
        <v>34122614.850000001</v>
      </c>
      <c r="H18" s="647">
        <f t="shared" si="1"/>
        <v>34260614.850000001</v>
      </c>
    </row>
    <row r="19" spans="1:8">
      <c r="A19" s="371" t="s">
        <v>16</v>
      </c>
      <c r="B19" s="359" t="s">
        <v>37</v>
      </c>
      <c r="C19" s="570">
        <v>23074400</v>
      </c>
      <c r="D19" s="570">
        <v>253359340.74239999</v>
      </c>
      <c r="E19" s="566">
        <f t="shared" si="0"/>
        <v>276433740.74239999</v>
      </c>
      <c r="F19" s="570">
        <v>23074400</v>
      </c>
      <c r="G19" s="570">
        <v>265217924.97</v>
      </c>
      <c r="H19" s="647">
        <f t="shared" si="1"/>
        <v>288292324.97000003</v>
      </c>
    </row>
    <row r="20" spans="1:8">
      <c r="A20" s="371" t="s">
        <v>17</v>
      </c>
      <c r="B20" s="359" t="s">
        <v>38</v>
      </c>
      <c r="C20" s="570">
        <v>0</v>
      </c>
      <c r="D20" s="570">
        <v>17899750.399999999</v>
      </c>
      <c r="E20" s="566">
        <f t="shared" si="0"/>
        <v>17899750.399999999</v>
      </c>
      <c r="F20" s="570">
        <v>0</v>
      </c>
      <c r="G20" s="570">
        <v>18037857.600000001</v>
      </c>
      <c r="H20" s="647">
        <f t="shared" si="1"/>
        <v>18037857.600000001</v>
      </c>
    </row>
    <row r="21" spans="1:8">
      <c r="A21" s="371" t="s">
        <v>18</v>
      </c>
      <c r="B21" s="359" t="s">
        <v>39</v>
      </c>
      <c r="C21" s="570">
        <v>13000</v>
      </c>
      <c r="D21" s="570">
        <v>39078354.215999998</v>
      </c>
      <c r="E21" s="566">
        <f t="shared" si="0"/>
        <v>39091354.215999998</v>
      </c>
      <c r="F21" s="570">
        <v>13000</v>
      </c>
      <c r="G21" s="570">
        <v>39973404.6954</v>
      </c>
      <c r="H21" s="647">
        <f t="shared" si="1"/>
        <v>39986404.6954</v>
      </c>
    </row>
    <row r="22" spans="1:8">
      <c r="A22" s="371" t="s">
        <v>19</v>
      </c>
      <c r="B22" s="359" t="s">
        <v>40</v>
      </c>
      <c r="C22" s="570">
        <v>0</v>
      </c>
      <c r="D22" s="570">
        <v>40909657.417599998</v>
      </c>
      <c r="E22" s="566">
        <f t="shared" si="0"/>
        <v>40909657.417599998</v>
      </c>
      <c r="F22" s="570">
        <v>0</v>
      </c>
      <c r="G22" s="570">
        <v>41913184.109399997</v>
      </c>
      <c r="H22" s="647">
        <f t="shared" si="1"/>
        <v>41913184.109399997</v>
      </c>
    </row>
    <row r="23" spans="1:8">
      <c r="A23" s="371">
        <v>5.4</v>
      </c>
      <c r="B23" s="358" t="s">
        <v>171</v>
      </c>
      <c r="C23" s="570">
        <v>804767</v>
      </c>
      <c r="D23" s="570">
        <v>116029646.3392</v>
      </c>
      <c r="E23" s="566">
        <f t="shared" si="0"/>
        <v>116834413.3392</v>
      </c>
      <c r="F23" s="570">
        <v>804767</v>
      </c>
      <c r="G23" s="570">
        <v>130723876.19670001</v>
      </c>
      <c r="H23" s="647">
        <f t="shared" si="1"/>
        <v>131528643.19670001</v>
      </c>
    </row>
    <row r="24" spans="1:8">
      <c r="A24" s="371">
        <v>5.5</v>
      </c>
      <c r="B24" s="358" t="s">
        <v>172</v>
      </c>
      <c r="C24" s="570">
        <v>5</v>
      </c>
      <c r="D24" s="570">
        <v>54176002.708800003</v>
      </c>
      <c r="E24" s="566">
        <f t="shared" si="0"/>
        <v>54176007.708800003</v>
      </c>
      <c r="F24" s="570">
        <v>5</v>
      </c>
      <c r="G24" s="570">
        <v>54594002.729699999</v>
      </c>
      <c r="H24" s="647">
        <f t="shared" si="1"/>
        <v>54594007.729699999</v>
      </c>
    </row>
    <row r="25" spans="1:8">
      <c r="A25" s="371">
        <v>5.6</v>
      </c>
      <c r="B25" s="358" t="s">
        <v>173</v>
      </c>
      <c r="C25" s="570">
        <v>0</v>
      </c>
      <c r="D25" s="570">
        <v>7584640</v>
      </c>
      <c r="E25" s="566">
        <f t="shared" si="0"/>
        <v>7584640</v>
      </c>
      <c r="F25" s="570">
        <v>0</v>
      </c>
      <c r="G25" s="570">
        <v>7643160</v>
      </c>
      <c r="H25" s="647">
        <f t="shared" si="1"/>
        <v>7643160</v>
      </c>
    </row>
    <row r="26" spans="1:8">
      <c r="A26" s="371">
        <v>5.7</v>
      </c>
      <c r="B26" s="358" t="s">
        <v>40</v>
      </c>
      <c r="C26" s="570">
        <v>27608</v>
      </c>
      <c r="D26" s="570">
        <v>388372.73719999997</v>
      </c>
      <c r="E26" s="566">
        <f t="shared" si="0"/>
        <v>415980.73719999997</v>
      </c>
      <c r="F26" s="570">
        <v>27608</v>
      </c>
      <c r="G26" s="570">
        <v>391369.2635</v>
      </c>
      <c r="H26" s="647">
        <f t="shared" si="1"/>
        <v>418977.2635</v>
      </c>
    </row>
    <row r="27" spans="1:8">
      <c r="A27" s="371">
        <v>6</v>
      </c>
      <c r="B27" s="564" t="s">
        <v>622</v>
      </c>
      <c r="C27" s="570">
        <v>47145.18</v>
      </c>
      <c r="D27" s="570">
        <v>0</v>
      </c>
      <c r="E27" s="566">
        <f t="shared" si="0"/>
        <v>47145.18</v>
      </c>
      <c r="F27" s="570">
        <v>47145.18</v>
      </c>
      <c r="G27" s="570">
        <v>0</v>
      </c>
      <c r="H27" s="647">
        <f t="shared" si="1"/>
        <v>47145.18</v>
      </c>
    </row>
    <row r="28" spans="1:8">
      <c r="A28" s="371">
        <v>7</v>
      </c>
      <c r="B28" s="564" t="s">
        <v>623</v>
      </c>
      <c r="C28" s="570">
        <v>200000</v>
      </c>
      <c r="D28" s="570">
        <v>0</v>
      </c>
      <c r="E28" s="566">
        <f t="shared" si="0"/>
        <v>200000</v>
      </c>
      <c r="F28" s="570">
        <v>200000</v>
      </c>
      <c r="G28" s="570">
        <v>15801</v>
      </c>
      <c r="H28" s="647">
        <f t="shared" si="1"/>
        <v>215801</v>
      </c>
    </row>
    <row r="29" spans="1:8">
      <c r="A29" s="371">
        <v>8</v>
      </c>
      <c r="B29" s="564" t="s">
        <v>181</v>
      </c>
      <c r="C29" s="570">
        <v>0</v>
      </c>
      <c r="D29" s="570">
        <v>0</v>
      </c>
      <c r="E29" s="566">
        <f t="shared" si="0"/>
        <v>0</v>
      </c>
      <c r="F29" s="570"/>
      <c r="G29" s="570"/>
      <c r="H29" s="647">
        <f t="shared" si="1"/>
        <v>0</v>
      </c>
    </row>
    <row r="30" spans="1:8">
      <c r="A30" s="371">
        <v>9</v>
      </c>
      <c r="B30" s="565" t="s">
        <v>198</v>
      </c>
      <c r="C30" s="570">
        <f>C31+C32+C33+C34+C35+C36+C37</f>
        <v>0</v>
      </c>
      <c r="D30" s="570">
        <f>D31+D32+D33+D34+D35+D36+D37</f>
        <v>0</v>
      </c>
      <c r="E30" s="566">
        <f t="shared" si="0"/>
        <v>0</v>
      </c>
      <c r="F30" s="570">
        <v>0</v>
      </c>
      <c r="G30" s="570">
        <v>0</v>
      </c>
      <c r="H30" s="647">
        <f t="shared" si="1"/>
        <v>0</v>
      </c>
    </row>
    <row r="31" spans="1:8">
      <c r="A31" s="371">
        <v>9.1</v>
      </c>
      <c r="B31" s="360" t="s">
        <v>188</v>
      </c>
      <c r="C31" s="570">
        <v>0</v>
      </c>
      <c r="D31" s="570">
        <v>0</v>
      </c>
      <c r="E31" s="566">
        <f t="shared" si="0"/>
        <v>0</v>
      </c>
      <c r="F31" s="570"/>
      <c r="G31" s="570"/>
      <c r="H31" s="647">
        <f t="shared" si="1"/>
        <v>0</v>
      </c>
    </row>
    <row r="32" spans="1:8">
      <c r="A32" s="371">
        <v>9.1999999999999993</v>
      </c>
      <c r="B32" s="360" t="s">
        <v>189</v>
      </c>
      <c r="C32" s="570">
        <v>0</v>
      </c>
      <c r="D32" s="570">
        <v>0</v>
      </c>
      <c r="E32" s="566">
        <f t="shared" si="0"/>
        <v>0</v>
      </c>
      <c r="F32" s="570"/>
      <c r="G32" s="570"/>
      <c r="H32" s="647">
        <f t="shared" si="1"/>
        <v>0</v>
      </c>
    </row>
    <row r="33" spans="1:8">
      <c r="A33" s="371">
        <v>9.3000000000000007</v>
      </c>
      <c r="B33" s="360" t="s">
        <v>185</v>
      </c>
      <c r="C33" s="570">
        <v>0</v>
      </c>
      <c r="D33" s="570">
        <v>0</v>
      </c>
      <c r="E33" s="566">
        <f t="shared" si="0"/>
        <v>0</v>
      </c>
      <c r="F33" s="570"/>
      <c r="G33" s="570"/>
      <c r="H33" s="647">
        <f t="shared" si="1"/>
        <v>0</v>
      </c>
    </row>
    <row r="34" spans="1:8">
      <c r="A34" s="371">
        <v>9.4</v>
      </c>
      <c r="B34" s="360" t="s">
        <v>186</v>
      </c>
      <c r="C34" s="570">
        <v>0</v>
      </c>
      <c r="D34" s="570">
        <v>0</v>
      </c>
      <c r="E34" s="566">
        <f t="shared" si="0"/>
        <v>0</v>
      </c>
      <c r="F34" s="570"/>
      <c r="G34" s="570"/>
      <c r="H34" s="647">
        <f t="shared" si="1"/>
        <v>0</v>
      </c>
    </row>
    <row r="35" spans="1:8">
      <c r="A35" s="371">
        <v>9.5</v>
      </c>
      <c r="B35" s="360" t="s">
        <v>187</v>
      </c>
      <c r="C35" s="570">
        <v>0</v>
      </c>
      <c r="D35" s="570">
        <v>0</v>
      </c>
      <c r="E35" s="566">
        <f t="shared" si="0"/>
        <v>0</v>
      </c>
      <c r="F35" s="570"/>
      <c r="G35" s="570"/>
      <c r="H35" s="647">
        <f t="shared" si="1"/>
        <v>0</v>
      </c>
    </row>
    <row r="36" spans="1:8">
      <c r="A36" s="371">
        <v>9.6</v>
      </c>
      <c r="B36" s="360" t="s">
        <v>190</v>
      </c>
      <c r="C36" s="570">
        <v>0</v>
      </c>
      <c r="D36" s="570">
        <v>0</v>
      </c>
      <c r="E36" s="566">
        <f t="shared" si="0"/>
        <v>0</v>
      </c>
      <c r="F36" s="570"/>
      <c r="G36" s="570"/>
      <c r="H36" s="647">
        <f t="shared" si="1"/>
        <v>0</v>
      </c>
    </row>
    <row r="37" spans="1:8">
      <c r="A37" s="371">
        <v>9.6999999999999993</v>
      </c>
      <c r="B37" s="360" t="s">
        <v>191</v>
      </c>
      <c r="C37" s="570">
        <v>0</v>
      </c>
      <c r="D37" s="570">
        <v>0</v>
      </c>
      <c r="E37" s="566">
        <f t="shared" si="0"/>
        <v>0</v>
      </c>
      <c r="F37" s="570"/>
      <c r="G37" s="570"/>
      <c r="H37" s="647">
        <f t="shared" si="1"/>
        <v>0</v>
      </c>
    </row>
    <row r="38" spans="1:8">
      <c r="A38" s="371">
        <v>10</v>
      </c>
      <c r="B38" s="357" t="s">
        <v>194</v>
      </c>
      <c r="C38" s="570">
        <f>C41+C42</f>
        <v>19851176</v>
      </c>
      <c r="D38" s="570">
        <f>D41+D42</f>
        <v>14058445</v>
      </c>
      <c r="E38" s="566">
        <f t="shared" si="0"/>
        <v>33909621</v>
      </c>
      <c r="F38" s="570">
        <v>20938486.259999998</v>
      </c>
      <c r="G38" s="570">
        <v>11488566.74</v>
      </c>
      <c r="H38" s="647">
        <f t="shared" si="1"/>
        <v>32427053</v>
      </c>
    </row>
    <row r="39" spans="1:8">
      <c r="A39" s="371">
        <v>10.1</v>
      </c>
      <c r="B39" s="360" t="s">
        <v>195</v>
      </c>
      <c r="C39" s="570">
        <v>0</v>
      </c>
      <c r="D39" s="570">
        <v>0</v>
      </c>
      <c r="E39" s="566">
        <f t="shared" si="0"/>
        <v>0</v>
      </c>
      <c r="F39" s="570">
        <v>0</v>
      </c>
      <c r="G39" s="570">
        <v>0</v>
      </c>
      <c r="H39" s="647">
        <f t="shared" si="1"/>
        <v>0</v>
      </c>
    </row>
    <row r="40" spans="1:8">
      <c r="A40" s="371">
        <v>10.199999999999999</v>
      </c>
      <c r="B40" s="360" t="s">
        <v>196</v>
      </c>
      <c r="C40" s="570">
        <v>0</v>
      </c>
      <c r="D40" s="570">
        <v>0</v>
      </c>
      <c r="E40" s="566">
        <f t="shared" si="0"/>
        <v>0</v>
      </c>
      <c r="F40" s="570">
        <v>0</v>
      </c>
      <c r="G40" s="570">
        <v>0</v>
      </c>
      <c r="H40" s="647">
        <f t="shared" si="1"/>
        <v>0</v>
      </c>
    </row>
    <row r="41" spans="1:8">
      <c r="A41" s="371">
        <v>10.3</v>
      </c>
      <c r="B41" s="360" t="s">
        <v>199</v>
      </c>
      <c r="C41" s="570">
        <v>10894439</v>
      </c>
      <c r="D41" s="570">
        <v>1859761</v>
      </c>
      <c r="E41" s="566">
        <f t="shared" si="0"/>
        <v>12754200</v>
      </c>
      <c r="F41" s="570">
        <v>11048291.51</v>
      </c>
      <c r="G41" s="570">
        <v>1870154.5799999998</v>
      </c>
      <c r="H41" s="647">
        <f t="shared" si="1"/>
        <v>12918446.09</v>
      </c>
    </row>
    <row r="42" spans="1:8" ht="25.5">
      <c r="A42" s="371">
        <v>10.4</v>
      </c>
      <c r="B42" s="360" t="s">
        <v>200</v>
      </c>
      <c r="C42" s="570">
        <v>8956737</v>
      </c>
      <c r="D42" s="570">
        <v>12198684</v>
      </c>
      <c r="E42" s="566">
        <f t="shared" si="0"/>
        <v>21155421</v>
      </c>
      <c r="F42" s="570">
        <v>9890194.75</v>
      </c>
      <c r="G42" s="570">
        <v>9618412.1600000001</v>
      </c>
      <c r="H42" s="647">
        <f t="shared" si="1"/>
        <v>19508606.91</v>
      </c>
    </row>
    <row r="43" spans="1:8" ht="15.75" thickBot="1">
      <c r="A43" s="371">
        <v>11</v>
      </c>
      <c r="B43" s="116" t="s">
        <v>197</v>
      </c>
      <c r="C43" s="570">
        <v>0</v>
      </c>
      <c r="D43" s="570">
        <v>0</v>
      </c>
      <c r="E43" s="566">
        <f t="shared" si="0"/>
        <v>0</v>
      </c>
      <c r="F43" s="570"/>
      <c r="G43" s="570"/>
      <c r="H43" s="647">
        <f t="shared" si="1"/>
        <v>0</v>
      </c>
    </row>
    <row r="44" spans="1:8">
      <c r="C44" s="361"/>
      <c r="D44" s="361"/>
      <c r="E44" s="361"/>
      <c r="F44" s="361"/>
      <c r="G44" s="361"/>
      <c r="H44" s="361"/>
    </row>
    <row r="45" spans="1:8">
      <c r="C45" s="361"/>
      <c r="D45" s="361"/>
      <c r="E45" s="361"/>
      <c r="F45" s="361"/>
      <c r="G45" s="361"/>
      <c r="H45" s="361"/>
    </row>
    <row r="46" spans="1:8">
      <c r="C46" s="361"/>
      <c r="D46" s="361"/>
      <c r="E46" s="361"/>
      <c r="F46" s="361"/>
      <c r="G46" s="361"/>
      <c r="H46" s="361"/>
    </row>
    <row r="47" spans="1:8">
      <c r="C47" s="361"/>
      <c r="D47" s="361"/>
      <c r="E47" s="361"/>
      <c r="F47" s="361"/>
      <c r="G47" s="361"/>
      <c r="H47" s="361"/>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 sqref="C1:G1048576"/>
    </sheetView>
  </sheetViews>
  <sheetFormatPr defaultColWidth="9.28515625" defaultRowHeight="12.75"/>
  <cols>
    <col min="1" max="1" width="9.5703125" style="4" bestFit="1" customWidth="1"/>
    <col min="2" max="2" width="93.5703125" style="4" customWidth="1"/>
    <col min="3" max="4" width="11.7109375" style="4" bestFit="1" customWidth="1"/>
    <col min="5" max="7" width="11.7109375" style="17" bestFit="1" customWidth="1"/>
    <col min="8" max="11" width="9.7109375" style="17" customWidth="1"/>
    <col min="12" max="16384" width="9.28515625" style="17"/>
  </cols>
  <sheetData>
    <row r="1" spans="1:8">
      <c r="A1" s="2" t="s">
        <v>30</v>
      </c>
      <c r="B1" s="3" t="str">
        <f>'Info '!C2</f>
        <v>VTB Bank Georgia JSC</v>
      </c>
      <c r="C1" s="3"/>
    </row>
    <row r="2" spans="1:8">
      <c r="A2" s="2" t="s">
        <v>31</v>
      </c>
      <c r="B2" s="273">
        <f>'1. key ratios '!B2</f>
        <v>45930</v>
      </c>
      <c r="C2" s="6"/>
      <c r="D2" s="7"/>
      <c r="E2" s="20"/>
      <c r="F2" s="20"/>
      <c r="G2" s="20"/>
      <c r="H2" s="20"/>
    </row>
    <row r="3" spans="1:8">
      <c r="A3" s="2"/>
      <c r="B3" s="3"/>
      <c r="C3" s="6"/>
      <c r="D3" s="7"/>
      <c r="E3" s="20"/>
      <c r="F3" s="20"/>
      <c r="G3" s="20"/>
      <c r="H3" s="20"/>
    </row>
    <row r="4" spans="1:8" ht="15" customHeight="1" thickBot="1">
      <c r="A4" s="7" t="s">
        <v>96</v>
      </c>
      <c r="B4" s="92" t="s">
        <v>174</v>
      </c>
      <c r="C4" s="21" t="s">
        <v>35</v>
      </c>
    </row>
    <row r="5" spans="1:8" ht="15" customHeight="1">
      <c r="A5" s="139" t="s">
        <v>6</v>
      </c>
      <c r="B5" s="140"/>
      <c r="C5" s="271" t="str">
        <f>INT((MONTH($B$2))/3)&amp;"Q"&amp;"-"&amp;YEAR($B$2)</f>
        <v>3Q-2025</v>
      </c>
      <c r="D5" s="271" t="str">
        <f>IF(INT(MONTH($B$2))=3, "4"&amp;"Q"&amp;"-"&amp;YEAR($B$2)-1, IF(INT(MONTH($B$2))=6, "1"&amp;"Q"&amp;"-"&amp;YEAR($B$2), IF(INT(MONTH($B$2))=9, "2"&amp;"Q"&amp;"-"&amp;YEAR($B$2),IF(INT(MONTH($B$2))=12, "3"&amp;"Q"&amp;"-"&amp;YEAR($B$2), 0))))</f>
        <v>2Q-2025</v>
      </c>
      <c r="E5" s="271" t="str">
        <f>IF(INT(MONTH($B$2))=3, "3"&amp;"Q"&amp;"-"&amp;YEAR($B$2)-1, IF(INT(MONTH($B$2))=6, "4"&amp;"Q"&amp;"-"&amp;YEAR($B$2)-1, IF(INT(MONTH($B$2))=9, "1"&amp;"Q"&amp;"-"&amp;YEAR($B$2),IF(INT(MONTH($B$2))=12, "2"&amp;"Q"&amp;"-"&amp;YEAR($B$2), 0))))</f>
        <v>1Q-2025</v>
      </c>
      <c r="F5" s="271" t="str">
        <f>IF(INT(MONTH($B$2))=3, "2"&amp;"Q"&amp;"-"&amp;YEAR($B$2)-1, IF(INT(MONTH($B$2))=6, "3"&amp;"Q"&amp;"-"&amp;YEAR($B$2)-1, IF(INT(MONTH($B$2))=9, "4"&amp;"Q"&amp;"-"&amp;YEAR($B$2)-1,IF(INT(MONTH($B$2))=12, "1"&amp;"Q"&amp;"-"&amp;YEAR($B$2), 0))))</f>
        <v>4Q-2024</v>
      </c>
      <c r="G5" s="272" t="str">
        <f>IF(INT(MONTH($B$2))=3, "1"&amp;"Q"&amp;"-"&amp;YEAR($B$2)-1, IF(INT(MONTH($B$2))=6, "2"&amp;"Q"&amp;"-"&amp;YEAR($B$2)-1, IF(INT(MONTH($B$2))=9, "3"&amp;"Q"&amp;"-"&amp;YEAR($B$2)-1,IF(INT(MONTH($B$2))=12, "4"&amp;"Q"&amp;"-"&amp;YEAR($B$2)-1, 0))))</f>
        <v>3Q-2024</v>
      </c>
    </row>
    <row r="6" spans="1:8" ht="15" customHeight="1">
      <c r="A6" s="22">
        <v>1</v>
      </c>
      <c r="B6" s="232" t="s">
        <v>178</v>
      </c>
      <c r="C6" s="266">
        <f>C7+C9+C10</f>
        <v>249282646.96077809</v>
      </c>
      <c r="D6" s="267">
        <f>D7+D9+D10</f>
        <v>264290089.38661459</v>
      </c>
      <c r="E6" s="234">
        <f t="shared" ref="E6:G6" si="0">E7+E9+E10</f>
        <v>280677683.8740586</v>
      </c>
      <c r="F6" s="266">
        <f t="shared" si="0"/>
        <v>289607085.6474117</v>
      </c>
      <c r="G6" s="269">
        <f t="shared" si="0"/>
        <v>300815922.62531</v>
      </c>
    </row>
    <row r="7" spans="1:8" ht="15" customHeight="1">
      <c r="A7" s="22">
        <v>1.1000000000000001</v>
      </c>
      <c r="B7" s="232" t="s">
        <v>744</v>
      </c>
      <c r="C7" s="648">
        <v>249201334.04974455</v>
      </c>
      <c r="D7" s="648">
        <v>264208834.92428532</v>
      </c>
      <c r="E7" s="648">
        <v>280585092.70082432</v>
      </c>
      <c r="F7" s="648">
        <v>289514442.48778641</v>
      </c>
      <c r="G7" s="648">
        <v>300723402.82530999</v>
      </c>
    </row>
    <row r="8" spans="1:8">
      <c r="A8" s="22" t="s">
        <v>14</v>
      </c>
      <c r="B8" s="232" t="s">
        <v>95</v>
      </c>
      <c r="C8" s="648">
        <v>0</v>
      </c>
      <c r="D8" s="648">
        <v>0</v>
      </c>
      <c r="E8" s="648">
        <v>707862.5</v>
      </c>
      <c r="F8" s="648">
        <v>792472.5</v>
      </c>
      <c r="G8" s="648">
        <v>0</v>
      </c>
    </row>
    <row r="9" spans="1:8" ht="15" customHeight="1">
      <c r="A9" s="22">
        <v>1.2</v>
      </c>
      <c r="B9" s="233" t="s">
        <v>94</v>
      </c>
      <c r="C9" s="648">
        <v>81312.911033548167</v>
      </c>
      <c r="D9" s="648">
        <v>81254.462329269038</v>
      </c>
      <c r="E9" s="648">
        <v>92591.173234302783</v>
      </c>
      <c r="F9" s="648">
        <v>92643.159625306376</v>
      </c>
      <c r="G9" s="648">
        <v>92519.8</v>
      </c>
    </row>
    <row r="10" spans="1:8" ht="15" customHeight="1">
      <c r="A10" s="22">
        <v>1.3</v>
      </c>
      <c r="B10" s="232" t="s">
        <v>28</v>
      </c>
      <c r="C10" s="649">
        <v>0</v>
      </c>
      <c r="D10" s="649">
        <v>0</v>
      </c>
      <c r="E10" s="649">
        <v>0</v>
      </c>
      <c r="F10" s="649">
        <v>0</v>
      </c>
      <c r="G10" s="649">
        <v>0</v>
      </c>
    </row>
    <row r="11" spans="1:8" ht="15" customHeight="1">
      <c r="A11" s="22">
        <v>2</v>
      </c>
      <c r="B11" s="232" t="s">
        <v>175</v>
      </c>
      <c r="C11" s="648">
        <v>181583088.24552819</v>
      </c>
      <c r="D11" s="648">
        <v>183235672.72748604</v>
      </c>
      <c r="E11" s="648">
        <v>186403342.12812796</v>
      </c>
      <c r="F11" s="648">
        <v>186812095.97714475</v>
      </c>
      <c r="G11" s="648">
        <v>188868827.36185053</v>
      </c>
    </row>
    <row r="12" spans="1:8" ht="15" customHeight="1">
      <c r="A12" s="22">
        <v>3</v>
      </c>
      <c r="B12" s="232" t="s">
        <v>176</v>
      </c>
      <c r="C12" s="649">
        <v>61890734.110378385</v>
      </c>
      <c r="D12" s="649">
        <v>61890734.110378385</v>
      </c>
      <c r="E12" s="649">
        <v>61890734.110378385</v>
      </c>
      <c r="F12" s="649">
        <v>61890734.110378385</v>
      </c>
      <c r="G12" s="649">
        <v>94935796.149143949</v>
      </c>
    </row>
    <row r="13" spans="1:8" ht="15" customHeight="1" thickBot="1">
      <c r="A13" s="24">
        <v>4</v>
      </c>
      <c r="B13" s="25" t="s">
        <v>177</v>
      </c>
      <c r="C13" s="235">
        <f>C6+C11+C12</f>
        <v>492756469.31668466</v>
      </c>
      <c r="D13" s="268">
        <f>D6+D11+D12</f>
        <v>509416496.22447902</v>
      </c>
      <c r="E13" s="236">
        <f t="shared" ref="E13:G13" si="1">E6+E11+E12</f>
        <v>528971760.11256492</v>
      </c>
      <c r="F13" s="235">
        <f t="shared" si="1"/>
        <v>538309915.73493481</v>
      </c>
      <c r="G13" s="270">
        <f t="shared" si="1"/>
        <v>584620546.1363045</v>
      </c>
    </row>
    <row r="14" spans="1:8">
      <c r="B14" s="28"/>
    </row>
    <row r="15" spans="1:8">
      <c r="B15" s="29"/>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80" zoomScaleNormal="80" workbookViewId="0">
      <pane xSplit="1" ySplit="4" topLeftCell="B29" activePane="bottomRight" state="frozen"/>
      <selection activeCell="B19" sqref="B19"/>
      <selection pane="topRight" activeCell="B19" sqref="B19"/>
      <selection pane="bottomLeft" activeCell="B19" sqref="B19"/>
      <selection pane="bottomRight" activeCell="A30" sqref="A30:C33"/>
    </sheetView>
  </sheetViews>
  <sheetFormatPr defaultColWidth="9.28515625" defaultRowHeight="14.25"/>
  <cols>
    <col min="1" max="1" width="9.5703125" style="4" bestFit="1" customWidth="1"/>
    <col min="2" max="2" width="65.5703125" style="4" customWidth="1"/>
    <col min="3" max="3" width="27.5703125" style="4" customWidth="1"/>
    <col min="4" max="16384" width="9.28515625" style="5"/>
  </cols>
  <sheetData>
    <row r="1" spans="1:8">
      <c r="A1" s="2" t="s">
        <v>30</v>
      </c>
      <c r="B1" s="3" t="str">
        <f>'Info '!C2</f>
        <v>VTB Bank Georgia JSC</v>
      </c>
    </row>
    <row r="2" spans="1:8">
      <c r="A2" s="2" t="s">
        <v>31</v>
      </c>
      <c r="B2" s="273">
        <f>'1. key ratios '!B2</f>
        <v>45930</v>
      </c>
    </row>
    <row r="4" spans="1:8" ht="28.15" customHeight="1" thickBot="1">
      <c r="A4" s="30" t="s">
        <v>41</v>
      </c>
      <c r="B4" s="31" t="s">
        <v>151</v>
      </c>
      <c r="C4" s="32"/>
    </row>
    <row r="5" spans="1:8">
      <c r="A5" s="33"/>
      <c r="B5" s="264" t="s">
        <v>42</v>
      </c>
      <c r="C5" s="265" t="s">
        <v>335</v>
      </c>
    </row>
    <row r="6" spans="1:8">
      <c r="A6" s="650">
        <v>1</v>
      </c>
      <c r="B6" s="651" t="s">
        <v>753</v>
      </c>
      <c r="C6" s="652" t="s">
        <v>757</v>
      </c>
    </row>
    <row r="7" spans="1:8">
      <c r="A7" s="650">
        <v>2</v>
      </c>
      <c r="B7" s="651" t="s">
        <v>758</v>
      </c>
      <c r="C7" s="652" t="s">
        <v>759</v>
      </c>
    </row>
    <row r="8" spans="1:8">
      <c r="A8" s="650">
        <v>3</v>
      </c>
      <c r="B8" s="651" t="s">
        <v>760</v>
      </c>
      <c r="C8" s="652" t="s">
        <v>759</v>
      </c>
    </row>
    <row r="9" spans="1:8">
      <c r="A9" s="650">
        <v>4</v>
      </c>
      <c r="B9" s="651" t="s">
        <v>761</v>
      </c>
      <c r="C9" s="652" t="s">
        <v>759</v>
      </c>
    </row>
    <row r="10" spans="1:8">
      <c r="A10" s="650">
        <v>5</v>
      </c>
      <c r="B10" s="651"/>
      <c r="C10" s="652"/>
    </row>
    <row r="11" spans="1:8">
      <c r="A11" s="650">
        <v>6</v>
      </c>
      <c r="B11" s="651"/>
      <c r="C11" s="652"/>
    </row>
    <row r="12" spans="1:8">
      <c r="A12" s="650">
        <v>7</v>
      </c>
      <c r="B12" s="651"/>
      <c r="C12" s="652"/>
      <c r="H12" s="36"/>
    </row>
    <row r="13" spans="1:8">
      <c r="A13" s="650">
        <v>8</v>
      </c>
      <c r="B13" s="651"/>
      <c r="C13" s="652"/>
    </row>
    <row r="14" spans="1:8">
      <c r="A14" s="650">
        <v>9</v>
      </c>
      <c r="B14" s="651"/>
      <c r="C14" s="652"/>
    </row>
    <row r="15" spans="1:8">
      <c r="A15" s="650">
        <v>10</v>
      </c>
      <c r="B15" s="651"/>
      <c r="C15" s="652"/>
    </row>
    <row r="16" spans="1:8">
      <c r="A16" s="650"/>
      <c r="B16" s="653"/>
      <c r="C16" s="654"/>
    </row>
    <row r="17" spans="1:3" ht="25.5">
      <c r="A17" s="650"/>
      <c r="B17" s="655" t="s">
        <v>43</v>
      </c>
      <c r="C17" s="656" t="s">
        <v>336</v>
      </c>
    </row>
    <row r="18" spans="1:3">
      <c r="A18" s="650">
        <v>1</v>
      </c>
      <c r="B18" s="651" t="s">
        <v>754</v>
      </c>
      <c r="C18" s="657" t="s">
        <v>762</v>
      </c>
    </row>
    <row r="19" spans="1:3">
      <c r="A19" s="650">
        <v>2</v>
      </c>
      <c r="B19" s="651" t="s">
        <v>763</v>
      </c>
      <c r="C19" s="657" t="s">
        <v>764</v>
      </c>
    </row>
    <row r="20" spans="1:3">
      <c r="A20" s="650">
        <v>3</v>
      </c>
      <c r="B20" s="651" t="s">
        <v>765</v>
      </c>
      <c r="C20" s="657" t="s">
        <v>766</v>
      </c>
    </row>
    <row r="21" spans="1:3">
      <c r="A21" s="650">
        <v>4</v>
      </c>
      <c r="B21" s="651" t="s">
        <v>767</v>
      </c>
      <c r="C21" s="657" t="s">
        <v>768</v>
      </c>
    </row>
    <row r="22" spans="1:3">
      <c r="A22" s="650">
        <v>5</v>
      </c>
      <c r="B22" s="651" t="s">
        <v>769</v>
      </c>
      <c r="C22" s="657" t="s">
        <v>770</v>
      </c>
    </row>
    <row r="23" spans="1:3">
      <c r="A23" s="650">
        <v>6</v>
      </c>
      <c r="B23" s="651" t="s">
        <v>771</v>
      </c>
      <c r="C23" s="657" t="s">
        <v>772</v>
      </c>
    </row>
    <row r="24" spans="1:3">
      <c r="A24" s="34">
        <v>7</v>
      </c>
      <c r="B24" s="35"/>
      <c r="C24" s="37"/>
    </row>
    <row r="25" spans="1:3">
      <c r="A25" s="34">
        <v>8</v>
      </c>
      <c r="B25" s="35"/>
      <c r="C25" s="37"/>
    </row>
    <row r="26" spans="1:3">
      <c r="A26" s="34">
        <v>9</v>
      </c>
      <c r="B26" s="35"/>
      <c r="C26" s="37"/>
    </row>
    <row r="27" spans="1:3" ht="15.75" customHeight="1">
      <c r="A27" s="34">
        <v>10</v>
      </c>
      <c r="B27" s="35"/>
      <c r="C27" s="38"/>
    </row>
    <row r="28" spans="1:3" ht="15.75" customHeight="1">
      <c r="A28" s="34"/>
      <c r="B28" s="35"/>
      <c r="C28" s="38"/>
    </row>
    <row r="29" spans="1:3" ht="30" customHeight="1">
      <c r="A29" s="34"/>
      <c r="B29" s="796" t="s">
        <v>44</v>
      </c>
      <c r="C29" s="797"/>
    </row>
    <row r="30" spans="1:3">
      <c r="A30" s="650">
        <v>1</v>
      </c>
      <c r="B30" s="651" t="s">
        <v>773</v>
      </c>
      <c r="C30" s="658">
        <v>0.97384321770185212</v>
      </c>
    </row>
    <row r="31" spans="1:3" ht="15.75" customHeight="1">
      <c r="A31" s="650">
        <v>2</v>
      </c>
      <c r="B31" s="651" t="s">
        <v>774</v>
      </c>
      <c r="C31" s="658">
        <v>1.472765597699272E-2</v>
      </c>
    </row>
    <row r="32" spans="1:3" ht="29.25" customHeight="1">
      <c r="A32" s="650"/>
      <c r="B32" s="794" t="s">
        <v>45</v>
      </c>
      <c r="C32" s="795"/>
    </row>
    <row r="33" spans="1:3">
      <c r="A33" s="650">
        <v>1</v>
      </c>
      <c r="B33" s="651" t="s">
        <v>775</v>
      </c>
      <c r="C33" s="658">
        <v>0.60183510853974465</v>
      </c>
    </row>
    <row r="34" spans="1:3" ht="15" thickBot="1">
      <c r="A34" s="39"/>
      <c r="B34" s="40"/>
      <c r="C34" s="41"/>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36" sqref="C8:E36"/>
    </sheetView>
  </sheetViews>
  <sheetFormatPr defaultColWidth="9.28515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28515625" style="5"/>
  </cols>
  <sheetData>
    <row r="1" spans="1:7">
      <c r="A1" s="180" t="s">
        <v>30</v>
      </c>
      <c r="B1" s="3" t="str">
        <f>'Info '!C2</f>
        <v>VTB Bank Georgia JSC</v>
      </c>
      <c r="C1" s="52"/>
      <c r="D1" s="52"/>
      <c r="E1" s="52"/>
      <c r="F1" s="15"/>
    </row>
    <row r="2" spans="1:7" s="42" customFormat="1" ht="15.75" customHeight="1">
      <c r="A2" s="180" t="s">
        <v>31</v>
      </c>
      <c r="B2" s="273">
        <f>'1. key ratios '!B2</f>
        <v>45930</v>
      </c>
    </row>
    <row r="3" spans="1:7" s="42" customFormat="1" ht="15.75" customHeight="1">
      <c r="A3" s="180"/>
    </row>
    <row r="4" spans="1:7" s="42" customFormat="1" ht="15.75" customHeight="1" thickBot="1">
      <c r="A4" s="181" t="s">
        <v>99</v>
      </c>
      <c r="B4" s="802" t="s">
        <v>212</v>
      </c>
      <c r="C4" s="803"/>
      <c r="D4" s="803"/>
      <c r="E4" s="803"/>
    </row>
    <row r="5" spans="1:7" s="46" customFormat="1" ht="17.649999999999999" customHeight="1">
      <c r="A5" s="125"/>
      <c r="B5" s="126"/>
      <c r="C5" s="44" t="s">
        <v>0</v>
      </c>
      <c r="D5" s="44" t="s">
        <v>1</v>
      </c>
      <c r="E5" s="45" t="s">
        <v>2</v>
      </c>
    </row>
    <row r="6" spans="1:7" s="15" customFormat="1" ht="14.65" customHeight="1">
      <c r="A6" s="182"/>
      <c r="B6" s="798" t="s">
        <v>219</v>
      </c>
      <c r="C6" s="798" t="s">
        <v>624</v>
      </c>
      <c r="D6" s="800" t="s">
        <v>98</v>
      </c>
      <c r="E6" s="801"/>
      <c r="G6" s="5"/>
    </row>
    <row r="7" spans="1:7" s="15" customFormat="1" ht="99.6" customHeight="1">
      <c r="A7" s="182"/>
      <c r="B7" s="799"/>
      <c r="C7" s="798"/>
      <c r="D7" s="216" t="s">
        <v>97</v>
      </c>
      <c r="E7" s="217" t="s">
        <v>220</v>
      </c>
      <c r="G7" s="5"/>
    </row>
    <row r="8" spans="1:7" ht="21">
      <c r="A8" s="318">
        <v>1</v>
      </c>
      <c r="B8" s="319" t="s">
        <v>525</v>
      </c>
      <c r="C8" s="362">
        <f>SUM(C9:C11)</f>
        <v>204592845.81150001</v>
      </c>
      <c r="D8" s="362">
        <f>SUM(D9:D11)</f>
        <v>0</v>
      </c>
      <c r="E8" s="660">
        <f>C8-D8</f>
        <v>204592845.81150001</v>
      </c>
      <c r="F8" s="15"/>
    </row>
    <row r="9" spans="1:7" ht="15">
      <c r="A9" s="318">
        <v>1.1000000000000001</v>
      </c>
      <c r="B9" s="320" t="s">
        <v>526</v>
      </c>
      <c r="C9" s="362">
        <f>'2. SOFP'!E8</f>
        <v>197510224.88429999</v>
      </c>
      <c r="D9" s="362"/>
      <c r="E9" s="660">
        <f t="shared" ref="E9:E36" si="0">C9-D9</f>
        <v>197510224.88429999</v>
      </c>
      <c r="F9" s="15"/>
    </row>
    <row r="10" spans="1:7" ht="15">
      <c r="A10" s="318">
        <v>1.2</v>
      </c>
      <c r="B10" s="320" t="s">
        <v>527</v>
      </c>
      <c r="C10" s="362">
        <f>'2. SOFP'!E9</f>
        <v>351.36</v>
      </c>
      <c r="D10" s="362"/>
      <c r="E10" s="660">
        <f t="shared" si="0"/>
        <v>351.36</v>
      </c>
      <c r="F10" s="15"/>
    </row>
    <row r="11" spans="1:7" ht="15">
      <c r="A11" s="318">
        <v>1.3</v>
      </c>
      <c r="B11" s="320" t="s">
        <v>528</v>
      </c>
      <c r="C11" s="362">
        <f>'2. SOFP'!E10</f>
        <v>7082269.5671999995</v>
      </c>
      <c r="D11" s="362"/>
      <c r="E11" s="660">
        <f t="shared" si="0"/>
        <v>7082269.5671999995</v>
      </c>
      <c r="F11" s="15"/>
    </row>
    <row r="12" spans="1:7" ht="15">
      <c r="A12" s="318">
        <v>2</v>
      </c>
      <c r="B12" s="321" t="s">
        <v>529</v>
      </c>
      <c r="C12" s="362"/>
      <c r="D12" s="362"/>
      <c r="E12" s="660">
        <f t="shared" si="0"/>
        <v>0</v>
      </c>
      <c r="F12" s="15"/>
    </row>
    <row r="13" spans="1:7" ht="15">
      <c r="A13" s="318">
        <v>2.1</v>
      </c>
      <c r="B13" s="322" t="s">
        <v>530</v>
      </c>
      <c r="C13" s="363"/>
      <c r="D13" s="363"/>
      <c r="E13" s="660">
        <f t="shared" si="0"/>
        <v>0</v>
      </c>
      <c r="F13" s="15"/>
    </row>
    <row r="14" spans="1:7" ht="21">
      <c r="A14" s="318">
        <v>3</v>
      </c>
      <c r="B14" s="323" t="s">
        <v>531</v>
      </c>
      <c r="C14" s="363"/>
      <c r="D14" s="363"/>
      <c r="E14" s="660">
        <f t="shared" si="0"/>
        <v>0</v>
      </c>
      <c r="F14" s="15"/>
    </row>
    <row r="15" spans="1:7" ht="21">
      <c r="A15" s="318">
        <v>4</v>
      </c>
      <c r="B15" s="324" t="s">
        <v>532</v>
      </c>
      <c r="C15" s="363"/>
      <c r="D15" s="363"/>
      <c r="E15" s="660">
        <f t="shared" si="0"/>
        <v>0</v>
      </c>
      <c r="F15" s="15"/>
    </row>
    <row r="16" spans="1:7" ht="21">
      <c r="A16" s="318">
        <v>5</v>
      </c>
      <c r="B16" s="325" t="s">
        <v>533</v>
      </c>
      <c r="C16" s="363">
        <f>SUM(C17:C19)</f>
        <v>54000</v>
      </c>
      <c r="D16" s="363">
        <f>SUM(D17:D19)</f>
        <v>0</v>
      </c>
      <c r="E16" s="660">
        <f t="shared" si="0"/>
        <v>54000</v>
      </c>
      <c r="F16" s="15"/>
    </row>
    <row r="17" spans="1:6" ht="15">
      <c r="A17" s="318">
        <v>5.0999999999999996</v>
      </c>
      <c r="B17" s="326" t="s">
        <v>534</v>
      </c>
      <c r="C17" s="363">
        <f>'2. SOFP'!C16</f>
        <v>54000</v>
      </c>
      <c r="D17" s="363"/>
      <c r="E17" s="660">
        <f t="shared" si="0"/>
        <v>54000</v>
      </c>
      <c r="F17" s="15"/>
    </row>
    <row r="18" spans="1:6" ht="15">
      <c r="A18" s="318">
        <v>5.2</v>
      </c>
      <c r="B18" s="326" t="s">
        <v>535</v>
      </c>
      <c r="C18" s="363"/>
      <c r="D18" s="363"/>
      <c r="E18" s="660">
        <f t="shared" si="0"/>
        <v>0</v>
      </c>
      <c r="F18" s="15"/>
    </row>
    <row r="19" spans="1:6" ht="15">
      <c r="A19" s="318">
        <v>5.3</v>
      </c>
      <c r="B19" s="327" t="s">
        <v>536</v>
      </c>
      <c r="C19" s="363"/>
      <c r="D19" s="363"/>
      <c r="E19" s="660">
        <f t="shared" si="0"/>
        <v>0</v>
      </c>
      <c r="F19" s="15"/>
    </row>
    <row r="20" spans="1:6" ht="15">
      <c r="A20" s="318">
        <v>6</v>
      </c>
      <c r="B20" s="323" t="s">
        <v>537</v>
      </c>
      <c r="C20" s="363">
        <f>SUM(C21:C22)</f>
        <v>133960285.86515713</v>
      </c>
      <c r="D20" s="363">
        <f>SUM(D21:D22)</f>
        <v>0</v>
      </c>
      <c r="E20" s="660">
        <f t="shared" si="0"/>
        <v>133960285.86515713</v>
      </c>
      <c r="F20" s="15"/>
    </row>
    <row r="21" spans="1:6" ht="15">
      <c r="A21" s="318">
        <v>6.1</v>
      </c>
      <c r="B21" s="326" t="s">
        <v>535</v>
      </c>
      <c r="C21" s="363"/>
      <c r="D21" s="363"/>
      <c r="E21" s="660">
        <f t="shared" si="0"/>
        <v>0</v>
      </c>
      <c r="F21" s="15"/>
    </row>
    <row r="22" spans="1:6" ht="15">
      <c r="A22" s="318">
        <v>6.2</v>
      </c>
      <c r="B22" s="327" t="s">
        <v>536</v>
      </c>
      <c r="C22" s="363">
        <f>'2. SOFP'!E21</f>
        <v>133960285.86515713</v>
      </c>
      <c r="D22" s="363"/>
      <c r="E22" s="660">
        <f t="shared" si="0"/>
        <v>133960285.86515713</v>
      </c>
      <c r="F22" s="15"/>
    </row>
    <row r="23" spans="1:6" ht="21">
      <c r="A23" s="318">
        <v>7</v>
      </c>
      <c r="B23" s="321" t="s">
        <v>538</v>
      </c>
      <c r="C23" s="363"/>
      <c r="D23" s="363"/>
      <c r="E23" s="660">
        <f t="shared" si="0"/>
        <v>0</v>
      </c>
      <c r="F23" s="15"/>
    </row>
    <row r="24" spans="1:6" ht="21">
      <c r="A24" s="318">
        <v>8</v>
      </c>
      <c r="B24" s="328" t="s">
        <v>539</v>
      </c>
      <c r="C24" s="363"/>
      <c r="D24" s="363"/>
      <c r="E24" s="660">
        <f t="shared" si="0"/>
        <v>0</v>
      </c>
      <c r="F24" s="15"/>
    </row>
    <row r="25" spans="1:6" ht="15">
      <c r="A25" s="318">
        <v>9</v>
      </c>
      <c r="B25" s="324" t="s">
        <v>540</v>
      </c>
      <c r="C25" s="363">
        <f>SUM(C26:C27)</f>
        <v>60494587.259999998</v>
      </c>
      <c r="D25" s="363">
        <f>SUM(D26:D27)</f>
        <v>0</v>
      </c>
      <c r="E25" s="660">
        <f t="shared" si="0"/>
        <v>60494587.259999998</v>
      </c>
      <c r="F25" s="15"/>
    </row>
    <row r="26" spans="1:6" ht="15">
      <c r="A26" s="318">
        <v>9.1</v>
      </c>
      <c r="B26" s="326" t="s">
        <v>541</v>
      </c>
      <c r="C26" s="363">
        <f>'2. SOFP'!C25</f>
        <v>33138780.259999998</v>
      </c>
      <c r="D26" s="363"/>
      <c r="E26" s="660">
        <f t="shared" si="0"/>
        <v>33138780.259999998</v>
      </c>
      <c r="F26" s="15"/>
    </row>
    <row r="27" spans="1:6" ht="15">
      <c r="A27" s="318">
        <v>9.1999999999999993</v>
      </c>
      <c r="B27" s="326" t="s">
        <v>542</v>
      </c>
      <c r="C27" s="363">
        <f>'2. SOFP'!C26</f>
        <v>27355807</v>
      </c>
      <c r="D27" s="363"/>
      <c r="E27" s="660">
        <f t="shared" si="0"/>
        <v>27355807</v>
      </c>
      <c r="F27" s="15"/>
    </row>
    <row r="28" spans="1:6" ht="15">
      <c r="A28" s="318">
        <v>10</v>
      </c>
      <c r="B28" s="324" t="s">
        <v>543</v>
      </c>
      <c r="C28" s="363">
        <f>SUM(C29:C30)</f>
        <v>856529.25</v>
      </c>
      <c r="D28" s="363">
        <f>SUM(D29:D30)</f>
        <v>856529.25</v>
      </c>
      <c r="E28" s="660">
        <f t="shared" si="0"/>
        <v>0</v>
      </c>
      <c r="F28" s="15"/>
    </row>
    <row r="29" spans="1:6" ht="15">
      <c r="A29" s="318">
        <v>10.1</v>
      </c>
      <c r="B29" s="326" t="s">
        <v>544</v>
      </c>
      <c r="C29" s="363">
        <f>'2. SOFP'!C28</f>
        <v>0</v>
      </c>
      <c r="D29" s="363"/>
      <c r="E29" s="660">
        <f t="shared" si="0"/>
        <v>0</v>
      </c>
      <c r="F29" s="15"/>
    </row>
    <row r="30" spans="1:6" ht="15">
      <c r="A30" s="318">
        <v>10.199999999999999</v>
      </c>
      <c r="B30" s="326" t="s">
        <v>545</v>
      </c>
      <c r="C30" s="363">
        <f>'2. SOFP'!C29</f>
        <v>856529.25</v>
      </c>
      <c r="D30" s="363">
        <f>C30</f>
        <v>856529.25</v>
      </c>
      <c r="E30" s="660">
        <f t="shared" si="0"/>
        <v>0</v>
      </c>
      <c r="F30" s="15"/>
    </row>
    <row r="31" spans="1:6" ht="15">
      <c r="A31" s="318">
        <v>11</v>
      </c>
      <c r="B31" s="324" t="s">
        <v>546</v>
      </c>
      <c r="C31" s="363">
        <f>SUM(C32:C33)</f>
        <v>0</v>
      </c>
      <c r="D31" s="363">
        <f>SUM(D32:D33)</f>
        <v>0</v>
      </c>
      <c r="E31" s="660">
        <f t="shared" si="0"/>
        <v>0</v>
      </c>
      <c r="F31" s="15"/>
    </row>
    <row r="32" spans="1:6" ht="15">
      <c r="A32" s="318">
        <v>11.1</v>
      </c>
      <c r="B32" s="326" t="s">
        <v>547</v>
      </c>
      <c r="C32" s="363"/>
      <c r="D32" s="363"/>
      <c r="E32" s="660">
        <f t="shared" si="0"/>
        <v>0</v>
      </c>
      <c r="F32" s="15"/>
    </row>
    <row r="33" spans="1:7" ht="15">
      <c r="A33" s="318">
        <v>11.2</v>
      </c>
      <c r="B33" s="326" t="s">
        <v>548</v>
      </c>
      <c r="C33" s="363"/>
      <c r="D33" s="363"/>
      <c r="E33" s="660">
        <f t="shared" si="0"/>
        <v>0</v>
      </c>
      <c r="F33" s="15"/>
    </row>
    <row r="34" spans="1:7" ht="15">
      <c r="A34" s="318">
        <v>13</v>
      </c>
      <c r="B34" s="324" t="s">
        <v>549</v>
      </c>
      <c r="C34" s="363">
        <f>'2. SOFP'!E33</f>
        <v>42735382.451999612</v>
      </c>
      <c r="D34" s="363"/>
      <c r="E34" s="660">
        <f t="shared" si="0"/>
        <v>42735382.451999612</v>
      </c>
      <c r="F34" s="15"/>
    </row>
    <row r="35" spans="1:7" ht="15">
      <c r="A35" s="318">
        <v>13.1</v>
      </c>
      <c r="B35" s="329" t="s">
        <v>550</v>
      </c>
      <c r="C35" s="363">
        <f>'2. SOFP'!E34</f>
        <v>26496402</v>
      </c>
      <c r="D35" s="363"/>
      <c r="E35" s="660">
        <f t="shared" si="0"/>
        <v>26496402</v>
      </c>
      <c r="F35" s="15"/>
    </row>
    <row r="36" spans="1:7" ht="15">
      <c r="A36" s="318">
        <v>13.2</v>
      </c>
      <c r="B36" s="329" t="s">
        <v>551</v>
      </c>
      <c r="C36" s="363"/>
      <c r="D36" s="363"/>
      <c r="E36" s="660">
        <f t="shared" si="0"/>
        <v>0</v>
      </c>
      <c r="F36" s="15"/>
    </row>
    <row r="37" spans="1:7" ht="26.25" thickBot="1">
      <c r="A37" s="113"/>
      <c r="B37" s="183" t="s">
        <v>221</v>
      </c>
      <c r="C37" s="127">
        <f>SUM(C8,C12,C14,C15,C16,C20,C23,C24,C25,C28,C31,C34)</f>
        <v>442693630.63865674</v>
      </c>
      <c r="D37" s="127">
        <f>SUM(D8,D12,D14,D15,D16,D20,D23,D24,D25,D28,D31,D34)</f>
        <v>856529.25</v>
      </c>
      <c r="E37" s="127">
        <f>C37-D37</f>
        <v>441837101.38865674</v>
      </c>
    </row>
    <row r="38" spans="1:7">
      <c r="A38" s="5"/>
      <c r="B38" s="5"/>
      <c r="C38" s="659">
        <f>C37-'2. SOFP'!E36</f>
        <v>0</v>
      </c>
      <c r="D38" s="5"/>
      <c r="E38" s="5"/>
    </row>
    <row r="39" spans="1:7">
      <c r="A39" s="5"/>
      <c r="B39" s="5"/>
      <c r="C39" s="5"/>
      <c r="D39" s="5"/>
      <c r="E39" s="5"/>
    </row>
    <row r="41" spans="1:7" s="4" customFormat="1">
      <c r="B41" s="47"/>
      <c r="F41" s="5"/>
      <c r="G41" s="5"/>
    </row>
    <row r="42" spans="1:7" s="4" customFormat="1">
      <c r="B42" s="47"/>
      <c r="F42" s="5"/>
      <c r="G42" s="5"/>
    </row>
    <row r="43" spans="1:7" s="4" customFormat="1">
      <c r="B43" s="47"/>
      <c r="F43" s="5"/>
      <c r="G43" s="5"/>
    </row>
    <row r="44" spans="1:7" s="4" customFormat="1">
      <c r="B44" s="47"/>
      <c r="F44" s="5"/>
      <c r="G44" s="5"/>
    </row>
    <row r="45" spans="1:7" s="4" customFormat="1">
      <c r="B45" s="47"/>
      <c r="F45" s="5"/>
      <c r="G45" s="5"/>
    </row>
    <row r="46" spans="1:7" s="4" customFormat="1">
      <c r="B46" s="47"/>
      <c r="F46" s="5"/>
      <c r="G46" s="5"/>
    </row>
    <row r="47" spans="1:7" s="4" customFormat="1">
      <c r="B47" s="47"/>
      <c r="F47" s="5"/>
      <c r="G47" s="5"/>
    </row>
    <row r="48" spans="1:7" s="4" customFormat="1">
      <c r="B48" s="47"/>
      <c r="F48" s="5"/>
      <c r="G48" s="5"/>
    </row>
    <row r="49" spans="2:7" s="4" customFormat="1">
      <c r="B49" s="47"/>
      <c r="F49" s="5"/>
      <c r="G49" s="5"/>
    </row>
    <row r="50" spans="2:7" s="4" customFormat="1">
      <c r="B50" s="47"/>
      <c r="F50" s="5"/>
      <c r="G50" s="5"/>
    </row>
    <row r="51" spans="2:7" s="4" customFormat="1">
      <c r="B51" s="47"/>
      <c r="F51" s="5"/>
      <c r="G51" s="5"/>
    </row>
    <row r="52" spans="2:7" s="4" customFormat="1">
      <c r="B52" s="47"/>
      <c r="F52" s="5"/>
      <c r="G52" s="5"/>
    </row>
    <row r="53" spans="2:7" s="4" customFormat="1">
      <c r="B53" s="4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8" sqref="C8"/>
    </sheetView>
  </sheetViews>
  <sheetFormatPr defaultColWidth="9.28515625" defaultRowHeight="12.75" outlineLevelRow="1"/>
  <cols>
    <col min="1" max="1" width="9.5703125" style="4" bestFit="1" customWidth="1"/>
    <col min="2" max="2" width="114.28515625" style="4" customWidth="1"/>
    <col min="3" max="3" width="18.71093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28515625" style="4"/>
  </cols>
  <sheetData>
    <row r="1" spans="1:6">
      <c r="A1" s="2" t="s">
        <v>30</v>
      </c>
      <c r="B1" s="3" t="str">
        <f>'Info '!C2</f>
        <v>VTB Bank Georgia JSC</v>
      </c>
    </row>
    <row r="2" spans="1:6" s="42" customFormat="1" ht="15.75" customHeight="1">
      <c r="A2" s="2" t="s">
        <v>31</v>
      </c>
      <c r="B2" s="273">
        <f>'1. key ratios '!B2</f>
        <v>45930</v>
      </c>
      <c r="C2" s="4"/>
      <c r="D2" s="4"/>
      <c r="E2" s="4"/>
      <c r="F2" s="4"/>
    </row>
    <row r="3" spans="1:6" s="42" customFormat="1" ht="15.75" customHeight="1">
      <c r="C3" s="4"/>
      <c r="D3" s="4"/>
      <c r="E3" s="4"/>
      <c r="F3" s="4"/>
    </row>
    <row r="4" spans="1:6" s="42" customFormat="1" ht="13.5" thickBot="1">
      <c r="A4" s="42" t="s">
        <v>46</v>
      </c>
      <c r="B4" s="184" t="s">
        <v>518</v>
      </c>
      <c r="C4" s="43" t="s">
        <v>35</v>
      </c>
      <c r="D4" s="4"/>
      <c r="E4" s="4"/>
      <c r="F4" s="4"/>
    </row>
    <row r="5" spans="1:6">
      <c r="A5" s="132">
        <v>1</v>
      </c>
      <c r="B5" s="185" t="s">
        <v>520</v>
      </c>
      <c r="C5" s="133">
        <f>'7. LI1 '!E37</f>
        <v>441837101.38865674</v>
      </c>
    </row>
    <row r="6" spans="1:6" s="134" customFormat="1" ht="15">
      <c r="A6" s="48">
        <v>2.1</v>
      </c>
      <c r="B6" s="129" t="s">
        <v>201</v>
      </c>
      <c r="C6" s="661">
        <v>192028.98432718188</v>
      </c>
    </row>
    <row r="7" spans="1:6" s="28" customFormat="1" ht="15" outlineLevel="1">
      <c r="A7" s="22">
        <v>2.2000000000000002</v>
      </c>
      <c r="B7" s="23" t="s">
        <v>202</v>
      </c>
      <c r="C7" s="662"/>
    </row>
    <row r="8" spans="1:6" s="28" customFormat="1" ht="15">
      <c r="A8" s="22">
        <v>3</v>
      </c>
      <c r="B8" s="130" t="s">
        <v>519</v>
      </c>
      <c r="C8" s="663">
        <f>SUM(C5:C7)</f>
        <v>442029130.37298393</v>
      </c>
    </row>
    <row r="9" spans="1:6" s="134" customFormat="1" ht="15">
      <c r="A9" s="48">
        <v>4</v>
      </c>
      <c r="B9" s="50" t="s">
        <v>48</v>
      </c>
      <c r="C9" s="661"/>
    </row>
    <row r="10" spans="1:6" s="28" customFormat="1" ht="15" outlineLevel="1">
      <c r="A10" s="22">
        <v>5.0999999999999996</v>
      </c>
      <c r="B10" s="23" t="s">
        <v>203</v>
      </c>
      <c r="C10" s="662">
        <v>-86254.462329269023</v>
      </c>
    </row>
    <row r="11" spans="1:6" s="28" customFormat="1" outlineLevel="1">
      <c r="A11" s="22">
        <v>5.2</v>
      </c>
      <c r="B11" s="23" t="s">
        <v>204</v>
      </c>
      <c r="C11" s="135"/>
    </row>
    <row r="12" spans="1:6" s="28" customFormat="1">
      <c r="A12" s="22">
        <v>6</v>
      </c>
      <c r="B12" s="128" t="s">
        <v>745</v>
      </c>
      <c r="C12" s="135"/>
    </row>
    <row r="13" spans="1:6" s="28" customFormat="1" ht="13.5" thickBot="1">
      <c r="A13" s="24">
        <v>7</v>
      </c>
      <c r="B13" s="131" t="s">
        <v>164</v>
      </c>
      <c r="C13" s="136">
        <f>SUM(C8:C12)</f>
        <v>441942875.91065466</v>
      </c>
    </row>
    <row r="15" spans="1:6">
      <c r="A15" s="146"/>
      <c r="B15" s="29"/>
    </row>
    <row r="16" spans="1:6">
      <c r="A16" s="146"/>
      <c r="B16" s="146"/>
    </row>
    <row r="17" spans="1:5" ht="15">
      <c r="A17" s="141"/>
      <c r="B17" s="142"/>
      <c r="C17" s="146"/>
      <c r="D17" s="146"/>
      <c r="E17" s="146"/>
    </row>
    <row r="18" spans="1:5" ht="15">
      <c r="A18" s="147"/>
      <c r="B18" s="148"/>
      <c r="C18" s="146"/>
      <c r="D18" s="146"/>
      <c r="E18" s="146"/>
    </row>
    <row r="19" spans="1:5">
      <c r="A19" s="149"/>
      <c r="B19" s="143"/>
      <c r="C19" s="146"/>
      <c r="D19" s="146"/>
      <c r="E19" s="146"/>
    </row>
    <row r="20" spans="1:5">
      <c r="A20" s="150"/>
      <c r="B20" s="144"/>
      <c r="C20" s="146"/>
      <c r="D20" s="146"/>
      <c r="E20" s="146"/>
    </row>
    <row r="21" spans="1:5">
      <c r="A21" s="150"/>
      <c r="B21" s="148"/>
      <c r="C21" s="146"/>
      <c r="D21" s="146"/>
      <c r="E21" s="146"/>
    </row>
    <row r="22" spans="1:5">
      <c r="A22" s="149"/>
      <c r="B22" s="145"/>
      <c r="C22" s="146"/>
      <c r="D22" s="146"/>
      <c r="E22" s="146"/>
    </row>
    <row r="23" spans="1:5">
      <c r="A23" s="150"/>
      <c r="B23" s="144"/>
      <c r="C23" s="146"/>
      <c r="D23" s="146"/>
      <c r="E23" s="146"/>
    </row>
    <row r="24" spans="1:5">
      <c r="A24" s="150"/>
      <c r="B24" s="144"/>
      <c r="C24" s="146"/>
      <c r="D24" s="146"/>
      <c r="E24" s="146"/>
    </row>
    <row r="25" spans="1:5">
      <c r="A25" s="150"/>
      <c r="B25" s="151"/>
      <c r="C25" s="146"/>
      <c r="D25" s="146"/>
      <c r="E25" s="146"/>
    </row>
    <row r="26" spans="1:5">
      <c r="A26" s="150"/>
      <c r="B26" s="148"/>
      <c r="C26" s="146"/>
      <c r="D26" s="146"/>
      <c r="E26" s="146"/>
    </row>
    <row r="27" spans="1:5">
      <c r="A27" s="146"/>
      <c r="B27" s="152"/>
      <c r="C27" s="146"/>
      <c r="D27" s="146"/>
      <c r="E27" s="146"/>
    </row>
    <row r="28" spans="1:5">
      <c r="A28" s="146"/>
      <c r="B28" s="152"/>
      <c r="C28" s="146"/>
      <c r="D28" s="146"/>
      <c r="E28" s="146"/>
    </row>
    <row r="29" spans="1:5">
      <c r="A29" s="146"/>
      <c r="B29" s="152"/>
      <c r="C29" s="146"/>
      <c r="D29" s="146"/>
      <c r="E29" s="146"/>
    </row>
    <row r="30" spans="1:5">
      <c r="A30" s="146"/>
      <c r="B30" s="152"/>
      <c r="C30" s="146"/>
      <c r="D30" s="146"/>
      <c r="E30" s="146"/>
    </row>
    <row r="31" spans="1:5">
      <c r="A31" s="146"/>
      <c r="B31" s="152"/>
      <c r="C31" s="146"/>
      <c r="D31" s="146"/>
      <c r="E31" s="146"/>
    </row>
    <row r="32" spans="1:5">
      <c r="A32" s="146"/>
      <c r="B32" s="152"/>
      <c r="C32" s="146"/>
      <c r="D32" s="146"/>
      <c r="E32" s="146"/>
    </row>
    <row r="33" spans="1:5">
      <c r="A33" s="146"/>
      <c r="B33" s="152"/>
      <c r="C33" s="146"/>
      <c r="D33" s="146"/>
      <c r="E33" s="146"/>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2025-10-28T11:48:55Z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