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A369F3F3-C319-4EE8-B173-579DADD5D8F4}" xr6:coauthVersionLast="47" xr6:coauthVersionMax="47" xr10:uidLastSave="{00000000-0000-0000-0000-000000000000}"/>
  <bookViews>
    <workbookView xWindow="-120" yWindow="-120" windowWidth="29040" windowHeight="15840" tabRatio="919" firstSheet="11"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8"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[4]Sheet2!$H$5:$H$31</definedName>
    <definedName name="საკრედიტო" localSheetId="28">[3]Sheet2!$B$6:$B$8</definedName>
    <definedName name="საკრედიტო">[4]Sheet2!$B$6:$B$8</definedName>
    <definedName name="ფაილი" localSheetId="28">[3]Sheet2!$B$2:$B$3</definedName>
    <definedName name="ფაილი">[4]Sheet2!$B$2:$B$3</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08" l="1"/>
  <c r="C10" i="102" l="1"/>
  <c r="C19" i="102" s="1"/>
  <c r="D12" i="101"/>
  <c r="C12" i="101"/>
  <c r="D7" i="101"/>
  <c r="D19" i="101" s="1"/>
  <c r="C7" i="101"/>
  <c r="C19" i="101" s="1"/>
  <c r="H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1" i="99" s="1"/>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C30" i="95"/>
  <c r="C26" i="95"/>
  <c r="C18" i="95"/>
  <c r="C36" i="95" s="1"/>
  <c r="C38" i="95" s="1"/>
  <c r="C8" i="95"/>
  <c r="N20" i="92"/>
  <c r="N19" i="92"/>
  <c r="E19" i="92"/>
  <c r="N18" i="92"/>
  <c r="E18" i="92"/>
  <c r="N17" i="92"/>
  <c r="E17" i="92"/>
  <c r="N16" i="92"/>
  <c r="E16" i="92"/>
  <c r="N15" i="92"/>
  <c r="N14" i="92" s="1"/>
  <c r="E15" i="92"/>
  <c r="M14" i="92"/>
  <c r="L14" i="92"/>
  <c r="K14" i="92"/>
  <c r="J14" i="92"/>
  <c r="I14" i="92"/>
  <c r="H14" i="92"/>
  <c r="G14" i="92"/>
  <c r="F14" i="92"/>
  <c r="C14" i="92"/>
  <c r="N13" i="92"/>
  <c r="N12" i="92"/>
  <c r="E12" i="92"/>
  <c r="N11" i="92"/>
  <c r="E11" i="92"/>
  <c r="N10" i="92"/>
  <c r="E10" i="92"/>
  <c r="N9" i="92"/>
  <c r="N7" i="92" s="1"/>
  <c r="E9" i="92"/>
  <c r="N8" i="92"/>
  <c r="E8" i="92"/>
  <c r="M7" i="92"/>
  <c r="M21" i="92" s="1"/>
  <c r="L7" i="92"/>
  <c r="K7" i="92"/>
  <c r="K21" i="92" s="1"/>
  <c r="J7" i="92"/>
  <c r="J21" i="92" s="1"/>
  <c r="I7" i="92"/>
  <c r="I21" i="92" s="1"/>
  <c r="H7" i="92"/>
  <c r="H21" i="92" s="1"/>
  <c r="G7" i="92"/>
  <c r="G21" i="92" s="1"/>
  <c r="F7" i="92"/>
  <c r="F21" i="92" s="1"/>
  <c r="E7" i="92"/>
  <c r="C7" i="92"/>
  <c r="G22" i="91"/>
  <c r="F22" i="91"/>
  <c r="E22" i="91"/>
  <c r="D22" i="91"/>
  <c r="C22" i="91"/>
  <c r="H21" i="91"/>
  <c r="H18" i="91"/>
  <c r="H17" i="91"/>
  <c r="H16" i="91"/>
  <c r="H15" i="91"/>
  <c r="H14" i="91"/>
  <c r="H13" i="91"/>
  <c r="H8"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C45" i="69"/>
  <c r="C37" i="69"/>
  <c r="C25" i="69"/>
  <c r="C21" i="94"/>
  <c r="C20" i="94"/>
  <c r="C19" i="94"/>
  <c r="C47" i="89"/>
  <c r="C43" i="89"/>
  <c r="C52" i="89" s="1"/>
  <c r="C35" i="89"/>
  <c r="C31" i="89"/>
  <c r="C30" i="89" s="1"/>
  <c r="C41" i="89" s="1"/>
  <c r="C12" i="89"/>
  <c r="C6" i="89"/>
  <c r="C28" i="89" s="1"/>
  <c r="C8" i="73"/>
  <c r="C13" i="73" s="1"/>
  <c r="E21" i="88"/>
  <c r="D21" i="88"/>
  <c r="C21" i="88"/>
  <c r="G6" i="86"/>
  <c r="G13" i="86" s="1"/>
  <c r="F6" i="86"/>
  <c r="F13" i="86" s="1"/>
  <c r="E6" i="86"/>
  <c r="E13" i="86" s="1"/>
  <c r="D6" i="86"/>
  <c r="D13" i="86" s="1"/>
  <c r="C6" i="86"/>
  <c r="C13" i="86" s="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F61" i="85"/>
  <c r="H61" i="85" s="1"/>
  <c r="C61" i="85"/>
  <c r="E61" i="85" s="1"/>
  <c r="G53" i="85"/>
  <c r="F53" i="85"/>
  <c r="H53" i="85" s="1"/>
  <c r="D53" i="85"/>
  <c r="C53" i="85"/>
  <c r="E53" i="85" s="1"/>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G30" i="85"/>
  <c r="F30" i="85"/>
  <c r="H30" i="85" s="1"/>
  <c r="D30" i="85"/>
  <c r="C30" i="85"/>
  <c r="E30" i="85" s="1"/>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G56" i="85" s="1"/>
  <c r="G63" i="85" s="1"/>
  <c r="G65" i="85" s="1"/>
  <c r="G67" i="85" s="1"/>
  <c r="F9" i="85"/>
  <c r="F22" i="85" s="1"/>
  <c r="F31" i="85" s="1"/>
  <c r="D9" i="85"/>
  <c r="D22" i="85" s="1"/>
  <c r="D31" i="85" s="1"/>
  <c r="D56" i="85" s="1"/>
  <c r="D63" i="85" s="1"/>
  <c r="D65" i="85" s="1"/>
  <c r="D67" i="85" s="1"/>
  <c r="C9" i="85"/>
  <c r="C22" i="85" s="1"/>
  <c r="C31" i="85" s="1"/>
  <c r="H8" i="85"/>
  <c r="E8" i="85"/>
  <c r="H40" i="83"/>
  <c r="E40" i="83"/>
  <c r="H39" i="83"/>
  <c r="E39" i="83"/>
  <c r="H38" i="83"/>
  <c r="E38" i="83"/>
  <c r="H37" i="83"/>
  <c r="E37" i="83"/>
  <c r="H36" i="83"/>
  <c r="E36" i="83"/>
  <c r="H35" i="83"/>
  <c r="E35" i="83"/>
  <c r="H34" i="83"/>
  <c r="E34" i="83"/>
  <c r="H33" i="83"/>
  <c r="E33" i="83"/>
  <c r="G31" i="83"/>
  <c r="G41" i="83" s="1"/>
  <c r="F31" i="83"/>
  <c r="H31" i="83" s="1"/>
  <c r="D31" i="83"/>
  <c r="D41" i="83" s="1"/>
  <c r="C31" i="83"/>
  <c r="C41" i="83" s="1"/>
  <c r="E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H20" i="83" s="1"/>
  <c r="D14" i="83"/>
  <c r="D20" i="83" s="1"/>
  <c r="C14" i="83"/>
  <c r="E14" i="83" s="1"/>
  <c r="H13" i="83"/>
  <c r="E13" i="83"/>
  <c r="H12" i="83"/>
  <c r="E12" i="83"/>
  <c r="H11" i="83"/>
  <c r="E11" i="83"/>
  <c r="H10" i="83"/>
  <c r="E10" i="83"/>
  <c r="H9" i="83"/>
  <c r="E9" i="83"/>
  <c r="H8" i="83"/>
  <c r="E8" i="83"/>
  <c r="H7" i="83"/>
  <c r="E7" i="83"/>
  <c r="G5" i="84"/>
  <c r="F5" i="84"/>
  <c r="E5" i="84"/>
  <c r="D5" i="84"/>
  <c r="C5" i="84"/>
  <c r="B2" i="106"/>
  <c r="B2" i="105"/>
  <c r="B2" i="104"/>
  <c r="B2" i="103"/>
  <c r="B2" i="102"/>
  <c r="B2" i="101"/>
  <c r="B2" i="100"/>
  <c r="B2" i="99"/>
  <c r="B2" i="98"/>
  <c r="B2" i="97"/>
  <c r="B2" i="95"/>
  <c r="B2" i="92"/>
  <c r="B2" i="93"/>
  <c r="B2" i="91"/>
  <c r="B2" i="64"/>
  <c r="B2" i="90"/>
  <c r="B2" i="69"/>
  <c r="B2" i="94"/>
  <c r="B2" i="89"/>
  <c r="B2" i="73"/>
  <c r="B2" i="88"/>
  <c r="B2" i="52"/>
  <c r="B2" i="86"/>
  <c r="G5" i="86" s="1"/>
  <c r="B2" i="75"/>
  <c r="B2" i="85"/>
  <c r="B2" i="83"/>
  <c r="F41" i="83" l="1"/>
  <c r="H41" i="83" s="1"/>
  <c r="C5" i="86"/>
  <c r="D5" i="86"/>
  <c r="E14" i="92"/>
  <c r="E21" i="92" s="1"/>
  <c r="E5" i="86"/>
  <c r="H22" i="91"/>
  <c r="E9" i="85"/>
  <c r="F5" i="86"/>
  <c r="C20" i="83"/>
  <c r="H9" i="85"/>
  <c r="V21" i="64"/>
  <c r="G21" i="97"/>
  <c r="G39" i="97" s="1"/>
  <c r="S22" i="90"/>
  <c r="C21" i="92"/>
  <c r="H14" i="83"/>
  <c r="E31" i="83"/>
  <c r="L21" i="92"/>
  <c r="G37" i="97"/>
  <c r="H22" i="98"/>
  <c r="N21" i="92"/>
  <c r="F54" i="85"/>
  <c r="H54" i="85" s="1"/>
  <c r="H45" i="85"/>
  <c r="E31" i="85"/>
  <c r="E45" i="85"/>
  <c r="C54" i="85"/>
  <c r="E54" i="85" s="1"/>
  <c r="H31" i="85"/>
  <c r="E34" i="85"/>
  <c r="E22" i="85"/>
  <c r="H34" i="85"/>
  <c r="H22" i="85"/>
  <c r="E20" i="83"/>
  <c r="C56" i="85" l="1"/>
  <c r="E56" i="85"/>
  <c r="C63" i="85"/>
  <c r="F56" i="85"/>
  <c r="E63" i="85" l="1"/>
  <c r="C65" i="85"/>
  <c r="H56" i="85"/>
  <c r="F63" i="85"/>
  <c r="F65" i="85" l="1"/>
  <c r="H63" i="85"/>
  <c r="E65" i="85"/>
  <c r="C67" i="85"/>
  <c r="E67" i="85" s="1"/>
  <c r="F67" i="85" l="1"/>
  <c r="H67" i="85" s="1"/>
  <c r="H65" i="85"/>
  <c r="B1" i="97"/>
  <c r="B1" i="108" l="1"/>
  <c r="B1" i="104"/>
  <c r="B1" i="101"/>
  <c r="B1" i="103"/>
  <c r="B1" i="99"/>
  <c r="B1" i="102"/>
  <c r="B1" i="100"/>
  <c r="B1" i="98"/>
  <c r="B1" i="106"/>
  <c r="B1" i="105"/>
  <c r="B1" i="95"/>
  <c r="B1" i="92"/>
  <c r="B1" i="93"/>
  <c r="B1" i="64"/>
  <c r="B1" i="90"/>
  <c r="B1" i="69"/>
  <c r="B1" i="94"/>
  <c r="B1" i="89"/>
  <c r="B1" i="73"/>
  <c r="B1" i="88"/>
  <c r="B1" i="52"/>
  <c r="B1" i="86"/>
  <c r="B1" i="75"/>
  <c r="B1" i="91" l="1"/>
  <c r="B1" i="85"/>
  <c r="B1" i="83"/>
  <c r="B1" i="84"/>
</calcChain>
</file>

<file path=xl/sharedStrings.xml><?xml version="1.0" encoding="utf-8"?>
<sst xmlns="http://schemas.openxmlformats.org/spreadsheetml/2006/main" count="1167" uniqueCount="767">
  <si>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</si>
  <si>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</si>
  <si>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</si>
  <si>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</si>
  <si>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</si>
  <si>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</si>
  <si>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</si>
  <si>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</si>
  <si>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</si>
  <si>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</si>
  <si>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</si>
  <si>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</si>
  <si>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</si>
  <si>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</si>
  <si>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</si>
  <si>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</si>
  <si>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</si>
  <si>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</si>
  <si>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</si>
  <si>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</si>
  <si>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</si>
  <si>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</si>
  <si>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</si>
  <si>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</si>
  <si>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</si>
  <si>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</si>
  <si>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</si>
  <si>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</si>
  <si>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</si>
  <si>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</si>
  <si>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</si>
  <si>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</si>
  <si>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</si>
  <si>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</si>
  <si>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</si>
  <si>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</si>
  <si>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</si>
  <si>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</si>
  <si>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</si>
  <si>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</si>
  <si>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</si>
  <si>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</si>
  <si>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</si>
  <si>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</si>
  <si>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</si>
  <si>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</si>
  <si>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</si>
  <si>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</si>
  <si>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</si>
  <si>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</si>
  <si>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</si>
  <si>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</si>
  <si>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</si>
  <si>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</si>
  <si>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</si>
  <si>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</si>
  <si>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</si>
  <si>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</si>
  <si>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</si>
  <si>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</si>
  <si>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</si>
  <si>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</si>
  <si>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</si>
  <si>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</si>
  <si>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</si>
  <si>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</si>
  <si>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</si>
  <si>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</si>
  <si>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</si>
  <si>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</si>
  <si>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</si>
  <si>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</si>
  <si>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</si>
  <si>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</si>
  <si>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</si>
  <si>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</si>
  <si>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</si>
  <si>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</si>
  <si>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</si>
  <si>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</si>
  <si>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</si>
  <si>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</si>
  <si>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</si>
  <si>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</si>
  <si>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</si>
  <si>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</si>
  <si>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</si>
  <si>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</si>
  <si>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</si>
  <si>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</si>
  <si>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</si>
  <si>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</si>
  <si>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</si>
  <si>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</si>
  <si>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</si>
  <si>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</si>
  <si>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</si>
  <si>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</si>
  <si>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</si>
  <si>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</si>
  <si>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</si>
  <si>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</si>
  <si>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</si>
  <si>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</si>
  <si>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</si>
  <si>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</si>
  <si>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</si>
  <si>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</si>
  <si>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</si>
  <si>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</si>
  <si>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</si>
  <si>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</si>
  <si>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</si>
  <si>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</si>
  <si>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</si>
  <si>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</si>
  <si>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</si>
  <si>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</si>
  <si>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</si>
  <si>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</si>
  <si>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</si>
  <si>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</si>
  <si>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</si>
  <si>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</si>
  <si>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</si>
  <si>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</si>
  <si>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</si>
  <si>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</si>
  <si>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</si>
  <si>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</si>
  <si>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</si>
  <si>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</si>
  <si>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</si>
  <si>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</si>
  <si>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</si>
  <si>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</si>
  <si>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</si>
  <si>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</si>
  <si>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</si>
  <si>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</si>
  <si>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</si>
  <si>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</si>
  <si>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</si>
  <si>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</si>
  <si>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</si>
  <si>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</si>
  <si>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</si>
  <si>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</si>
  <si>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</si>
  <si>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</si>
  <si>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</si>
  <si>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</si>
  <si>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</si>
  <si>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</si>
  <si>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</si>
  <si>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</si>
  <si>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</si>
  <si>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</si>
  <si>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</si>
  <si>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</si>
  <si>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</si>
  <si>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</si>
  <si>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</si>
  <si>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</si>
  <si>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</si>
  <si>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</si>
  <si>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</si>
  <si>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</si>
  <si>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</si>
  <si>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</si>
  <si>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</si>
  <si>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</si>
  <si>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</si>
  <si>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</si>
  <si>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</si>
  <si>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</si>
  <si>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</si>
  <si>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</si>
  <si>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</si>
  <si>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</si>
  <si>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</si>
  <si>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</si>
  <si>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</si>
  <si>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</si>
  <si>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</si>
  <si>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</si>
  <si>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</si>
  <si>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</si>
  <si>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</si>
  <si>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</si>
  <si>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</si>
  <si>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</si>
  <si>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</si>
  <si>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</si>
  <si>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</si>
  <si>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</si>
  <si>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</si>
  <si>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</si>
  <si>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</si>
  <si>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</si>
  <si>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</si>
  <si>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</si>
  <si>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</si>
  <si>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</si>
  <si>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</si>
  <si>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</si>
  <si>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</si>
  <si>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</si>
  <si>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</si>
  <si>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</si>
  <si>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</si>
  <si>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</si>
  <si>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</si>
  <si>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</si>
  <si>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</si>
  <si>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</si>
  <si>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</si>
  <si>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</si>
  <si>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</si>
  <si>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</si>
  <si>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</si>
  <si>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</si>
  <si>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</si>
  <si>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</si>
  <si>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</si>
  <si>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</si>
  <si>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</si>
  <si>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</si>
  <si>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</si>
  <si>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</si>
  <si>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</si>
  <si>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</si>
  <si>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</si>
  <si>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</si>
  <si>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</si>
  <si>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</si>
  <si>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</si>
  <si>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</si>
  <si>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</si>
  <si>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</si>
  <si>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</si>
  <si>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</si>
  <si>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</si>
  <si>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</si>
  <si>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</si>
  <si>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</si>
  <si>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</si>
  <si>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</si>
  <si>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</si>
  <si>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</si>
  <si>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</si>
  <si>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</si>
  <si>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</si>
  <si>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</si>
  <si>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</si>
  <si>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</si>
  <si>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</si>
  <si>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</si>
  <si>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</si>
  <si>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</si>
  <si>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</si>
  <si>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</si>
  <si>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</si>
  <si>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</si>
  <si>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</si>
  <si>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</si>
  <si>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</si>
  <si>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</si>
  <si>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</si>
  <si>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</si>
  <si>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</si>
  <si>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</si>
  <si>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</si>
  <si>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</si>
  <si>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</si>
  <si>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</si>
  <si>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</si>
  <si>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</si>
  <si>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</si>
  <si>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</si>
  <si>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</si>
  <si>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</si>
  <si>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</si>
  <si>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</si>
  <si>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</si>
  <si>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</si>
  <si>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</si>
  <si>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</si>
  <si>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</si>
  <si>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</si>
  <si>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</si>
  <si>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</si>
  <si>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</si>
  <si>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</si>
  <si>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</si>
  <si>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</si>
  <si>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</si>
  <si>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</si>
  <si>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</si>
  <si>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</si>
  <si>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</si>
  <si>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</si>
  <si>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</si>
  <si>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</si>
  <si>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</si>
  <si>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</si>
  <si>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</si>
  <si>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</si>
  <si>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</si>
  <si>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</si>
  <si>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</si>
  <si>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</si>
  <si>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</si>
  <si>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</si>
  <si>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</si>
  <si>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</si>
  <si>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</si>
  <si>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</si>
  <si>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</si>
  <si>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</si>
  <si>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</si>
  <si>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</si>
  <si>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</si>
  <si>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</si>
  <si>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</si>
  <si>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</si>
  <si>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</si>
  <si>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</si>
  <si>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</si>
  <si>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</si>
  <si>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</si>
  <si>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</si>
  <si>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</si>
  <si>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</si>
  <si>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</si>
  <si>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</si>
  <si>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</si>
  <si>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</si>
  <si>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</si>
  <si>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</si>
  <si>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</si>
  <si>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</si>
  <si>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</si>
  <si>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</si>
  <si>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</si>
  <si>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</si>
  <si>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</si>
  <si>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</si>
  <si>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</si>
  <si>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</si>
  <si>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</si>
  <si>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</si>
  <si>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</si>
  <si>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</si>
  <si>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</si>
  <si>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</si>
  <si>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</si>
  <si>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</si>
  <si>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</si>
  <si>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</si>
  <si>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</si>
  <si>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</si>
  <si>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</si>
  <si>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</si>
  <si>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</si>
  <si>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</si>
  <si>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</si>
  <si>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</si>
  <si>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</si>
  <si>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</si>
  <si>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</si>
  <si>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</si>
  <si>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</si>
  <si>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</si>
  <si>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</si>
  <si>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</si>
  <si>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</si>
  <si>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</si>
  <si>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</si>
  <si>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</si>
  <si>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</si>
  <si>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</si>
  <si>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</si>
  <si>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</si>
  <si>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</si>
  <si>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</si>
  <si>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</si>
  <si>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</si>
  <si>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</si>
  <si>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</si>
  <si>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</si>
  <si>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</si>
  <si>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</si>
  <si>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</si>
  <si>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</si>
  <si>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</si>
  <si>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</si>
  <si>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</si>
  <si>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</si>
  <si>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</si>
  <si>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</si>
  <si>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</si>
  <si>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</si>
  <si>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</si>
  <si>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</si>
  <si>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</si>
  <si>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</si>
  <si>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</si>
  <si>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</si>
  <si>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</si>
  <si>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</si>
  <si>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</si>
  <si>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</si>
  <si>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</si>
  <si>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</si>
  <si>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</si>
  <si>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</si>
  <si>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</si>
  <si>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</si>
  <si>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</si>
  <si>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</si>
  <si>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</si>
  <si>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</si>
  <si>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</si>
  <si>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</si>
  <si>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</si>
  <si>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</si>
  <si>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</si>
  <si>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</si>
  <si>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</si>
  <si>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</si>
  <si>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</si>
  <si>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</si>
  <si>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</si>
  <si>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</si>
  <si>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</si>
  <si>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</si>
  <si>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</si>
  <si>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</si>
  <si>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</si>
  <si>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</si>
  <si>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</si>
  <si>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</si>
  <si>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</si>
  <si>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</si>
  <si>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</si>
  <si>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</si>
  <si>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</si>
  <si>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</si>
  <si>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</si>
  <si>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</si>
  <si>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</si>
  <si>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</si>
  <si>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</si>
  <si>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</si>
  <si>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</si>
  <si>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</si>
  <si>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</si>
  <si>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</si>
  <si>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</si>
  <si>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</si>
  <si>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</si>
  <si>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</si>
  <si>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</si>
  <si>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</si>
  <si>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</si>
  <si>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</si>
  <si>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</si>
  <si>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</si>
  <si>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</si>
  <si>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</si>
  <si>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</si>
  <si>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</si>
  <si>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</si>
  <si>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</si>
  <si>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</si>
  <si>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</si>
  <si>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</si>
  <si>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</si>
  <si>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</si>
  <si>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</si>
  <si>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</si>
  <si>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</si>
  <si>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</si>
  <si>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</si>
  <si>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</si>
  <si>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</si>
  <si>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</si>
  <si>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</si>
  <si>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</si>
  <si>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</si>
  <si>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</si>
  <si>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</si>
  <si>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</si>
  <si>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</si>
  <si>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</si>
  <si>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</si>
  <si>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</si>
  <si>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</si>
  <si>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</si>
  <si>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</si>
  <si>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</si>
  <si>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</si>
  <si>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</si>
  <si>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</si>
  <si>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</si>
  <si>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</si>
  <si>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</si>
  <si>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</si>
  <si>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</si>
  <si>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</si>
  <si>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</si>
  <si>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</si>
  <si>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</si>
  <si>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</si>
  <si>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</si>
  <si>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</si>
  <si>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</si>
  <si>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</si>
  <si>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</si>
  <si>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</si>
  <si>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</si>
  <si>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</si>
  <si>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</si>
  <si>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</si>
  <si>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</si>
  <si>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</si>
  <si>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</si>
  <si>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</si>
  <si>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</si>
  <si>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</si>
  <si>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</si>
  <si>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</si>
  <si>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</si>
  <si>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</si>
  <si>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</si>
  <si>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</si>
  <si>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</si>
  <si>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</si>
  <si>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</si>
  <si>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</si>
  <si>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</si>
  <si>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</si>
  <si>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</si>
  <si>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</si>
  <si>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</si>
  <si>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</si>
  <si>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</si>
  <si>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</si>
  <si>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</si>
  <si>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</si>
  <si>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</si>
  <si>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</si>
  <si>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</si>
  <si>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</si>
  <si>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</si>
  <si>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</si>
  <si>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</si>
  <si>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</si>
  <si>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</si>
  <si>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</si>
  <si>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</si>
  <si>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</si>
  <si>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</si>
  <si>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</si>
  <si>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</si>
  <si>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</si>
  <si>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</si>
  <si>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</si>
  <si>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</si>
  <si>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</si>
  <si>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</si>
  <si>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</si>
  <si>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</si>
  <si>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</si>
  <si>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</si>
  <si>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</si>
  <si>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</si>
  <si>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</si>
  <si>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</si>
  <si>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</si>
  <si>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</si>
  <si>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</si>
  <si>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</si>
  <si>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</si>
  <si>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</si>
  <si>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</si>
  <si>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</si>
  <si>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</si>
  <si>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</si>
  <si>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</si>
  <si>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</si>
  <si>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</si>
  <si>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</si>
  <si>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</si>
  <si>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</si>
  <si>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</si>
  <si>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</si>
  <si>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</si>
  <si>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</si>
  <si>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</si>
  <si>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</si>
  <si>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</si>
  <si>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</si>
  <si>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</si>
  <si>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</si>
  <si>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</si>
  <si>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</si>
  <si>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</si>
  <si>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</si>
  <si>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</si>
  <si>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</si>
  <si>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</si>
  <si>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</si>
  <si>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</si>
  <si>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</si>
  <si>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</si>
  <si>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</si>
  <si>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</si>
  <si>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</si>
  <si>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</si>
  <si>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</si>
  <si>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</si>
  <si>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</si>
  <si>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</si>
  <si>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</si>
  <si>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</si>
  <si>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</si>
  <si>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</si>
  <si>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</si>
  <si>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</si>
  <si>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</si>
  <si>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</si>
  <si>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</si>
  <si>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</si>
  <si>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</si>
  <si>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</si>
  <si>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</si>
  <si>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</si>
  <si>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</si>
  <si>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</si>
  <si>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</si>
  <si>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</si>
  <si>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</si>
  <si>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</si>
  <si>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</si>
  <si>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</si>
  <si>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</si>
  <si>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</si>
  <si>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</si>
  <si>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</si>
  <si>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</si>
  <si>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</si>
  <si>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</si>
  <si>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</si>
  <si>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</si>
  <si>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</si>
  <si>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</si>
  <si>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</si>
  <si>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</si>
  <si>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</si>
  <si>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</si>
  <si>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</si>
  <si>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</si>
  <si>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</si>
  <si>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</si>
  <si>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</si>
  <si>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</si>
  <si>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</si>
  <si>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</si>
  <si>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</si>
  <si>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</si>
  <si>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</si>
  <si>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</si>
  <si>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</si>
  <si>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</si>
  <si>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</si>
  <si>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</si>
  <si>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</si>
  <si>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</si>
  <si>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</si>
  <si>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</si>
  <si>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</si>
  <si>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</si>
  <si>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</si>
  <si>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</si>
  <si>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</si>
  <si>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</si>
  <si>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</si>
  <si>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</si>
  <si>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</si>
  <si>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</si>
  <si>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</si>
  <si>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</si>
  <si>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</si>
  <si>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</si>
  <si>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</si>
  <si>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</si>
  <si>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</si>
  <si>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</si>
  <si>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</si>
  <si>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</si>
  <si>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</si>
  <si>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</si>
  <si>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</si>
  <si>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</si>
  <si>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</si>
  <si>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</si>
  <si>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</si>
  <si>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</si>
  <si>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</si>
  <si>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</si>
  <si>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</si>
  <si>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</si>
  <si>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</si>
  <si>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</si>
  <si>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</si>
  <si>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</si>
  <si>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</si>
  <si>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</si>
  <si>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</si>
  <si>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</si>
  <si>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</si>
  <si>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</si>
  <si>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</si>
  <si>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</si>
  <si>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</si>
  <si>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</si>
  <si>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</si>
  <si>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</si>
  <si>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</si>
  <si>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</si>
  <si>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</si>
  <si>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</si>
  <si>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</si>
  <si>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</si>
  <si>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</si>
  <si>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</si>
  <si>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</si>
  <si>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</si>
  <si>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</si>
  <si>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</si>
  <si>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</si>
  <si>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X</t>
  </si>
  <si>
    <t xml:space="preserve"> </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</si>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</sst>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theme="1"/>
      <name val="Calibri"/>
      <family val="2"/>
      <scheme val="minor"/>
    </font>
    <font>
      <sz val="9"/>
      <color rgb="FF000000"/>
      <name val="Sylfaen"/>
      <family val="1"/>
    </font>
    <font>
      <b/>
      <sz val="9"/>
      <color theme="1"/>
      <name val="Calibri"/>
      <family val="2"/>
      <scheme val="minor"/>
    </font>
    <font>
      <b/>
      <sz val="9"/>
      <color rgb="FF00000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2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0" fontId="3" fillId="0" borderId="120" xfId="20962" applyNumberFormat="1" applyFont="1" applyFill="1" applyBorder="1" applyAlignment="1" applyProtection="1">
      <alignment horizontal="right" vertical="center" wrapText="1"/>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10" fontId="100" fillId="0" borderId="120" xfId="20962" applyNumberFormat="1" applyFont="1" applyFill="1" applyBorder="1" applyAlignment="1">
      <alignment horizontal="lef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93" fontId="127" fillId="36" borderId="16" xfId="0" applyNumberFormat="1" applyFont="1" applyFill="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4" fontId="3" fillId="36" borderId="26" xfId="7" applyNumberFormat="1" applyFont="1" applyFill="1" applyBorder="1"/>
    <xf numFmtId="164" fontId="3" fillId="0" borderId="89" xfId="7" applyNumberFormat="1" applyFont="1" applyBorder="1" applyAlignment="1"/>
    <xf numFmtId="164" fontId="3" fillId="36" borderId="25"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5" fontId="3" fillId="0" borderId="100" xfId="20962" applyNumberFormat="1"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3" fillId="0" borderId="120" xfId="7" applyNumberFormat="1" applyFont="1" applyBorder="1" applyAlignment="1">
      <alignment horizontal="left" indent="1"/>
    </xf>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93" fontId="96" fillId="0" borderId="120" xfId="0" applyNumberFormat="1" applyFont="1" applyBorder="1" applyAlignment="1" applyProtection="1">
      <alignment horizontal="right" vertical="center" wrapText="1"/>
      <protection locked="0"/>
    </xf>
    <xf numFmtId="10" fontId="3" fillId="0" borderId="120" xfId="20962" applyNumberFormat="1" applyFont="1" applyBorder="1" applyAlignment="1" applyProtection="1">
      <alignment vertical="center" wrapText="1"/>
      <protection locked="0"/>
    </xf>
    <xf numFmtId="10" fontId="3" fillId="0" borderId="89" xfId="20962" applyNumberFormat="1" applyFont="1" applyBorder="1" applyAlignment="1" applyProtection="1">
      <alignment vertical="center" wrapText="1"/>
      <protection locked="0"/>
    </xf>
    <xf numFmtId="10" fontId="94" fillId="2" borderId="120" xfId="20962" applyNumberFormat="1" applyFont="1" applyFill="1" applyBorder="1" applyAlignment="1" applyProtection="1">
      <alignment vertical="center"/>
      <protection locked="0"/>
    </xf>
    <xf numFmtId="10" fontId="122" fillId="2" borderId="120" xfId="20962" applyNumberFormat="1" applyFont="1" applyFill="1" applyBorder="1" applyAlignment="1" applyProtection="1">
      <alignment vertical="center"/>
      <protection locked="0"/>
    </xf>
    <xf numFmtId="10" fontId="122" fillId="2" borderId="89" xfId="20962" applyNumberFormat="1" applyFont="1" applyFill="1" applyBorder="1" applyAlignment="1" applyProtection="1">
      <alignment vertical="center"/>
      <protection locked="0"/>
    </xf>
    <xf numFmtId="10" fontId="94" fillId="2" borderId="89" xfId="20962" applyNumberFormat="1" applyFont="1" applyFill="1" applyBorder="1" applyAlignment="1" applyProtection="1">
      <alignment vertical="center"/>
      <protection locked="0"/>
    </xf>
    <xf numFmtId="193" fontId="94" fillId="2" borderId="120" xfId="0" applyNumberFormat="1" applyFont="1" applyFill="1" applyBorder="1" applyAlignment="1" applyProtection="1">
      <alignment vertical="center"/>
      <protection locked="0"/>
    </xf>
    <xf numFmtId="193" fontId="94" fillId="2" borderId="89" xfId="0" applyNumberFormat="1" applyFont="1" applyFill="1" applyBorder="1" applyAlignment="1" applyProtection="1">
      <alignment vertical="center"/>
      <protection locked="0"/>
    </xf>
    <xf numFmtId="193" fontId="122" fillId="2" borderId="120" xfId="0" applyNumberFormat="1" applyFont="1" applyFill="1" applyBorder="1" applyAlignment="1" applyProtection="1">
      <alignment vertical="center"/>
      <protection locked="0"/>
    </xf>
    <xf numFmtId="193" fontId="122" fillId="2" borderId="89" xfId="0" applyNumberFormat="1" applyFont="1" applyFill="1" applyBorder="1" applyAlignment="1" applyProtection="1">
      <alignment vertical="center"/>
      <protection locked="0"/>
    </xf>
    <xf numFmtId="193" fontId="94" fillId="2" borderId="121" xfId="0" applyNumberFormat="1" applyFont="1" applyFill="1" applyBorder="1" applyAlignment="1" applyProtection="1">
      <alignment vertical="center"/>
      <protection locked="0"/>
    </xf>
    <xf numFmtId="193" fontId="122" fillId="2" borderId="121" xfId="0" applyNumberFormat="1" applyFont="1" applyFill="1" applyBorder="1" applyAlignment="1" applyProtection="1">
      <alignment vertical="center"/>
      <protection locked="0"/>
    </xf>
    <xf numFmtId="193" fontId="122" fillId="2" borderId="97" xfId="0" applyNumberFormat="1" applyFont="1" applyFill="1" applyBorder="1" applyAlignment="1" applyProtection="1">
      <alignment vertical="center"/>
      <protection locked="0"/>
    </xf>
    <xf numFmtId="10" fontId="94" fillId="2" borderId="25" xfId="20962" applyNumberFormat="1" applyFont="1" applyFill="1" applyBorder="1" applyAlignment="1" applyProtection="1">
      <alignment vertical="center"/>
      <protection locked="0"/>
    </xf>
    <xf numFmtId="10" fontId="122" fillId="2" borderId="25" xfId="20962" applyNumberFormat="1" applyFont="1" applyFill="1" applyBorder="1" applyAlignment="1" applyProtection="1">
      <alignment vertical="center"/>
      <protection locked="0"/>
    </xf>
    <xf numFmtId="10" fontId="122" fillId="2" borderId="26" xfId="20962" applyNumberFormat="1" applyFont="1" applyFill="1" applyBorder="1" applyAlignment="1" applyProtection="1">
      <alignment vertical="center"/>
      <protection locked="0"/>
    </xf>
    <xf numFmtId="193" fontId="94" fillId="0" borderId="124" xfId="0" applyNumberFormat="1" applyFont="1" applyBorder="1" applyAlignment="1">
      <alignment horizontal="right"/>
    </xf>
    <xf numFmtId="193" fontId="94" fillId="0" borderId="124" xfId="0" applyNumberFormat="1" applyFont="1" applyBorder="1" applyAlignment="1" applyProtection="1">
      <alignment horizontal="right"/>
      <protection locked="0"/>
    </xf>
    <xf numFmtId="193" fontId="94" fillId="0" borderId="120" xfId="0" applyNumberFormat="1" applyFont="1" applyBorder="1" applyAlignment="1" applyProtection="1">
      <alignment horizontal="right"/>
      <protection locked="0"/>
    </xf>
    <xf numFmtId="193" fontId="123" fillId="0" borderId="120" xfId="0" applyNumberFormat="1" applyFont="1" applyBorder="1" applyAlignment="1" applyProtection="1">
      <alignment horizontal="left" indent="1"/>
      <protection locked="0"/>
    </xf>
    <xf numFmtId="193" fontId="123" fillId="0" borderId="120" xfId="0" applyNumberFormat="1" applyFont="1" applyBorder="1" applyProtection="1">
      <protection locked="0"/>
    </xf>
    <xf numFmtId="193" fontId="94" fillId="36" borderId="89" xfId="7" applyNumberFormat="1" applyFont="1" applyFill="1" applyBorder="1" applyAlignment="1" applyProtection="1"/>
    <xf numFmtId="193" fontId="123" fillId="0" borderId="120" xfId="0" applyNumberFormat="1" applyFont="1" applyBorder="1" applyAlignment="1" applyProtection="1">
      <alignment horizontal="right" vertical="center"/>
      <protection locked="0"/>
    </xf>
    <xf numFmtId="1" fontId="3" fillId="0" borderId="89" xfId="0" applyNumberFormat="1" applyFont="1" applyBorder="1" applyAlignment="1">
      <alignment horizontal="right" vertical="center" wrapText="1"/>
    </xf>
    <xf numFmtId="1" fontId="4" fillId="36" borderId="89" xfId="0" applyNumberFormat="1" applyFont="1" applyFill="1" applyBorder="1" applyAlignment="1">
      <alignment horizontal="right" vertical="center" wrapText="1"/>
    </xf>
    <xf numFmtId="43" fontId="100" fillId="0" borderId="89" xfId="7" applyFont="1" applyFill="1" applyBorder="1" applyAlignment="1">
      <alignment horizontal="right" vertical="center" wrapText="1"/>
    </xf>
    <xf numFmtId="1" fontId="100" fillId="0" borderId="89" xfId="0" applyNumberFormat="1" applyFont="1" applyBorder="1" applyAlignment="1">
      <alignment horizontal="right" vertical="center" wrapText="1"/>
    </xf>
    <xf numFmtId="1" fontId="96" fillId="0" borderId="26" xfId="1" applyNumberFormat="1" applyFont="1" applyFill="1" applyBorder="1" applyAlignment="1" applyProtection="1">
      <alignment horizontal="right" vertical="center"/>
    </xf>
    <xf numFmtId="193" fontId="125" fillId="0" borderId="34" xfId="0" applyNumberFormat="1" applyFont="1" applyBorder="1" applyAlignment="1">
      <alignment vertical="center"/>
    </xf>
    <xf numFmtId="193" fontId="125" fillId="0" borderId="13" xfId="0" applyNumberFormat="1" applyFont="1" applyBorder="1" applyAlignment="1">
      <alignment vertical="center"/>
    </xf>
    <xf numFmtId="193" fontId="126" fillId="0" borderId="13" xfId="0" applyNumberFormat="1" applyFont="1" applyBorder="1" applyAlignment="1">
      <alignment vertical="center"/>
    </xf>
    <xf numFmtId="193" fontId="125" fillId="36" borderId="13" xfId="0" applyNumberFormat="1" applyFont="1" applyFill="1" applyBorder="1" applyAlignment="1">
      <alignment vertical="center"/>
    </xf>
    <xf numFmtId="193" fontId="125" fillId="0" borderId="14" xfId="0" applyNumberFormat="1" applyFont="1" applyBorder="1" applyAlignment="1">
      <alignment vertical="center"/>
    </xf>
    <xf numFmtId="193" fontId="125" fillId="0" borderId="17" xfId="0" applyNumberFormat="1" applyFont="1" applyBorder="1" applyAlignment="1">
      <alignment vertical="center"/>
    </xf>
    <xf numFmtId="193" fontId="126" fillId="0" borderId="14" xfId="0" applyNumberFormat="1" applyFont="1" applyBorder="1" applyAlignment="1">
      <alignment vertical="center"/>
    </xf>
    <xf numFmtId="43" fontId="3" fillId="0" borderId="21" xfId="7" applyFont="1" applyBorder="1" applyAlignment="1"/>
    <xf numFmtId="43" fontId="3" fillId="0" borderId="120" xfId="7" applyFont="1" applyBorder="1" applyAlignment="1"/>
    <xf numFmtId="43" fontId="3" fillId="0" borderId="89" xfId="7" applyFont="1" applyBorder="1" applyAlignment="1"/>
    <xf numFmtId="43" fontId="3" fillId="0" borderId="92" xfId="7" applyFont="1" applyBorder="1" applyAlignment="1">
      <alignment wrapText="1"/>
    </xf>
    <xf numFmtId="43" fontId="3" fillId="0" borderId="92" xfId="7" applyFont="1" applyBorder="1" applyAlignment="1"/>
    <xf numFmtId="193" fontId="3" fillId="36" borderId="56" xfId="0" applyNumberFormat="1" applyFont="1" applyFill="1" applyBorder="1"/>
    <xf numFmtId="193" fontId="3" fillId="36" borderId="24" xfId="0" applyNumberFormat="1" applyFont="1" applyFill="1" applyBorder="1"/>
    <xf numFmtId="193" fontId="3" fillId="36" borderId="26" xfId="0" applyNumberFormat="1" applyFont="1" applyFill="1" applyBorder="1"/>
    <xf numFmtId="193" fontId="3" fillId="36" borderId="57" xfId="0" applyNumberFormat="1" applyFont="1" applyFill="1" applyBorder="1"/>
    <xf numFmtId="0" fontId="3" fillId="0" borderId="29" xfId="0" applyFont="1" applyBorder="1" applyAlignment="1">
      <alignment vertical="center"/>
    </xf>
    <xf numFmtId="0" fontId="3" fillId="0" borderId="20" xfId="0" applyFont="1" applyBorder="1" applyAlignment="1">
      <alignment vertical="center"/>
    </xf>
    <xf numFmtId="0" fontId="3" fillId="0" borderId="112" xfId="0" applyFont="1" applyBorder="1" applyAlignment="1">
      <alignment vertical="center"/>
    </xf>
    <xf numFmtId="0" fontId="3" fillId="0" borderId="97" xfId="0" applyFont="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43" fontId="94" fillId="3" borderId="120" xfId="7" applyFont="1" applyFill="1" applyBorder="1" applyProtection="1">
      <protection locked="0"/>
    </xf>
    <xf numFmtId="43" fontId="94" fillId="36" borderId="120" xfId="7" applyFont="1" applyFill="1" applyBorder="1" applyProtection="1">
      <protection locked="0"/>
    </xf>
    <xf numFmtId="164" fontId="94" fillId="0" borderId="120" xfId="7" applyNumberFormat="1" applyFont="1" applyFill="1" applyBorder="1" applyProtection="1">
      <protection locked="0"/>
    </xf>
    <xf numFmtId="193" fontId="128" fillId="36" borderId="25" xfId="16" applyNumberFormat="1" applyFont="1" applyFill="1" applyBorder="1" applyProtection="1">
      <protection locked="0"/>
    </xf>
    <xf numFmtId="3" fontId="128" fillId="36" borderId="25" xfId="16" applyNumberFormat="1" applyFont="1" applyFill="1" applyBorder="1" applyProtection="1">
      <protection locked="0"/>
    </xf>
    <xf numFmtId="164" fontId="105" fillId="3" borderId="120" xfId="948" applyNumberFormat="1" applyFont="1" applyFill="1" applyBorder="1" applyAlignment="1" applyProtection="1">
      <alignment horizontal="right" vertical="center"/>
      <protection locked="0"/>
    </xf>
    <xf numFmtId="10" fontId="105" fillId="78" borderId="120" xfId="20962" applyNumberFormat="1" applyFont="1" applyFill="1" applyBorder="1" applyAlignment="1" applyProtection="1">
      <alignment horizontal="right" vertical="center"/>
    </xf>
    <xf numFmtId="166" fontId="112" fillId="36" borderId="120" xfId="20965" applyFont="1" applyFill="1" applyBorder="1"/>
    <xf numFmtId="164" fontId="113" fillId="80" borderId="120" xfId="7" applyNumberFormat="1" applyFont="1" applyFill="1" applyBorder="1"/>
    <xf numFmtId="164" fontId="113" fillId="81" borderId="120" xfId="7" applyNumberFormat="1" applyFont="1" applyFill="1" applyBorder="1"/>
    <xf numFmtId="0" fontId="0" fillId="0" borderId="7" xfId="0" applyBorder="1"/>
    <xf numFmtId="0" fontId="113" fillId="0" borderId="112" xfId="0" applyFont="1" applyBorder="1" applyAlignment="1">
      <alignment horizontal="center" vertical="center" wrapText="1"/>
    </xf>
    <xf numFmtId="0" fontId="0" fillId="0" borderId="120" xfId="0" applyBorder="1" applyAlignment="1">
      <alignment horizontal="left" indent="2"/>
    </xf>
    <xf numFmtId="0" fontId="131" fillId="0" borderId="128" xfId="0" applyFont="1" applyBorder="1" applyAlignment="1">
      <alignment vertical="center" wrapText="1" readingOrder="1"/>
    </xf>
    <xf numFmtId="164" fontId="121" fillId="0" borderId="120" xfId="7" applyNumberFormat="1" applyFont="1" applyBorder="1"/>
    <xf numFmtId="165" fontId="121" fillId="0" borderId="120" xfId="20962" applyNumberFormat="1" applyFont="1" applyBorder="1"/>
    <xf numFmtId="0" fontId="131" fillId="0" borderId="129" xfId="0" applyFont="1" applyBorder="1" applyAlignment="1">
      <alignment vertical="center" wrapText="1" readingOrder="1"/>
    </xf>
    <xf numFmtId="0" fontId="131" fillId="0" borderId="129" xfId="0" applyFont="1" applyBorder="1" applyAlignment="1">
      <alignment horizontal="left" vertical="center" wrapText="1" indent="1" readingOrder="1"/>
    </xf>
    <xf numFmtId="0" fontId="0" fillId="0" borderId="121" xfId="0" applyBorder="1" applyAlignment="1">
      <alignment horizontal="left" indent="2"/>
    </xf>
    <xf numFmtId="0" fontId="131" fillId="0" borderId="130" xfId="0" applyFont="1" applyBorder="1" applyAlignment="1">
      <alignment vertical="center" wrapText="1" readingOrder="1"/>
    </xf>
    <xf numFmtId="164" fontId="132" fillId="0" borderId="120" xfId="7" applyNumberFormat="1" applyFont="1" applyBorder="1"/>
    <xf numFmtId="165" fontId="132" fillId="0" borderId="120" xfId="20962" applyNumberFormat="1" applyFont="1" applyBorder="1"/>
    <xf numFmtId="0" fontId="133" fillId="0" borderId="120" xfId="0" applyFont="1" applyBorder="1" applyAlignment="1">
      <alignment vertical="center" wrapText="1" readingOrder="1"/>
    </xf>
    <xf numFmtId="0" fontId="131" fillId="0" borderId="120" xfId="0" applyFont="1" applyBorder="1" applyAlignment="1">
      <alignment vertical="center" wrapText="1" readingOrder="1"/>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xf numFmtId="0" fontId="130" fillId="0" borderId="120" xfId="0" applyFont="1" applyBorder="1" applyAlignment="1">
      <alignment horizontal="center" vertical="center" wrapText="1"/>
    </xf>
    <xf numFmtId="0" fontId="129" fillId="0" borderId="120" xfId="0" applyFont="1" applyBorder="1" applyAlignment="1">
      <alignment horizontal="center" vertical="center"/>
    </xf>
    <xf numFmtId="0" fontId="121" fillId="0" borderId="121" xfId="0" applyFont="1" applyBorder="1" applyAlignment="1">
      <alignment horizontal="center" vertical="center" wrapText="1"/>
    </xf>
    <xf numFmtId="0" fontId="121" fillId="0" borderId="11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C1" sqref="C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6"/>
      <c r="B1" s="167" t="s">
        <v>344</v>
      </c>
      <c r="C1" s="136"/>
    </row>
    <row r="2" spans="1:3">
      <c r="A2" s="168">
        <v>1</v>
      </c>
      <c r="B2" s="283" t="s">
        <v>345</v>
      </c>
      <c r="C2" s="489" t="s">
        <v>718</v>
      </c>
    </row>
    <row r="3" spans="1:3">
      <c r="A3" s="168">
        <v>2</v>
      </c>
      <c r="B3" s="284" t="s">
        <v>341</v>
      </c>
      <c r="C3" s="489" t="s">
        <v>719</v>
      </c>
    </row>
    <row r="4" spans="1:3">
      <c r="A4" s="168">
        <v>3</v>
      </c>
      <c r="B4" s="285" t="s">
        <v>346</v>
      </c>
      <c r="C4" s="489" t="s">
        <v>720</v>
      </c>
    </row>
    <row r="5" spans="1:3">
      <c r="A5" s="169">
        <v>4</v>
      </c>
      <c r="B5" s="286" t="s">
        <v>342</v>
      </c>
      <c r="C5" s="402" t="s">
        <v>711</v>
      </c>
    </row>
    <row r="6" spans="1:3" s="170" customFormat="1" ht="45.75" customHeight="1">
      <c r="A6" s="621" t="s">
        <v>420</v>
      </c>
      <c r="B6" s="622"/>
      <c r="C6" s="622"/>
    </row>
    <row r="7" spans="1:3" ht="15">
      <c r="A7" s="171" t="s">
        <v>29</v>
      </c>
      <c r="B7" s="167" t="s">
        <v>343</v>
      </c>
    </row>
    <row r="8" spans="1:3">
      <c r="A8" s="136">
        <v>1</v>
      </c>
      <c r="B8" s="206" t="s">
        <v>20</v>
      </c>
    </row>
    <row r="9" spans="1:3">
      <c r="A9" s="136">
        <v>2</v>
      </c>
      <c r="B9" s="207" t="s">
        <v>21</v>
      </c>
    </row>
    <row r="10" spans="1:3">
      <c r="A10" s="136">
        <v>3</v>
      </c>
      <c r="B10" s="207" t="s">
        <v>22</v>
      </c>
    </row>
    <row r="11" spans="1:3">
      <c r="A11" s="136">
        <v>4</v>
      </c>
      <c r="B11" s="207" t="s">
        <v>23</v>
      </c>
    </row>
    <row r="12" spans="1:3">
      <c r="A12" s="136">
        <v>5</v>
      </c>
      <c r="B12" s="207" t="s">
        <v>24</v>
      </c>
    </row>
    <row r="13" spans="1:3">
      <c r="A13" s="136">
        <v>6</v>
      </c>
      <c r="B13" s="208" t="s">
        <v>353</v>
      </c>
    </row>
    <row r="14" spans="1:3">
      <c r="A14" s="136">
        <v>7</v>
      </c>
      <c r="B14" s="207" t="s">
        <v>347</v>
      </c>
    </row>
    <row r="15" spans="1:3">
      <c r="A15" s="136">
        <v>8</v>
      </c>
      <c r="B15" s="207" t="s">
        <v>348</v>
      </c>
    </row>
    <row r="16" spans="1:3">
      <c r="A16" s="136">
        <v>9</v>
      </c>
      <c r="B16" s="207" t="s">
        <v>25</v>
      </c>
    </row>
    <row r="17" spans="1:2">
      <c r="A17" s="282" t="s">
        <v>419</v>
      </c>
      <c r="B17" s="281" t="s">
        <v>406</v>
      </c>
    </row>
    <row r="18" spans="1:2">
      <c r="A18" s="136">
        <v>10</v>
      </c>
      <c r="B18" s="207" t="s">
        <v>26</v>
      </c>
    </row>
    <row r="19" spans="1:2">
      <c r="A19" s="136">
        <v>11</v>
      </c>
      <c r="B19" s="208" t="s">
        <v>349</v>
      </c>
    </row>
    <row r="20" spans="1:2">
      <c r="A20" s="136">
        <v>12</v>
      </c>
      <c r="B20" s="208" t="s">
        <v>27</v>
      </c>
    </row>
    <row r="21" spans="1:2">
      <c r="A21" s="322">
        <v>13</v>
      </c>
      <c r="B21" s="323" t="s">
        <v>350</v>
      </c>
    </row>
    <row r="22" spans="1:2">
      <c r="A22" s="322">
        <v>14</v>
      </c>
      <c r="B22" s="324" t="s">
        <v>377</v>
      </c>
    </row>
    <row r="23" spans="1:2">
      <c r="A23" s="322">
        <v>15</v>
      </c>
      <c r="B23" s="325" t="s">
        <v>28</v>
      </c>
    </row>
    <row r="24" spans="1:2">
      <c r="A24" s="322">
        <v>15.1</v>
      </c>
      <c r="B24" s="326" t="s">
        <v>433</v>
      </c>
    </row>
    <row r="25" spans="1:2">
      <c r="A25" s="322">
        <v>16</v>
      </c>
      <c r="B25" s="326" t="s">
        <v>497</v>
      </c>
    </row>
    <row r="26" spans="1:2">
      <c r="A26" s="322">
        <v>17</v>
      </c>
      <c r="B26" s="326" t="s">
        <v>538</v>
      </c>
    </row>
    <row r="27" spans="1:2">
      <c r="A27" s="322">
        <v>18</v>
      </c>
      <c r="B27" s="326" t="s">
        <v>708</v>
      </c>
    </row>
    <row r="28" spans="1:2">
      <c r="A28" s="322">
        <v>19</v>
      </c>
      <c r="B28" s="326" t="s">
        <v>709</v>
      </c>
    </row>
    <row r="29" spans="1:2">
      <c r="A29" s="322">
        <v>20</v>
      </c>
      <c r="B29" s="402" t="s">
        <v>539</v>
      </c>
    </row>
    <row r="30" spans="1:2">
      <c r="A30" s="322">
        <v>21</v>
      </c>
      <c r="B30" s="326" t="s">
        <v>705</v>
      </c>
    </row>
    <row r="31" spans="1:2">
      <c r="A31" s="322">
        <v>22</v>
      </c>
      <c r="B31" s="326" t="s">
        <v>540</v>
      </c>
    </row>
    <row r="32" spans="1:2">
      <c r="A32" s="322">
        <v>23</v>
      </c>
      <c r="B32" s="326" t="s">
        <v>541</v>
      </c>
    </row>
    <row r="33" spans="1:2">
      <c r="A33" s="322">
        <v>24</v>
      </c>
      <c r="B33" s="326" t="s">
        <v>542</v>
      </c>
    </row>
    <row r="34" spans="1:2">
      <c r="A34" s="322">
        <v>25</v>
      </c>
      <c r="B34" s="326"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38">
        <f>'1. key ratios '!B2</f>
        <v>44561</v>
      </c>
    </row>
    <row r="3" spans="1:3" s="2" customFormat="1" ht="15.75" customHeight="1"/>
    <row r="4" spans="1:3" ht="13.5" thickBot="1">
      <c r="A4" s="4" t="s">
        <v>246</v>
      </c>
      <c r="B4" s="124" t="s">
        <v>245</v>
      </c>
    </row>
    <row r="5" spans="1:3">
      <c r="A5" s="77" t="s">
        <v>6</v>
      </c>
      <c r="B5" s="78"/>
      <c r="C5" s="79" t="s">
        <v>73</v>
      </c>
    </row>
    <row r="6" spans="1:3">
      <c r="A6" s="80">
        <v>1</v>
      </c>
      <c r="B6" s="81" t="s">
        <v>244</v>
      </c>
      <c r="C6" s="474">
        <f>SUM(C7:C11)</f>
        <v>155499093.61000001</v>
      </c>
    </row>
    <row r="7" spans="1:3">
      <c r="A7" s="80">
        <v>2</v>
      </c>
      <c r="B7" s="82" t="s">
        <v>243</v>
      </c>
      <c r="C7" s="475">
        <v>121372000.00000001</v>
      </c>
    </row>
    <row r="8" spans="1:3">
      <c r="A8" s="80">
        <v>3</v>
      </c>
      <c r="B8" s="83" t="s">
        <v>242</v>
      </c>
      <c r="C8" s="475">
        <v>0</v>
      </c>
    </row>
    <row r="9" spans="1:3">
      <c r="A9" s="80">
        <v>4</v>
      </c>
      <c r="B9" s="83" t="s">
        <v>241</v>
      </c>
      <c r="C9" s="475">
        <v>0</v>
      </c>
    </row>
    <row r="10" spans="1:3">
      <c r="A10" s="80">
        <v>5</v>
      </c>
      <c r="B10" s="83" t="s">
        <v>240</v>
      </c>
      <c r="C10" s="475">
        <v>0</v>
      </c>
    </row>
    <row r="11" spans="1:3">
      <c r="A11" s="80">
        <v>6</v>
      </c>
      <c r="B11" s="84" t="s">
        <v>239</v>
      </c>
      <c r="C11" s="475">
        <v>34127093.609999985</v>
      </c>
    </row>
    <row r="12" spans="1:3" s="55" customFormat="1">
      <c r="A12" s="80">
        <v>7</v>
      </c>
      <c r="B12" s="81" t="s">
        <v>238</v>
      </c>
      <c r="C12" s="476">
        <f>SUM(C13:C27)</f>
        <v>23404928</v>
      </c>
    </row>
    <row r="13" spans="1:3" s="55" customFormat="1">
      <c r="A13" s="80">
        <v>8</v>
      </c>
      <c r="B13" s="85" t="s">
        <v>237</v>
      </c>
      <c r="C13" s="477">
        <v>0</v>
      </c>
    </row>
    <row r="14" spans="1:3" s="55" customFormat="1" ht="25.5">
      <c r="A14" s="80">
        <v>9</v>
      </c>
      <c r="B14" s="86" t="s">
        <v>236</v>
      </c>
      <c r="C14" s="477">
        <v>0</v>
      </c>
    </row>
    <row r="15" spans="1:3" s="55" customFormat="1">
      <c r="A15" s="80">
        <v>10</v>
      </c>
      <c r="B15" s="87" t="s">
        <v>235</v>
      </c>
      <c r="C15" s="477">
        <v>23404928</v>
      </c>
    </row>
    <row r="16" spans="1:3" s="55" customFormat="1">
      <c r="A16" s="80">
        <v>11</v>
      </c>
      <c r="B16" s="88" t="s">
        <v>234</v>
      </c>
      <c r="C16" s="477">
        <v>0</v>
      </c>
    </row>
    <row r="17" spans="1:3" s="55" customFormat="1">
      <c r="A17" s="80">
        <v>12</v>
      </c>
      <c r="B17" s="87" t="s">
        <v>233</v>
      </c>
      <c r="C17" s="477">
        <v>0</v>
      </c>
    </row>
    <row r="18" spans="1:3" s="55" customFormat="1">
      <c r="A18" s="80">
        <v>13</v>
      </c>
      <c r="B18" s="87" t="s">
        <v>232</v>
      </c>
      <c r="C18" s="477">
        <v>0</v>
      </c>
    </row>
    <row r="19" spans="1:3" s="55" customFormat="1">
      <c r="A19" s="80">
        <v>14</v>
      </c>
      <c r="B19" s="87" t="s">
        <v>231</v>
      </c>
      <c r="C19" s="477">
        <v>0</v>
      </c>
    </row>
    <row r="20" spans="1:3" s="55" customFormat="1">
      <c r="A20" s="80">
        <v>15</v>
      </c>
      <c r="B20" s="87" t="s">
        <v>230</v>
      </c>
      <c r="C20" s="477">
        <v>0</v>
      </c>
    </row>
    <row r="21" spans="1:3" s="55" customFormat="1" ht="25.5">
      <c r="A21" s="80">
        <v>16</v>
      </c>
      <c r="B21" s="86" t="s">
        <v>229</v>
      </c>
      <c r="C21" s="477">
        <v>0</v>
      </c>
    </row>
    <row r="22" spans="1:3" s="55" customFormat="1">
      <c r="A22" s="80">
        <v>17</v>
      </c>
      <c r="B22" s="89" t="s">
        <v>228</v>
      </c>
      <c r="C22" s="477">
        <v>0</v>
      </c>
    </row>
    <row r="23" spans="1:3" s="55" customFormat="1">
      <c r="A23" s="80">
        <v>18</v>
      </c>
      <c r="B23" s="86" t="s">
        <v>227</v>
      </c>
      <c r="C23" s="477">
        <v>0</v>
      </c>
    </row>
    <row r="24" spans="1:3" s="55" customFormat="1" ht="25.5">
      <c r="A24" s="80">
        <v>19</v>
      </c>
      <c r="B24" s="86" t="s">
        <v>204</v>
      </c>
      <c r="C24" s="477">
        <v>0</v>
      </c>
    </row>
    <row r="25" spans="1:3" s="55" customFormat="1">
      <c r="A25" s="80">
        <v>20</v>
      </c>
      <c r="B25" s="88" t="s">
        <v>226</v>
      </c>
      <c r="C25" s="477">
        <v>0</v>
      </c>
    </row>
    <row r="26" spans="1:3" s="55" customFormat="1">
      <c r="A26" s="80">
        <v>21</v>
      </c>
      <c r="B26" s="88" t="s">
        <v>225</v>
      </c>
      <c r="C26" s="477">
        <v>0</v>
      </c>
    </row>
    <row r="27" spans="1:3" s="55" customFormat="1">
      <c r="A27" s="80">
        <v>22</v>
      </c>
      <c r="B27" s="88" t="s">
        <v>224</v>
      </c>
      <c r="C27" s="477">
        <v>0</v>
      </c>
    </row>
    <row r="28" spans="1:3" s="55" customFormat="1">
      <c r="A28" s="80">
        <v>23</v>
      </c>
      <c r="B28" s="90" t="s">
        <v>223</v>
      </c>
      <c r="C28" s="476">
        <f>C6-C12</f>
        <v>132094165.61000001</v>
      </c>
    </row>
    <row r="29" spans="1:3" s="55" customFormat="1">
      <c r="A29" s="91"/>
      <c r="B29" s="92"/>
      <c r="C29" s="477"/>
    </row>
    <row r="30" spans="1:3" s="55" customFormat="1">
      <c r="A30" s="91">
        <v>24</v>
      </c>
      <c r="B30" s="90" t="s">
        <v>222</v>
      </c>
      <c r="C30" s="476">
        <f>C31+C34</f>
        <v>0</v>
      </c>
    </row>
    <row r="31" spans="1:3" s="55" customFormat="1">
      <c r="A31" s="91">
        <v>25</v>
      </c>
      <c r="B31" s="83" t="s">
        <v>221</v>
      </c>
      <c r="C31" s="478">
        <f>C32+C33</f>
        <v>0</v>
      </c>
    </row>
    <row r="32" spans="1:3" s="55" customFormat="1">
      <c r="A32" s="91">
        <v>26</v>
      </c>
      <c r="B32" s="93" t="s">
        <v>302</v>
      </c>
      <c r="C32" s="477">
        <v>0</v>
      </c>
    </row>
    <row r="33" spans="1:3" s="55" customFormat="1">
      <c r="A33" s="91">
        <v>27</v>
      </c>
      <c r="B33" s="93" t="s">
        <v>220</v>
      </c>
      <c r="C33" s="477">
        <v>0</v>
      </c>
    </row>
    <row r="34" spans="1:3" s="55" customFormat="1">
      <c r="A34" s="91">
        <v>28</v>
      </c>
      <c r="B34" s="83" t="s">
        <v>219</v>
      </c>
      <c r="C34" s="477">
        <v>0</v>
      </c>
    </row>
    <row r="35" spans="1:3" s="55" customFormat="1">
      <c r="A35" s="91">
        <v>29</v>
      </c>
      <c r="B35" s="90" t="s">
        <v>218</v>
      </c>
      <c r="C35" s="476">
        <f>SUM(C36:C40)</f>
        <v>0</v>
      </c>
    </row>
    <row r="36" spans="1:3" s="55" customFormat="1">
      <c r="A36" s="91">
        <v>30</v>
      </c>
      <c r="B36" s="86" t="s">
        <v>217</v>
      </c>
      <c r="C36" s="477">
        <v>0</v>
      </c>
    </row>
    <row r="37" spans="1:3" s="55" customFormat="1">
      <c r="A37" s="91">
        <v>31</v>
      </c>
      <c r="B37" s="87" t="s">
        <v>216</v>
      </c>
      <c r="C37" s="477">
        <v>0</v>
      </c>
    </row>
    <row r="38" spans="1:3" s="55" customFormat="1" ht="25.5">
      <c r="A38" s="91">
        <v>32</v>
      </c>
      <c r="B38" s="86" t="s">
        <v>215</v>
      </c>
      <c r="C38" s="477">
        <v>0</v>
      </c>
    </row>
    <row r="39" spans="1:3" s="55" customFormat="1" ht="25.5">
      <c r="A39" s="91">
        <v>33</v>
      </c>
      <c r="B39" s="86" t="s">
        <v>204</v>
      </c>
      <c r="C39" s="477">
        <v>0</v>
      </c>
    </row>
    <row r="40" spans="1:3" s="55" customFormat="1">
      <c r="A40" s="91">
        <v>34</v>
      </c>
      <c r="B40" s="88" t="s">
        <v>214</v>
      </c>
      <c r="C40" s="477">
        <v>0</v>
      </c>
    </row>
    <row r="41" spans="1:3" s="55" customFormat="1">
      <c r="A41" s="91">
        <v>35</v>
      </c>
      <c r="B41" s="90" t="s">
        <v>213</v>
      </c>
      <c r="C41" s="476">
        <f>C30-C35</f>
        <v>0</v>
      </c>
    </row>
    <row r="42" spans="1:3" s="55" customFormat="1">
      <c r="A42" s="91"/>
      <c r="B42" s="92"/>
      <c r="C42" s="477"/>
    </row>
    <row r="43" spans="1:3" s="55" customFormat="1">
      <c r="A43" s="91">
        <v>36</v>
      </c>
      <c r="B43" s="94" t="s">
        <v>212</v>
      </c>
      <c r="C43" s="476">
        <f>SUM(C44:C46)</f>
        <v>47458447.58339189</v>
      </c>
    </row>
    <row r="44" spans="1:3" s="55" customFormat="1">
      <c r="A44" s="91">
        <v>37</v>
      </c>
      <c r="B44" s="83" t="s">
        <v>211</v>
      </c>
      <c r="C44" s="477">
        <v>34924336.68</v>
      </c>
    </row>
    <row r="45" spans="1:3" s="55" customFormat="1">
      <c r="A45" s="91">
        <v>38</v>
      </c>
      <c r="B45" s="83" t="s">
        <v>210</v>
      </c>
      <c r="C45" s="477">
        <v>0</v>
      </c>
    </row>
    <row r="46" spans="1:3" s="55" customFormat="1">
      <c r="A46" s="91">
        <v>39</v>
      </c>
      <c r="B46" s="83" t="s">
        <v>209</v>
      </c>
      <c r="C46" s="477">
        <v>12534110.903391894</v>
      </c>
    </row>
    <row r="47" spans="1:3" s="55" customFormat="1">
      <c r="A47" s="91">
        <v>40</v>
      </c>
      <c r="B47" s="94" t="s">
        <v>208</v>
      </c>
      <c r="C47" s="476">
        <f>SUM(C48:C51)</f>
        <v>0</v>
      </c>
    </row>
    <row r="48" spans="1:3" s="55" customFormat="1">
      <c r="A48" s="91">
        <v>41</v>
      </c>
      <c r="B48" s="86" t="s">
        <v>207</v>
      </c>
      <c r="C48" s="477">
        <v>0</v>
      </c>
    </row>
    <row r="49" spans="1:3" s="55" customFormat="1">
      <c r="A49" s="91">
        <v>42</v>
      </c>
      <c r="B49" s="87" t="s">
        <v>206</v>
      </c>
      <c r="C49" s="477">
        <v>0</v>
      </c>
    </row>
    <row r="50" spans="1:3" s="55" customFormat="1">
      <c r="A50" s="91">
        <v>43</v>
      </c>
      <c r="B50" s="86" t="s">
        <v>205</v>
      </c>
      <c r="C50" s="477">
        <v>0</v>
      </c>
    </row>
    <row r="51" spans="1:3" s="55" customFormat="1" ht="25.5">
      <c r="A51" s="91">
        <v>44</v>
      </c>
      <c r="B51" s="86" t="s">
        <v>204</v>
      </c>
      <c r="C51" s="477">
        <v>0</v>
      </c>
    </row>
    <row r="52" spans="1:3" s="55" customFormat="1" ht="13.5" thickBot="1">
      <c r="A52" s="95">
        <v>45</v>
      </c>
      <c r="B52" s="96" t="s">
        <v>203</v>
      </c>
      <c r="C52" s="479">
        <f>C43-C47</f>
        <v>47458447.58339189</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E28" sqref="E28"/>
    </sheetView>
  </sheetViews>
  <sheetFormatPr defaultColWidth="9.140625" defaultRowHeight="12.75"/>
  <cols>
    <col min="1" max="1" width="9.42578125" style="193" bestFit="1" customWidth="1"/>
    <col min="2" max="2" width="59" style="193" customWidth="1"/>
    <col min="3" max="3" width="16.7109375" style="193" bestFit="1" customWidth="1"/>
    <col min="4" max="4" width="13.28515625" style="193" bestFit="1" customWidth="1"/>
    <col min="5" max="16384" width="9.140625" style="193"/>
  </cols>
  <sheetData>
    <row r="1" spans="1:4" ht="15">
      <c r="A1" s="191" t="s">
        <v>30</v>
      </c>
      <c r="B1" s="3" t="str">
        <f>'Info '!C2</f>
        <v>Terabank</v>
      </c>
    </row>
    <row r="2" spans="1:4" s="191" customFormat="1" ht="15.75" customHeight="1">
      <c r="A2" s="191" t="s">
        <v>31</v>
      </c>
      <c r="B2" s="338">
        <f>'1. key ratios '!B2</f>
        <v>44561</v>
      </c>
    </row>
    <row r="3" spans="1:4" s="191" customFormat="1" ht="15.75" customHeight="1"/>
    <row r="4" spans="1:4" ht="13.5" thickBot="1">
      <c r="A4" s="193" t="s">
        <v>405</v>
      </c>
      <c r="B4" s="271" t="s">
        <v>406</v>
      </c>
    </row>
    <row r="5" spans="1:4" s="198" customFormat="1" ht="12.75" customHeight="1">
      <c r="A5" s="320"/>
      <c r="B5" s="321" t="s">
        <v>409</v>
      </c>
      <c r="C5" s="264" t="s">
        <v>407</v>
      </c>
      <c r="D5" s="265" t="s">
        <v>408</v>
      </c>
    </row>
    <row r="6" spans="1:4" s="272" customFormat="1">
      <c r="A6" s="266">
        <v>1</v>
      </c>
      <c r="B6" s="316" t="s">
        <v>410</v>
      </c>
      <c r="C6" s="316"/>
      <c r="D6" s="267"/>
    </row>
    <row r="7" spans="1:4" s="272" customFormat="1">
      <c r="A7" s="268" t="s">
        <v>396</v>
      </c>
      <c r="B7" s="317" t="s">
        <v>411</v>
      </c>
      <c r="C7" s="480">
        <v>4.4999999999999998E-2</v>
      </c>
      <c r="D7" s="570">
        <v>50954953.304029554</v>
      </c>
    </row>
    <row r="8" spans="1:4" s="272" customFormat="1">
      <c r="A8" s="268" t="s">
        <v>397</v>
      </c>
      <c r="B8" s="317" t="s">
        <v>412</v>
      </c>
      <c r="C8" s="481">
        <v>0.06</v>
      </c>
      <c r="D8" s="570">
        <v>67939937.738706082</v>
      </c>
    </row>
    <row r="9" spans="1:4" s="272" customFormat="1">
      <c r="A9" s="268" t="s">
        <v>398</v>
      </c>
      <c r="B9" s="317" t="s">
        <v>413</v>
      </c>
      <c r="C9" s="481">
        <v>0.08</v>
      </c>
      <c r="D9" s="570">
        <v>90586583.651608109</v>
      </c>
    </row>
    <row r="10" spans="1:4" s="272" customFormat="1">
      <c r="A10" s="266" t="s">
        <v>399</v>
      </c>
      <c r="B10" s="316" t="s">
        <v>414</v>
      </c>
      <c r="C10" s="482"/>
      <c r="D10" s="571"/>
    </row>
    <row r="11" spans="1:4" s="273" customFormat="1">
      <c r="A11" s="269" t="s">
        <v>400</v>
      </c>
      <c r="B11" s="314" t="s">
        <v>480</v>
      </c>
      <c r="C11" s="483">
        <v>0</v>
      </c>
      <c r="D11" s="572">
        <v>0</v>
      </c>
    </row>
    <row r="12" spans="1:4" s="273" customFormat="1">
      <c r="A12" s="269" t="s">
        <v>401</v>
      </c>
      <c r="B12" s="314" t="s">
        <v>415</v>
      </c>
      <c r="C12" s="483">
        <v>0</v>
      </c>
      <c r="D12" s="572">
        <v>0</v>
      </c>
    </row>
    <row r="13" spans="1:4" s="273" customFormat="1">
      <c r="A13" s="269" t="s">
        <v>402</v>
      </c>
      <c r="B13" s="314" t="s">
        <v>416</v>
      </c>
      <c r="C13" s="483">
        <v>0</v>
      </c>
      <c r="D13" s="572">
        <v>0</v>
      </c>
    </row>
    <row r="14" spans="1:4" s="273" customFormat="1">
      <c r="A14" s="266" t="s">
        <v>403</v>
      </c>
      <c r="B14" s="316" t="s">
        <v>477</v>
      </c>
      <c r="C14" s="484"/>
      <c r="D14" s="571"/>
    </row>
    <row r="15" spans="1:4" s="273" customFormat="1">
      <c r="A15" s="269">
        <v>3.1</v>
      </c>
      <c r="B15" s="314" t="s">
        <v>421</v>
      </c>
      <c r="C15" s="483">
        <v>1.5662237180455112E-2</v>
      </c>
      <c r="D15" s="573">
        <v>17734856.981482796</v>
      </c>
    </row>
    <row r="16" spans="1:4" s="273" customFormat="1">
      <c r="A16" s="269">
        <v>3.2</v>
      </c>
      <c r="B16" s="314" t="s">
        <v>422</v>
      </c>
      <c r="C16" s="483">
        <v>2.0910314185950428E-2</v>
      </c>
      <c r="D16" s="573">
        <v>23677424.064837575</v>
      </c>
    </row>
    <row r="17" spans="1:4" s="272" customFormat="1">
      <c r="A17" s="269">
        <v>3.3</v>
      </c>
      <c r="B17" s="314" t="s">
        <v>423</v>
      </c>
      <c r="C17" s="483">
        <v>4.510132481217749E-2</v>
      </c>
      <c r="D17" s="573">
        <v>51069686.661208302</v>
      </c>
    </row>
    <row r="18" spans="1:4" s="198" customFormat="1" ht="12.75" customHeight="1">
      <c r="A18" s="318"/>
      <c r="B18" s="319" t="s">
        <v>476</v>
      </c>
      <c r="C18" s="485" t="s">
        <v>712</v>
      </c>
      <c r="D18" s="486" t="s">
        <v>713</v>
      </c>
    </row>
    <row r="19" spans="1:4" s="272" customFormat="1">
      <c r="A19" s="270">
        <v>4</v>
      </c>
      <c r="B19" s="314" t="s">
        <v>417</v>
      </c>
      <c r="C19" s="483">
        <f>C7+C11+C12+C13+C15</f>
        <v>6.066223718045511E-2</v>
      </c>
      <c r="D19" s="570">
        <v>68689810.285512358</v>
      </c>
    </row>
    <row r="20" spans="1:4" s="272" customFormat="1">
      <c r="A20" s="270">
        <v>5</v>
      </c>
      <c r="B20" s="314" t="s">
        <v>137</v>
      </c>
      <c r="C20" s="483">
        <f>C8+C11+C12+C13+C16</f>
        <v>8.0910314185950433E-2</v>
      </c>
      <c r="D20" s="570">
        <v>91617361.803543657</v>
      </c>
    </row>
    <row r="21" spans="1:4" s="272" customFormat="1" ht="13.5" thickBot="1">
      <c r="A21" s="274" t="s">
        <v>404</v>
      </c>
      <c r="B21" s="275" t="s">
        <v>418</v>
      </c>
      <c r="C21" s="315">
        <f>C9+C11+C12+C13+C17</f>
        <v>0.12510132481217751</v>
      </c>
      <c r="D21" s="574">
        <v>141656270.31281644</v>
      </c>
    </row>
    <row r="23" spans="1:4" ht="51">
      <c r="B23" s="232"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38">
        <f>'1. key ratios '!B2</f>
        <v>44561</v>
      </c>
    </row>
    <row r="3" spans="1:6" s="2" customFormat="1" ht="15.75" customHeight="1">
      <c r="A3" s="97"/>
    </row>
    <row r="4" spans="1:6" s="2" customFormat="1" ht="15.75" customHeight="1" thickBot="1">
      <c r="A4" s="2" t="s">
        <v>86</v>
      </c>
      <c r="B4" s="183" t="s">
        <v>286</v>
      </c>
      <c r="D4" s="31" t="s">
        <v>73</v>
      </c>
    </row>
    <row r="5" spans="1:6" ht="25.5">
      <c r="A5" s="98" t="s">
        <v>6</v>
      </c>
      <c r="B5" s="210" t="s">
        <v>340</v>
      </c>
      <c r="C5" s="99" t="s">
        <v>93</v>
      </c>
      <c r="D5" s="100" t="s">
        <v>94</v>
      </c>
    </row>
    <row r="6" spans="1:6" ht="15">
      <c r="A6" s="71">
        <v>1</v>
      </c>
      <c r="B6" s="101" t="s">
        <v>35</v>
      </c>
      <c r="C6" s="575">
        <v>34283691.389999993</v>
      </c>
      <c r="D6" s="102"/>
      <c r="E6" s="103"/>
    </row>
    <row r="7" spans="1:6" ht="15">
      <c r="A7" s="71">
        <v>2</v>
      </c>
      <c r="B7" s="104" t="s">
        <v>36</v>
      </c>
      <c r="C7" s="576">
        <v>169284322.28</v>
      </c>
      <c r="D7" s="105"/>
      <c r="E7" s="103"/>
    </row>
    <row r="8" spans="1:6" ht="15">
      <c r="A8" s="71">
        <v>3</v>
      </c>
      <c r="B8" s="104" t="s">
        <v>37</v>
      </c>
      <c r="C8" s="576">
        <v>27771155.489999991</v>
      </c>
      <c r="D8" s="105"/>
      <c r="E8" s="103"/>
    </row>
    <row r="9" spans="1:6" ht="15">
      <c r="A9" s="71">
        <v>4</v>
      </c>
      <c r="B9" s="104" t="s">
        <v>38</v>
      </c>
      <c r="C9" s="576">
        <v>0</v>
      </c>
      <c r="D9" s="105"/>
      <c r="E9" s="103"/>
    </row>
    <row r="10" spans="1:6" ht="15">
      <c r="A10" s="71">
        <v>5</v>
      </c>
      <c r="B10" s="104" t="s">
        <v>39</v>
      </c>
      <c r="C10" s="576">
        <v>125268448.30000001</v>
      </c>
      <c r="D10" s="105"/>
      <c r="E10" s="103"/>
    </row>
    <row r="11" spans="1:6" ht="15">
      <c r="A11" s="71">
        <v>6.1</v>
      </c>
      <c r="B11" s="184" t="s">
        <v>40</v>
      </c>
      <c r="C11" s="577">
        <v>972738346.64000082</v>
      </c>
      <c r="D11" s="106"/>
      <c r="E11" s="107"/>
    </row>
    <row r="12" spans="1:6" ht="15">
      <c r="A12" s="71">
        <v>6.2</v>
      </c>
      <c r="B12" s="185" t="s">
        <v>41</v>
      </c>
      <c r="C12" s="577">
        <v>-49098444.240000226</v>
      </c>
      <c r="D12" s="106"/>
      <c r="E12" s="107"/>
    </row>
    <row r="13" spans="1:6" ht="15">
      <c r="A13" s="71" t="s">
        <v>714</v>
      </c>
      <c r="B13" s="185" t="s">
        <v>715</v>
      </c>
      <c r="C13" s="577">
        <v>-15619378.000000011</v>
      </c>
      <c r="D13" s="106"/>
      <c r="E13" s="103"/>
    </row>
    <row r="14" spans="1:6" ht="15">
      <c r="A14" s="71" t="s">
        <v>716</v>
      </c>
      <c r="B14" s="185" t="s">
        <v>717</v>
      </c>
      <c r="C14" s="577">
        <v>0</v>
      </c>
      <c r="D14" s="106"/>
      <c r="E14" s="103"/>
    </row>
    <row r="15" spans="1:6" ht="15">
      <c r="A15" s="71">
        <v>6</v>
      </c>
      <c r="B15" s="104" t="s">
        <v>42</v>
      </c>
      <c r="C15" s="578">
        <v>923639902.40000057</v>
      </c>
      <c r="D15" s="106"/>
      <c r="E15" s="103"/>
    </row>
    <row r="16" spans="1:6" ht="15">
      <c r="A16" s="71">
        <v>7</v>
      </c>
      <c r="B16" s="104" t="s">
        <v>43</v>
      </c>
      <c r="C16" s="576">
        <v>12947069.339999974</v>
      </c>
      <c r="D16" s="105"/>
      <c r="E16" s="103"/>
    </row>
    <row r="17" spans="1:5" ht="15">
      <c r="A17" s="71">
        <v>8</v>
      </c>
      <c r="B17" s="104" t="s">
        <v>199</v>
      </c>
      <c r="C17" s="576">
        <v>3324611.5599999987</v>
      </c>
      <c r="D17" s="105"/>
      <c r="E17" s="103"/>
    </row>
    <row r="18" spans="1:5" ht="15">
      <c r="A18" s="71">
        <v>9</v>
      </c>
      <c r="B18" s="104" t="s">
        <v>44</v>
      </c>
      <c r="C18" s="576">
        <v>0</v>
      </c>
      <c r="D18" s="105"/>
      <c r="E18" s="103"/>
    </row>
    <row r="19" spans="1:5" ht="15">
      <c r="A19" s="71">
        <v>9.1</v>
      </c>
      <c r="B19" s="108" t="s">
        <v>88</v>
      </c>
      <c r="C19" s="577">
        <v>0</v>
      </c>
      <c r="D19" s="105"/>
      <c r="E19" s="103"/>
    </row>
    <row r="20" spans="1:5" ht="15">
      <c r="A20" s="71">
        <v>9.1999999999999993</v>
      </c>
      <c r="B20" s="108" t="s">
        <v>89</v>
      </c>
      <c r="C20" s="577">
        <v>0</v>
      </c>
      <c r="D20" s="105"/>
      <c r="E20" s="103"/>
    </row>
    <row r="21" spans="1:5" ht="15">
      <c r="A21" s="71">
        <v>9.3000000000000007</v>
      </c>
      <c r="B21" s="108" t="s">
        <v>268</v>
      </c>
      <c r="C21" s="577">
        <v>0</v>
      </c>
      <c r="D21" s="105"/>
      <c r="E21" s="103"/>
    </row>
    <row r="22" spans="1:5" ht="15">
      <c r="A22" s="71">
        <v>10</v>
      </c>
      <c r="B22" s="104" t="s">
        <v>45</v>
      </c>
      <c r="C22" s="576">
        <v>46782317.159999982</v>
      </c>
      <c r="D22" s="105"/>
      <c r="E22" s="103"/>
    </row>
    <row r="23" spans="1:5" ht="15">
      <c r="A23" s="71">
        <v>10.1</v>
      </c>
      <c r="B23" s="108" t="s">
        <v>90</v>
      </c>
      <c r="C23" s="576">
        <v>23404928</v>
      </c>
      <c r="D23" s="109" t="s">
        <v>92</v>
      </c>
      <c r="E23" s="114"/>
    </row>
    <row r="24" spans="1:5" ht="15">
      <c r="A24" s="71">
        <v>11</v>
      </c>
      <c r="B24" s="110" t="s">
        <v>46</v>
      </c>
      <c r="C24" s="579">
        <v>7999588.0130000003</v>
      </c>
      <c r="D24" s="111"/>
      <c r="E24" s="103"/>
    </row>
    <row r="25" spans="1:5" ht="15">
      <c r="A25" s="71">
        <v>12</v>
      </c>
      <c r="B25" s="112" t="s">
        <v>47</v>
      </c>
      <c r="C25" s="487">
        <f>SUM(C6:C10,C15:C18,C22,C24)</f>
        <v>1351301105.9330006</v>
      </c>
      <c r="D25" s="113"/>
      <c r="E25" s="103"/>
    </row>
    <row r="26" spans="1:5" ht="15">
      <c r="A26" s="71">
        <v>13</v>
      </c>
      <c r="B26" s="104" t="s">
        <v>49</v>
      </c>
      <c r="C26" s="580">
        <v>11274607.050000001</v>
      </c>
      <c r="D26" s="115"/>
      <c r="E26" s="103"/>
    </row>
    <row r="27" spans="1:5" ht="15">
      <c r="A27" s="71">
        <v>14</v>
      </c>
      <c r="B27" s="104" t="s">
        <v>50</v>
      </c>
      <c r="C27" s="576">
        <v>233576113.8200354</v>
      </c>
      <c r="D27" s="105"/>
      <c r="E27" s="103"/>
    </row>
    <row r="28" spans="1:5" ht="15">
      <c r="A28" s="71">
        <v>15</v>
      </c>
      <c r="B28" s="104" t="s">
        <v>51</v>
      </c>
      <c r="C28" s="576">
        <v>252284174.09000009</v>
      </c>
      <c r="D28" s="105"/>
      <c r="E28" s="103"/>
    </row>
    <row r="29" spans="1:5" ht="15">
      <c r="A29" s="71">
        <v>16</v>
      </c>
      <c r="B29" s="104" t="s">
        <v>52</v>
      </c>
      <c r="C29" s="576">
        <v>398440340.12999928</v>
      </c>
      <c r="D29" s="105"/>
      <c r="E29" s="103"/>
    </row>
    <row r="30" spans="1:5" ht="15">
      <c r="A30" s="71">
        <v>17</v>
      </c>
      <c r="B30" s="104" t="s">
        <v>53</v>
      </c>
      <c r="C30" s="576">
        <v>0</v>
      </c>
      <c r="D30" s="105"/>
      <c r="E30" s="103"/>
    </row>
    <row r="31" spans="1:5" ht="15">
      <c r="A31" s="71">
        <v>18</v>
      </c>
      <c r="B31" s="104" t="s">
        <v>54</v>
      </c>
      <c r="C31" s="576">
        <v>211485840</v>
      </c>
      <c r="D31" s="105"/>
      <c r="E31" s="103"/>
    </row>
    <row r="32" spans="1:5" ht="15">
      <c r="A32" s="71">
        <v>19</v>
      </c>
      <c r="B32" s="104" t="s">
        <v>55</v>
      </c>
      <c r="C32" s="576">
        <v>5561998.2900000028</v>
      </c>
      <c r="D32" s="105"/>
      <c r="E32" s="103"/>
    </row>
    <row r="33" spans="1:5" ht="15">
      <c r="A33" s="71">
        <v>20</v>
      </c>
      <c r="B33" s="104" t="s">
        <v>56</v>
      </c>
      <c r="C33" s="576">
        <v>25347969.180000003</v>
      </c>
      <c r="D33" s="105"/>
      <c r="E33" s="103"/>
    </row>
    <row r="34" spans="1:5" ht="15">
      <c r="A34" s="71">
        <v>20.100000000000001</v>
      </c>
      <c r="B34" s="110"/>
      <c r="C34" s="579">
        <v>1052888.4299999997</v>
      </c>
      <c r="D34" s="111"/>
      <c r="E34" s="114"/>
    </row>
    <row r="35" spans="1:5" ht="15">
      <c r="A35" s="71">
        <v>21</v>
      </c>
      <c r="B35" s="110" t="s">
        <v>57</v>
      </c>
      <c r="C35" s="579">
        <v>57830969.719999999</v>
      </c>
      <c r="D35" s="111"/>
      <c r="E35" s="103"/>
    </row>
    <row r="36" spans="1:5" ht="15">
      <c r="A36" s="71">
        <v>21.1</v>
      </c>
      <c r="B36" s="116" t="s">
        <v>91</v>
      </c>
      <c r="C36" s="581">
        <v>34924336.68</v>
      </c>
      <c r="D36" s="117"/>
      <c r="E36" s="103"/>
    </row>
    <row r="37" spans="1:5" ht="15">
      <c r="A37" s="71">
        <v>22</v>
      </c>
      <c r="B37" s="112" t="s">
        <v>58</v>
      </c>
      <c r="C37" s="487">
        <f>SUM(C26:C33)+C35</f>
        <v>1195802012.2800348</v>
      </c>
      <c r="D37" s="113"/>
      <c r="E37" s="103"/>
    </row>
    <row r="38" spans="1:5" ht="15">
      <c r="A38" s="71">
        <v>23</v>
      </c>
      <c r="B38" s="110" t="s">
        <v>60</v>
      </c>
      <c r="C38" s="576">
        <v>121372000</v>
      </c>
      <c r="D38" s="105"/>
      <c r="E38" s="103"/>
    </row>
    <row r="39" spans="1:5" ht="15">
      <c r="A39" s="71">
        <v>24</v>
      </c>
      <c r="B39" s="110" t="s">
        <v>61</v>
      </c>
      <c r="C39" s="576">
        <v>0</v>
      </c>
      <c r="D39" s="105"/>
      <c r="E39" s="103"/>
    </row>
    <row r="40" spans="1:5" ht="15">
      <c r="A40" s="71">
        <v>25</v>
      </c>
      <c r="B40" s="110" t="s">
        <v>62</v>
      </c>
      <c r="C40" s="576">
        <v>0</v>
      </c>
      <c r="D40" s="105"/>
      <c r="E40" s="103"/>
    </row>
    <row r="41" spans="1:5" ht="15">
      <c r="A41" s="71">
        <v>26</v>
      </c>
      <c r="B41" s="110" t="s">
        <v>63</v>
      </c>
      <c r="C41" s="576">
        <v>0</v>
      </c>
      <c r="D41" s="105"/>
      <c r="E41" s="103"/>
    </row>
    <row r="42" spans="1:5" ht="15">
      <c r="A42" s="71">
        <v>27</v>
      </c>
      <c r="B42" s="110" t="s">
        <v>64</v>
      </c>
      <c r="C42" s="576">
        <v>0</v>
      </c>
      <c r="D42" s="105"/>
      <c r="E42" s="114"/>
    </row>
    <row r="43" spans="1:5" ht="15">
      <c r="A43" s="71">
        <v>28</v>
      </c>
      <c r="B43" s="110" t="s">
        <v>65</v>
      </c>
      <c r="C43" s="576">
        <v>34127093.610000037</v>
      </c>
      <c r="D43" s="105"/>
    </row>
    <row r="44" spans="1:5" ht="15">
      <c r="A44" s="71">
        <v>29</v>
      </c>
      <c r="B44" s="110" t="s">
        <v>66</v>
      </c>
      <c r="C44" s="576">
        <v>0</v>
      </c>
      <c r="D44" s="105"/>
    </row>
    <row r="45" spans="1:5" ht="15.75" thickBot="1">
      <c r="A45" s="118">
        <v>30</v>
      </c>
      <c r="B45" s="119" t="s">
        <v>266</v>
      </c>
      <c r="C45" s="488">
        <f>SUM(C38:C44)</f>
        <v>155499093.61000004</v>
      </c>
      <c r="D45" s="12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38">
        <f>'1. key ratios '!B2</f>
        <v>44561</v>
      </c>
    </row>
    <row r="4" spans="1:19" ht="26.25" thickBot="1">
      <c r="A4" s="4" t="s">
        <v>249</v>
      </c>
      <c r="B4" s="226" t="s">
        <v>375</v>
      </c>
    </row>
    <row r="5" spans="1:19" s="218" customFormat="1">
      <c r="A5" s="213"/>
      <c r="B5" s="214"/>
      <c r="C5" s="215" t="s">
        <v>0</v>
      </c>
      <c r="D5" s="215" t="s">
        <v>1</v>
      </c>
      <c r="E5" s="215" t="s">
        <v>2</v>
      </c>
      <c r="F5" s="215" t="s">
        <v>3</v>
      </c>
      <c r="G5" s="215" t="s">
        <v>4</v>
      </c>
      <c r="H5" s="215" t="s">
        <v>5</v>
      </c>
      <c r="I5" s="215" t="s">
        <v>8</v>
      </c>
      <c r="J5" s="215" t="s">
        <v>9</v>
      </c>
      <c r="K5" s="215" t="s">
        <v>10</v>
      </c>
      <c r="L5" s="215" t="s">
        <v>11</v>
      </c>
      <c r="M5" s="215" t="s">
        <v>12</v>
      </c>
      <c r="N5" s="215" t="s">
        <v>13</v>
      </c>
      <c r="O5" s="215" t="s">
        <v>358</v>
      </c>
      <c r="P5" s="215" t="s">
        <v>359</v>
      </c>
      <c r="Q5" s="215" t="s">
        <v>360</v>
      </c>
      <c r="R5" s="216" t="s">
        <v>361</v>
      </c>
      <c r="S5" s="217" t="s">
        <v>362</v>
      </c>
    </row>
    <row r="6" spans="1:19" s="218" customFormat="1" ht="99" customHeight="1">
      <c r="A6" s="219"/>
      <c r="B6" s="643" t="s">
        <v>363</v>
      </c>
      <c r="C6" s="639">
        <v>0</v>
      </c>
      <c r="D6" s="640"/>
      <c r="E6" s="639">
        <v>0.2</v>
      </c>
      <c r="F6" s="640"/>
      <c r="G6" s="639">
        <v>0.35</v>
      </c>
      <c r="H6" s="640"/>
      <c r="I6" s="639">
        <v>0.5</v>
      </c>
      <c r="J6" s="640"/>
      <c r="K6" s="639">
        <v>0.75</v>
      </c>
      <c r="L6" s="640"/>
      <c r="M6" s="639">
        <v>1</v>
      </c>
      <c r="N6" s="640"/>
      <c r="O6" s="639">
        <v>1.5</v>
      </c>
      <c r="P6" s="640"/>
      <c r="Q6" s="639">
        <v>2.5</v>
      </c>
      <c r="R6" s="640"/>
      <c r="S6" s="641" t="s">
        <v>248</v>
      </c>
    </row>
    <row r="7" spans="1:19" s="218" customFormat="1" ht="30.75" customHeight="1">
      <c r="A7" s="219"/>
      <c r="B7" s="644"/>
      <c r="C7" s="209" t="s">
        <v>251</v>
      </c>
      <c r="D7" s="209" t="s">
        <v>250</v>
      </c>
      <c r="E7" s="209" t="s">
        <v>251</v>
      </c>
      <c r="F7" s="209" t="s">
        <v>250</v>
      </c>
      <c r="G7" s="209" t="s">
        <v>251</v>
      </c>
      <c r="H7" s="209" t="s">
        <v>250</v>
      </c>
      <c r="I7" s="209" t="s">
        <v>251</v>
      </c>
      <c r="J7" s="209" t="s">
        <v>250</v>
      </c>
      <c r="K7" s="209" t="s">
        <v>251</v>
      </c>
      <c r="L7" s="209" t="s">
        <v>250</v>
      </c>
      <c r="M7" s="209" t="s">
        <v>251</v>
      </c>
      <c r="N7" s="209" t="s">
        <v>250</v>
      </c>
      <c r="O7" s="209" t="s">
        <v>251</v>
      </c>
      <c r="P7" s="209" t="s">
        <v>250</v>
      </c>
      <c r="Q7" s="209" t="s">
        <v>251</v>
      </c>
      <c r="R7" s="209" t="s">
        <v>250</v>
      </c>
      <c r="S7" s="642"/>
    </row>
    <row r="8" spans="1:19">
      <c r="A8" s="121">
        <v>1</v>
      </c>
      <c r="B8" s="1" t="s">
        <v>96</v>
      </c>
      <c r="C8" s="491">
        <v>145722569.22999999</v>
      </c>
      <c r="D8" s="491">
        <v>0</v>
      </c>
      <c r="E8" s="491">
        <v>0</v>
      </c>
      <c r="F8" s="492">
        <v>0</v>
      </c>
      <c r="G8" s="491">
        <v>0</v>
      </c>
      <c r="H8" s="491">
        <v>0</v>
      </c>
      <c r="I8" s="491">
        <v>0</v>
      </c>
      <c r="J8" s="491">
        <v>0</v>
      </c>
      <c r="K8" s="491">
        <v>0</v>
      </c>
      <c r="L8" s="491">
        <v>0</v>
      </c>
      <c r="M8" s="491">
        <v>148014497.69</v>
      </c>
      <c r="N8" s="491">
        <v>0</v>
      </c>
      <c r="O8" s="491">
        <v>0</v>
      </c>
      <c r="P8" s="491">
        <v>0</v>
      </c>
      <c r="Q8" s="491">
        <v>0</v>
      </c>
      <c r="R8" s="492">
        <v>0</v>
      </c>
      <c r="S8" s="494">
        <f>$C$6*SUM(C8:D8)+$E$6*SUM(E8:F8)+$G$6*SUM(G8:H8)+$I$6*SUM(I8:J8)+$K$6*SUM(K8:L8)+$M$6*SUM(M8:N8)+$O$6*SUM(O8:P8)+$Q$6*SUM(Q8:R8)</f>
        <v>148014497.69</v>
      </c>
    </row>
    <row r="9" spans="1:19">
      <c r="A9" s="121">
        <v>2</v>
      </c>
      <c r="B9" s="1" t="s">
        <v>97</v>
      </c>
      <c r="C9" s="491">
        <v>0</v>
      </c>
      <c r="D9" s="491">
        <v>0</v>
      </c>
      <c r="E9" s="491">
        <v>0</v>
      </c>
      <c r="F9" s="491">
        <v>0</v>
      </c>
      <c r="G9" s="491">
        <v>0</v>
      </c>
      <c r="H9" s="491">
        <v>0</v>
      </c>
      <c r="I9" s="491">
        <v>0</v>
      </c>
      <c r="J9" s="491">
        <v>0</v>
      </c>
      <c r="K9" s="491">
        <v>0</v>
      </c>
      <c r="L9" s="491">
        <v>0</v>
      </c>
      <c r="M9" s="491">
        <v>0</v>
      </c>
      <c r="N9" s="491">
        <v>0</v>
      </c>
      <c r="O9" s="491">
        <v>0</v>
      </c>
      <c r="P9" s="491">
        <v>0</v>
      </c>
      <c r="Q9" s="491">
        <v>0</v>
      </c>
      <c r="R9" s="492">
        <v>0</v>
      </c>
      <c r="S9" s="494">
        <f t="shared" ref="S9:S21" si="0">$C$6*SUM(C9:D9)+$E$6*SUM(E9:F9)+$G$6*SUM(G9:H9)+$I$6*SUM(I9:J9)+$K$6*SUM(K9:L9)+$M$6*SUM(M9:N9)+$O$6*SUM(O9:P9)+$Q$6*SUM(Q9:R9)</f>
        <v>0</v>
      </c>
    </row>
    <row r="10" spans="1:19">
      <c r="A10" s="121">
        <v>3</v>
      </c>
      <c r="B10" s="1" t="s">
        <v>269</v>
      </c>
      <c r="C10" s="491">
        <v>0</v>
      </c>
      <c r="D10" s="491">
        <v>0</v>
      </c>
      <c r="E10" s="491">
        <v>0</v>
      </c>
      <c r="F10" s="491">
        <v>0</v>
      </c>
      <c r="G10" s="491">
        <v>0</v>
      </c>
      <c r="H10" s="491">
        <v>0</v>
      </c>
      <c r="I10" s="491">
        <v>0</v>
      </c>
      <c r="J10" s="491">
        <v>0</v>
      </c>
      <c r="K10" s="491">
        <v>0</v>
      </c>
      <c r="L10" s="491">
        <v>0</v>
      </c>
      <c r="M10" s="491">
        <v>0</v>
      </c>
      <c r="N10" s="491">
        <v>0</v>
      </c>
      <c r="O10" s="491">
        <v>0</v>
      </c>
      <c r="P10" s="491">
        <v>0</v>
      </c>
      <c r="Q10" s="491">
        <v>0</v>
      </c>
      <c r="R10" s="492">
        <v>0</v>
      </c>
      <c r="S10" s="494">
        <f t="shared" si="0"/>
        <v>0</v>
      </c>
    </row>
    <row r="11" spans="1:19">
      <c r="A11" s="121">
        <v>4</v>
      </c>
      <c r="B11" s="1" t="s">
        <v>98</v>
      </c>
      <c r="C11" s="491">
        <v>0</v>
      </c>
      <c r="D11" s="491">
        <v>0</v>
      </c>
      <c r="E11" s="491">
        <v>0</v>
      </c>
      <c r="F11" s="491">
        <v>0</v>
      </c>
      <c r="G11" s="491">
        <v>0</v>
      </c>
      <c r="H11" s="491">
        <v>0</v>
      </c>
      <c r="I11" s="491">
        <v>0</v>
      </c>
      <c r="J11" s="491">
        <v>0</v>
      </c>
      <c r="K11" s="491">
        <v>0</v>
      </c>
      <c r="L11" s="491">
        <v>0</v>
      </c>
      <c r="M11" s="491">
        <v>0</v>
      </c>
      <c r="N11" s="491">
        <v>0</v>
      </c>
      <c r="O11" s="491">
        <v>0</v>
      </c>
      <c r="P11" s="491">
        <v>0</v>
      </c>
      <c r="Q11" s="491">
        <v>0</v>
      </c>
      <c r="R11" s="492">
        <v>0</v>
      </c>
      <c r="S11" s="494">
        <f t="shared" si="0"/>
        <v>0</v>
      </c>
    </row>
    <row r="12" spans="1:19">
      <c r="A12" s="121">
        <v>5</v>
      </c>
      <c r="B12" s="1" t="s">
        <v>99</v>
      </c>
      <c r="C12" s="491">
        <v>0</v>
      </c>
      <c r="D12" s="491">
        <v>0</v>
      </c>
      <c r="E12" s="491">
        <v>0</v>
      </c>
      <c r="F12" s="491">
        <v>0</v>
      </c>
      <c r="G12" s="491">
        <v>0</v>
      </c>
      <c r="H12" s="491">
        <v>0</v>
      </c>
      <c r="I12" s="491">
        <v>0</v>
      </c>
      <c r="J12" s="491">
        <v>0</v>
      </c>
      <c r="K12" s="491">
        <v>0</v>
      </c>
      <c r="L12" s="491">
        <v>0</v>
      </c>
      <c r="M12" s="491">
        <v>0</v>
      </c>
      <c r="N12" s="491">
        <v>0</v>
      </c>
      <c r="O12" s="491">
        <v>0</v>
      </c>
      <c r="P12" s="491">
        <v>0</v>
      </c>
      <c r="Q12" s="491">
        <v>0</v>
      </c>
      <c r="R12" s="492">
        <v>0</v>
      </c>
      <c r="S12" s="494">
        <f t="shared" si="0"/>
        <v>0</v>
      </c>
    </row>
    <row r="13" spans="1:19">
      <c r="A13" s="121">
        <v>6</v>
      </c>
      <c r="B13" s="1" t="s">
        <v>100</v>
      </c>
      <c r="C13" s="491">
        <v>0</v>
      </c>
      <c r="D13" s="491">
        <v>0</v>
      </c>
      <c r="E13" s="491">
        <v>20522082.960000001</v>
      </c>
      <c r="F13" s="491">
        <v>0</v>
      </c>
      <c r="G13" s="491">
        <v>0</v>
      </c>
      <c r="H13" s="491">
        <v>0</v>
      </c>
      <c r="I13" s="491">
        <v>3629118.9099999997</v>
      </c>
      <c r="J13" s="491">
        <v>0</v>
      </c>
      <c r="K13" s="491">
        <v>0</v>
      </c>
      <c r="L13" s="491">
        <v>0</v>
      </c>
      <c r="M13" s="491">
        <v>3619953.62</v>
      </c>
      <c r="N13" s="491">
        <v>0</v>
      </c>
      <c r="O13" s="491">
        <v>0</v>
      </c>
      <c r="P13" s="491">
        <v>0</v>
      </c>
      <c r="Q13" s="491">
        <v>0</v>
      </c>
      <c r="R13" s="492">
        <v>0</v>
      </c>
      <c r="S13" s="494">
        <f t="shared" si="0"/>
        <v>9538929.6669999994</v>
      </c>
    </row>
    <row r="14" spans="1:19">
      <c r="A14" s="121">
        <v>7</v>
      </c>
      <c r="B14" s="1" t="s">
        <v>101</v>
      </c>
      <c r="C14" s="491">
        <v>0</v>
      </c>
      <c r="D14" s="491">
        <v>0</v>
      </c>
      <c r="E14" s="491">
        <v>0</v>
      </c>
      <c r="F14" s="491">
        <v>0</v>
      </c>
      <c r="G14" s="491">
        <v>0</v>
      </c>
      <c r="H14" s="491">
        <v>0</v>
      </c>
      <c r="I14" s="491">
        <v>0</v>
      </c>
      <c r="J14" s="491">
        <v>0</v>
      </c>
      <c r="K14" s="491">
        <v>0</v>
      </c>
      <c r="L14" s="491">
        <v>0</v>
      </c>
      <c r="M14" s="491">
        <v>505797383.46057397</v>
      </c>
      <c r="N14" s="491">
        <v>41412184.723999999</v>
      </c>
      <c r="O14" s="491">
        <v>0</v>
      </c>
      <c r="P14" s="491">
        <v>0</v>
      </c>
      <c r="Q14" s="491">
        <v>0</v>
      </c>
      <c r="R14" s="492">
        <v>0</v>
      </c>
      <c r="S14" s="494">
        <f t="shared" si="0"/>
        <v>547209568.18457401</v>
      </c>
    </row>
    <row r="15" spans="1:19">
      <c r="A15" s="121">
        <v>8</v>
      </c>
      <c r="B15" s="1" t="s">
        <v>102</v>
      </c>
      <c r="C15" s="491">
        <v>0</v>
      </c>
      <c r="D15" s="491">
        <v>0</v>
      </c>
      <c r="E15" s="491">
        <v>0</v>
      </c>
      <c r="F15" s="491">
        <v>0</v>
      </c>
      <c r="G15" s="491">
        <v>0</v>
      </c>
      <c r="H15" s="491">
        <v>0</v>
      </c>
      <c r="I15" s="491">
        <v>0</v>
      </c>
      <c r="J15" s="491">
        <v>0</v>
      </c>
      <c r="K15" s="491">
        <v>285664399.62073094</v>
      </c>
      <c r="L15" s="491">
        <v>6717307.5499999933</v>
      </c>
      <c r="M15" s="491">
        <v>0</v>
      </c>
      <c r="N15" s="491">
        <v>0</v>
      </c>
      <c r="O15" s="491">
        <v>0</v>
      </c>
      <c r="P15" s="491">
        <v>0</v>
      </c>
      <c r="Q15" s="491">
        <v>0</v>
      </c>
      <c r="R15" s="492">
        <v>0</v>
      </c>
      <c r="S15" s="494">
        <f t="shared" si="0"/>
        <v>219286280.37804821</v>
      </c>
    </row>
    <row r="16" spans="1:19">
      <c r="A16" s="121">
        <v>9</v>
      </c>
      <c r="B16" s="1" t="s">
        <v>103</v>
      </c>
      <c r="C16" s="491">
        <v>0</v>
      </c>
      <c r="D16" s="491">
        <v>0</v>
      </c>
      <c r="E16" s="491">
        <v>0</v>
      </c>
      <c r="F16" s="491">
        <v>0</v>
      </c>
      <c r="G16" s="491">
        <v>112013427.51518381</v>
      </c>
      <c r="H16" s="491">
        <v>708348.3600000001</v>
      </c>
      <c r="I16" s="491">
        <v>0</v>
      </c>
      <c r="J16" s="491">
        <v>0</v>
      </c>
      <c r="K16" s="491">
        <v>0</v>
      </c>
      <c r="L16" s="491">
        <v>0</v>
      </c>
      <c r="M16" s="491">
        <v>0</v>
      </c>
      <c r="N16" s="491">
        <v>0</v>
      </c>
      <c r="O16" s="491">
        <v>0</v>
      </c>
      <c r="P16" s="491">
        <v>0</v>
      </c>
      <c r="Q16" s="491">
        <v>0</v>
      </c>
      <c r="R16" s="492">
        <v>0</v>
      </c>
      <c r="S16" s="494">
        <f t="shared" si="0"/>
        <v>39452621.556314327</v>
      </c>
    </row>
    <row r="17" spans="1:19">
      <c r="A17" s="121">
        <v>10</v>
      </c>
      <c r="B17" s="1" t="s">
        <v>104</v>
      </c>
      <c r="C17" s="491">
        <v>0</v>
      </c>
      <c r="D17" s="491">
        <v>0</v>
      </c>
      <c r="E17" s="491">
        <v>0</v>
      </c>
      <c r="F17" s="491">
        <v>0</v>
      </c>
      <c r="G17" s="491">
        <v>0</v>
      </c>
      <c r="H17" s="491">
        <v>0</v>
      </c>
      <c r="I17" s="491">
        <v>1439731.0340811349</v>
      </c>
      <c r="J17" s="491">
        <v>0</v>
      </c>
      <c r="K17" s="491">
        <v>0</v>
      </c>
      <c r="L17" s="491">
        <v>0</v>
      </c>
      <c r="M17" s="491">
        <v>5384582.1394129451</v>
      </c>
      <c r="N17" s="491">
        <v>0</v>
      </c>
      <c r="O17" s="491">
        <v>558.03161605367075</v>
      </c>
      <c r="P17" s="491">
        <v>0</v>
      </c>
      <c r="Q17" s="491">
        <v>0</v>
      </c>
      <c r="R17" s="492">
        <v>0</v>
      </c>
      <c r="S17" s="494">
        <f t="shared" si="0"/>
        <v>6105284.7038775934</v>
      </c>
    </row>
    <row r="18" spans="1:19">
      <c r="A18" s="121">
        <v>11</v>
      </c>
      <c r="B18" s="1" t="s">
        <v>105</v>
      </c>
      <c r="C18" s="491">
        <v>0</v>
      </c>
      <c r="D18" s="491">
        <v>0</v>
      </c>
      <c r="E18" s="491">
        <v>0</v>
      </c>
      <c r="F18" s="491">
        <v>0</v>
      </c>
      <c r="G18" s="491">
        <v>0</v>
      </c>
      <c r="H18" s="491">
        <v>0</v>
      </c>
      <c r="I18" s="491">
        <v>0</v>
      </c>
      <c r="J18" s="491">
        <v>0</v>
      </c>
      <c r="K18" s="491">
        <v>0</v>
      </c>
      <c r="L18" s="491">
        <v>0</v>
      </c>
      <c r="M18" s="491">
        <v>34075299.172133818</v>
      </c>
      <c r="N18" s="491">
        <v>0</v>
      </c>
      <c r="O18" s="491">
        <v>11120471.836269014</v>
      </c>
      <c r="P18" s="491">
        <v>0</v>
      </c>
      <c r="Q18" s="491">
        <v>0</v>
      </c>
      <c r="R18" s="492">
        <v>0</v>
      </c>
      <c r="S18" s="494">
        <f t="shared" si="0"/>
        <v>50756006.926537335</v>
      </c>
    </row>
    <row r="19" spans="1:19">
      <c r="A19" s="121">
        <v>12</v>
      </c>
      <c r="B19" s="1" t="s">
        <v>106</v>
      </c>
      <c r="C19" s="491">
        <v>0</v>
      </c>
      <c r="D19" s="491">
        <v>0</v>
      </c>
      <c r="E19" s="491">
        <v>0</v>
      </c>
      <c r="F19" s="491">
        <v>0</v>
      </c>
      <c r="G19" s="491">
        <v>0</v>
      </c>
      <c r="H19" s="491">
        <v>0</v>
      </c>
      <c r="I19" s="491">
        <v>0</v>
      </c>
      <c r="J19" s="491">
        <v>0</v>
      </c>
      <c r="K19" s="491">
        <v>0</v>
      </c>
      <c r="L19" s="491">
        <v>0</v>
      </c>
      <c r="M19" s="491">
        <v>0</v>
      </c>
      <c r="N19" s="491">
        <v>0</v>
      </c>
      <c r="O19" s="491">
        <v>0</v>
      </c>
      <c r="P19" s="491">
        <v>0</v>
      </c>
      <c r="Q19" s="491">
        <v>0</v>
      </c>
      <c r="R19" s="492">
        <v>0</v>
      </c>
      <c r="S19" s="494">
        <f t="shared" si="0"/>
        <v>0</v>
      </c>
    </row>
    <row r="20" spans="1:19">
      <c r="A20" s="121">
        <v>13</v>
      </c>
      <c r="B20" s="1" t="s">
        <v>247</v>
      </c>
      <c r="C20" s="491">
        <v>0</v>
      </c>
      <c r="D20" s="491">
        <v>0</v>
      </c>
      <c r="E20" s="491">
        <v>0</v>
      </c>
      <c r="F20" s="491">
        <v>0</v>
      </c>
      <c r="G20" s="491">
        <v>0</v>
      </c>
      <c r="H20" s="491">
        <v>0</v>
      </c>
      <c r="I20" s="491">
        <v>0</v>
      </c>
      <c r="J20" s="491">
        <v>0</v>
      </c>
      <c r="K20" s="491">
        <v>0</v>
      </c>
      <c r="L20" s="491">
        <v>0</v>
      </c>
      <c r="M20" s="491">
        <v>0</v>
      </c>
      <c r="N20" s="491">
        <v>0</v>
      </c>
      <c r="O20" s="491">
        <v>0</v>
      </c>
      <c r="P20" s="491">
        <v>0</v>
      </c>
      <c r="Q20" s="491">
        <v>0</v>
      </c>
      <c r="R20" s="492">
        <v>0</v>
      </c>
      <c r="S20" s="494">
        <f t="shared" si="0"/>
        <v>0</v>
      </c>
    </row>
    <row r="21" spans="1:19">
      <c r="A21" s="121">
        <v>14</v>
      </c>
      <c r="B21" s="1" t="s">
        <v>108</v>
      </c>
      <c r="C21" s="491">
        <v>34169700.949999981</v>
      </c>
      <c r="D21" s="491">
        <v>0</v>
      </c>
      <c r="E21" s="491">
        <v>113990.44</v>
      </c>
      <c r="F21" s="491">
        <v>0</v>
      </c>
      <c r="G21" s="491">
        <v>0</v>
      </c>
      <c r="H21" s="491">
        <v>0</v>
      </c>
      <c r="I21" s="491">
        <v>0</v>
      </c>
      <c r="J21" s="491">
        <v>0</v>
      </c>
      <c r="K21" s="491">
        <v>0</v>
      </c>
      <c r="L21" s="491">
        <v>0</v>
      </c>
      <c r="M21" s="491">
        <v>32327789.329999927</v>
      </c>
      <c r="N21" s="491">
        <v>0</v>
      </c>
      <c r="O21" s="491">
        <v>0</v>
      </c>
      <c r="P21" s="491">
        <v>0</v>
      </c>
      <c r="Q21" s="491">
        <v>0</v>
      </c>
      <c r="R21" s="492">
        <v>0</v>
      </c>
      <c r="S21" s="494">
        <f t="shared" si="0"/>
        <v>32350587.417999927</v>
      </c>
    </row>
    <row r="22" spans="1:19" ht="13.5" thickBot="1">
      <c r="A22" s="122"/>
      <c r="B22" s="123" t="s">
        <v>109</v>
      </c>
      <c r="C22" s="224">
        <f>SUM(C8:C21)</f>
        <v>179892270.17999998</v>
      </c>
      <c r="D22" s="224">
        <f t="shared" ref="D22:S22" si="1">SUM(D8:D21)</f>
        <v>0</v>
      </c>
      <c r="E22" s="224">
        <f t="shared" si="1"/>
        <v>20636073.400000002</v>
      </c>
      <c r="F22" s="224">
        <f t="shared" si="1"/>
        <v>0</v>
      </c>
      <c r="G22" s="224">
        <f t="shared" si="1"/>
        <v>112013427.51518381</v>
      </c>
      <c r="H22" s="224">
        <f t="shared" si="1"/>
        <v>708348.3600000001</v>
      </c>
      <c r="I22" s="224">
        <f t="shared" si="1"/>
        <v>5068849.9440811351</v>
      </c>
      <c r="J22" s="224">
        <f t="shared" si="1"/>
        <v>0</v>
      </c>
      <c r="K22" s="224">
        <f t="shared" si="1"/>
        <v>285664399.62073094</v>
      </c>
      <c r="L22" s="224">
        <f t="shared" si="1"/>
        <v>6717307.5499999933</v>
      </c>
      <c r="M22" s="224">
        <f t="shared" si="1"/>
        <v>729219505.4121207</v>
      </c>
      <c r="N22" s="224">
        <f t="shared" si="1"/>
        <v>41412184.723999999</v>
      </c>
      <c r="O22" s="224">
        <f t="shared" si="1"/>
        <v>11121029.867885068</v>
      </c>
      <c r="P22" s="224">
        <f t="shared" si="1"/>
        <v>0</v>
      </c>
      <c r="Q22" s="224">
        <f t="shared" si="1"/>
        <v>0</v>
      </c>
      <c r="R22" s="224">
        <f t="shared" si="1"/>
        <v>0</v>
      </c>
      <c r="S22" s="493">
        <f t="shared" si="1"/>
        <v>1052713776.5243514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C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38">
        <f>'1. key ratios '!B2</f>
        <v>44561</v>
      </c>
    </row>
    <row r="4" spans="1:22" ht="13.5" thickBot="1">
      <c r="A4" s="4" t="s">
        <v>366</v>
      </c>
      <c r="B4" s="124" t="s">
        <v>95</v>
      </c>
      <c r="V4" s="31" t="s">
        <v>73</v>
      </c>
    </row>
    <row r="5" spans="1:22" ht="12.75" customHeight="1">
      <c r="A5" s="125"/>
      <c r="B5" s="126"/>
      <c r="C5" s="645" t="s">
        <v>277</v>
      </c>
      <c r="D5" s="646"/>
      <c r="E5" s="646"/>
      <c r="F5" s="646"/>
      <c r="G5" s="646"/>
      <c r="H5" s="646"/>
      <c r="I5" s="646"/>
      <c r="J5" s="646"/>
      <c r="K5" s="646"/>
      <c r="L5" s="647"/>
      <c r="M5" s="648" t="s">
        <v>278</v>
      </c>
      <c r="N5" s="649"/>
      <c r="O5" s="649"/>
      <c r="P5" s="649"/>
      <c r="Q5" s="649"/>
      <c r="R5" s="649"/>
      <c r="S5" s="650"/>
      <c r="T5" s="653" t="s">
        <v>364</v>
      </c>
      <c r="U5" s="653" t="s">
        <v>365</v>
      </c>
      <c r="V5" s="651" t="s">
        <v>121</v>
      </c>
    </row>
    <row r="6" spans="1:22" s="76" customFormat="1" ht="102">
      <c r="A6" s="74"/>
      <c r="B6" s="127"/>
      <c r="C6" s="128" t="s">
        <v>110</v>
      </c>
      <c r="D6" s="188" t="s">
        <v>111</v>
      </c>
      <c r="E6" s="147" t="s">
        <v>280</v>
      </c>
      <c r="F6" s="147" t="s">
        <v>281</v>
      </c>
      <c r="G6" s="188" t="s">
        <v>284</v>
      </c>
      <c r="H6" s="188" t="s">
        <v>279</v>
      </c>
      <c r="I6" s="188" t="s">
        <v>112</v>
      </c>
      <c r="J6" s="188" t="s">
        <v>113</v>
      </c>
      <c r="K6" s="129" t="s">
        <v>114</v>
      </c>
      <c r="L6" s="130" t="s">
        <v>115</v>
      </c>
      <c r="M6" s="128" t="s">
        <v>282</v>
      </c>
      <c r="N6" s="129" t="s">
        <v>116</v>
      </c>
      <c r="O6" s="129" t="s">
        <v>117</v>
      </c>
      <c r="P6" s="129" t="s">
        <v>118</v>
      </c>
      <c r="Q6" s="129" t="s">
        <v>119</v>
      </c>
      <c r="R6" s="129" t="s">
        <v>120</v>
      </c>
      <c r="S6" s="211" t="s">
        <v>283</v>
      </c>
      <c r="T6" s="654"/>
      <c r="U6" s="654"/>
      <c r="V6" s="652"/>
    </row>
    <row r="7" spans="1:22">
      <c r="A7" s="131">
        <v>1</v>
      </c>
      <c r="B7" s="1" t="s">
        <v>96</v>
      </c>
      <c r="C7" s="582">
        <v>0</v>
      </c>
      <c r="D7" s="583">
        <v>0</v>
      </c>
      <c r="E7" s="583">
        <v>0</v>
      </c>
      <c r="F7" s="583">
        <v>0</v>
      </c>
      <c r="G7" s="583">
        <v>0</v>
      </c>
      <c r="H7" s="583">
        <v>0</v>
      </c>
      <c r="I7" s="583">
        <v>0</v>
      </c>
      <c r="J7" s="583">
        <v>0</v>
      </c>
      <c r="K7" s="583">
        <v>0</v>
      </c>
      <c r="L7" s="584">
        <v>0</v>
      </c>
      <c r="M7" s="582">
        <v>0</v>
      </c>
      <c r="N7" s="583">
        <v>0</v>
      </c>
      <c r="O7" s="583">
        <v>0</v>
      </c>
      <c r="P7" s="583">
        <v>0</v>
      </c>
      <c r="Q7" s="583">
        <v>0</v>
      </c>
      <c r="R7" s="583">
        <v>0</v>
      </c>
      <c r="S7" s="584">
        <v>0</v>
      </c>
      <c r="T7" s="585">
        <v>0</v>
      </c>
      <c r="U7" s="586">
        <v>0</v>
      </c>
      <c r="V7" s="587">
        <f>SUM(C7:S7)</f>
        <v>0</v>
      </c>
    </row>
    <row r="8" spans="1:22">
      <c r="A8" s="131">
        <v>2</v>
      </c>
      <c r="B8" s="1" t="s">
        <v>97</v>
      </c>
      <c r="C8" s="582">
        <v>0</v>
      </c>
      <c r="D8" s="583">
        <v>0</v>
      </c>
      <c r="E8" s="583">
        <v>0</v>
      </c>
      <c r="F8" s="583">
        <v>0</v>
      </c>
      <c r="G8" s="583">
        <v>0</v>
      </c>
      <c r="H8" s="583">
        <v>0</v>
      </c>
      <c r="I8" s="583">
        <v>0</v>
      </c>
      <c r="J8" s="583">
        <v>0</v>
      </c>
      <c r="K8" s="583">
        <v>0</v>
      </c>
      <c r="L8" s="584">
        <v>0</v>
      </c>
      <c r="M8" s="582">
        <v>0</v>
      </c>
      <c r="N8" s="583">
        <v>0</v>
      </c>
      <c r="O8" s="583">
        <v>0</v>
      </c>
      <c r="P8" s="583">
        <v>0</v>
      </c>
      <c r="Q8" s="583">
        <v>0</v>
      </c>
      <c r="R8" s="583">
        <v>0</v>
      </c>
      <c r="S8" s="584">
        <v>0</v>
      </c>
      <c r="T8" s="586">
        <v>0</v>
      </c>
      <c r="U8" s="586">
        <v>0</v>
      </c>
      <c r="V8" s="587">
        <f t="shared" ref="V8:V20" si="0">SUM(C8:S8)</f>
        <v>0</v>
      </c>
    </row>
    <row r="9" spans="1:22">
      <c r="A9" s="131">
        <v>3</v>
      </c>
      <c r="B9" s="1" t="s">
        <v>270</v>
      </c>
      <c r="C9" s="582">
        <v>0</v>
      </c>
      <c r="D9" s="583">
        <v>0</v>
      </c>
      <c r="E9" s="583">
        <v>0</v>
      </c>
      <c r="F9" s="583">
        <v>0</v>
      </c>
      <c r="G9" s="583">
        <v>0</v>
      </c>
      <c r="H9" s="583">
        <v>0</v>
      </c>
      <c r="I9" s="583">
        <v>0</v>
      </c>
      <c r="J9" s="583">
        <v>0</v>
      </c>
      <c r="K9" s="583">
        <v>0</v>
      </c>
      <c r="L9" s="584">
        <v>0</v>
      </c>
      <c r="M9" s="582">
        <v>0</v>
      </c>
      <c r="N9" s="583">
        <v>0</v>
      </c>
      <c r="O9" s="583">
        <v>0</v>
      </c>
      <c r="P9" s="583">
        <v>0</v>
      </c>
      <c r="Q9" s="583">
        <v>0</v>
      </c>
      <c r="R9" s="583">
        <v>0</v>
      </c>
      <c r="S9" s="584">
        <v>0</v>
      </c>
      <c r="T9" s="586">
        <v>0</v>
      </c>
      <c r="U9" s="586">
        <v>0</v>
      </c>
      <c r="V9" s="587">
        <f>SUM(C9:S9)</f>
        <v>0</v>
      </c>
    </row>
    <row r="10" spans="1:22">
      <c r="A10" s="131">
        <v>4</v>
      </c>
      <c r="B10" s="1" t="s">
        <v>98</v>
      </c>
      <c r="C10" s="582">
        <v>0</v>
      </c>
      <c r="D10" s="583">
        <v>0</v>
      </c>
      <c r="E10" s="583">
        <v>0</v>
      </c>
      <c r="F10" s="583">
        <v>0</v>
      </c>
      <c r="G10" s="583">
        <v>0</v>
      </c>
      <c r="H10" s="583">
        <v>0</v>
      </c>
      <c r="I10" s="583">
        <v>0</v>
      </c>
      <c r="J10" s="583">
        <v>0</v>
      </c>
      <c r="K10" s="583">
        <v>0</v>
      </c>
      <c r="L10" s="584">
        <v>0</v>
      </c>
      <c r="M10" s="582">
        <v>0</v>
      </c>
      <c r="N10" s="583">
        <v>0</v>
      </c>
      <c r="O10" s="583">
        <v>0</v>
      </c>
      <c r="P10" s="583">
        <v>0</v>
      </c>
      <c r="Q10" s="583">
        <v>0</v>
      </c>
      <c r="R10" s="583">
        <v>0</v>
      </c>
      <c r="S10" s="584">
        <v>0</v>
      </c>
      <c r="T10" s="586">
        <v>0</v>
      </c>
      <c r="U10" s="586">
        <v>0</v>
      </c>
      <c r="V10" s="587">
        <f t="shared" si="0"/>
        <v>0</v>
      </c>
    </row>
    <row r="11" spans="1:22">
      <c r="A11" s="131">
        <v>5</v>
      </c>
      <c r="B11" s="1" t="s">
        <v>99</v>
      </c>
      <c r="C11" s="582">
        <v>0</v>
      </c>
      <c r="D11" s="583">
        <v>0</v>
      </c>
      <c r="E11" s="583">
        <v>0</v>
      </c>
      <c r="F11" s="583">
        <v>0</v>
      </c>
      <c r="G11" s="583">
        <v>0</v>
      </c>
      <c r="H11" s="583">
        <v>0</v>
      </c>
      <c r="I11" s="583">
        <v>0</v>
      </c>
      <c r="J11" s="583">
        <v>0</v>
      </c>
      <c r="K11" s="583">
        <v>0</v>
      </c>
      <c r="L11" s="584">
        <v>0</v>
      </c>
      <c r="M11" s="582">
        <v>0</v>
      </c>
      <c r="N11" s="583">
        <v>0</v>
      </c>
      <c r="O11" s="583">
        <v>0</v>
      </c>
      <c r="P11" s="583">
        <v>0</v>
      </c>
      <c r="Q11" s="583">
        <v>0</v>
      </c>
      <c r="R11" s="583">
        <v>0</v>
      </c>
      <c r="S11" s="584">
        <v>0</v>
      </c>
      <c r="T11" s="586">
        <v>0</v>
      </c>
      <c r="U11" s="586">
        <v>0</v>
      </c>
      <c r="V11" s="587">
        <f t="shared" si="0"/>
        <v>0</v>
      </c>
    </row>
    <row r="12" spans="1:22">
      <c r="A12" s="131">
        <v>6</v>
      </c>
      <c r="B12" s="1" t="s">
        <v>100</v>
      </c>
      <c r="C12" s="582">
        <v>0</v>
      </c>
      <c r="D12" s="583">
        <v>0</v>
      </c>
      <c r="E12" s="583">
        <v>0</v>
      </c>
      <c r="F12" s="583">
        <v>0</v>
      </c>
      <c r="G12" s="583">
        <v>0</v>
      </c>
      <c r="H12" s="583">
        <v>0</v>
      </c>
      <c r="I12" s="583">
        <v>0</v>
      </c>
      <c r="J12" s="583">
        <v>0</v>
      </c>
      <c r="K12" s="583">
        <v>0</v>
      </c>
      <c r="L12" s="584">
        <v>0</v>
      </c>
      <c r="M12" s="582">
        <v>0</v>
      </c>
      <c r="N12" s="583">
        <v>0</v>
      </c>
      <c r="O12" s="583">
        <v>0</v>
      </c>
      <c r="P12" s="583">
        <v>0</v>
      </c>
      <c r="Q12" s="583">
        <v>0</v>
      </c>
      <c r="R12" s="583">
        <v>0</v>
      </c>
      <c r="S12" s="584">
        <v>0</v>
      </c>
      <c r="T12" s="586">
        <v>0</v>
      </c>
      <c r="U12" s="586">
        <v>0</v>
      </c>
      <c r="V12" s="587">
        <f t="shared" si="0"/>
        <v>0</v>
      </c>
    </row>
    <row r="13" spans="1:22">
      <c r="A13" s="131">
        <v>7</v>
      </c>
      <c r="B13" s="1" t="s">
        <v>101</v>
      </c>
      <c r="C13" s="582">
        <v>0</v>
      </c>
      <c r="D13" s="583">
        <v>51168894.342000008</v>
      </c>
      <c r="E13" s="583">
        <v>0</v>
      </c>
      <c r="F13" s="583">
        <v>0</v>
      </c>
      <c r="G13" s="583">
        <v>0</v>
      </c>
      <c r="H13" s="583">
        <v>0</v>
      </c>
      <c r="I13" s="583">
        <v>0</v>
      </c>
      <c r="J13" s="583">
        <v>0</v>
      </c>
      <c r="K13" s="583">
        <v>0</v>
      </c>
      <c r="L13" s="584">
        <v>0</v>
      </c>
      <c r="M13" s="582">
        <v>0</v>
      </c>
      <c r="N13" s="583">
        <v>0</v>
      </c>
      <c r="O13" s="583">
        <v>0</v>
      </c>
      <c r="P13" s="583">
        <v>0</v>
      </c>
      <c r="Q13" s="583">
        <v>0</v>
      </c>
      <c r="R13" s="583">
        <v>0</v>
      </c>
      <c r="S13" s="584">
        <v>0</v>
      </c>
      <c r="T13" s="586">
        <v>32165840.020000003</v>
      </c>
      <c r="U13" s="586">
        <v>19003054.322000008</v>
      </c>
      <c r="V13" s="587">
        <f t="shared" si="0"/>
        <v>51168894.342000008</v>
      </c>
    </row>
    <row r="14" spans="1:22">
      <c r="A14" s="131">
        <v>8</v>
      </c>
      <c r="B14" s="1" t="s">
        <v>102</v>
      </c>
      <c r="C14" s="582">
        <v>0</v>
      </c>
      <c r="D14" s="583">
        <v>4789885.6559999995</v>
      </c>
      <c r="E14" s="583">
        <v>0</v>
      </c>
      <c r="F14" s="583">
        <v>0</v>
      </c>
      <c r="G14" s="583">
        <v>0</v>
      </c>
      <c r="H14" s="583">
        <v>0</v>
      </c>
      <c r="I14" s="583">
        <v>0</v>
      </c>
      <c r="J14" s="583">
        <v>0</v>
      </c>
      <c r="K14" s="583">
        <v>0</v>
      </c>
      <c r="L14" s="584">
        <v>0</v>
      </c>
      <c r="M14" s="582">
        <v>0</v>
      </c>
      <c r="N14" s="583">
        <v>0</v>
      </c>
      <c r="O14" s="583">
        <v>0</v>
      </c>
      <c r="P14" s="583">
        <v>0</v>
      </c>
      <c r="Q14" s="583">
        <v>0</v>
      </c>
      <c r="R14" s="583">
        <v>0</v>
      </c>
      <c r="S14" s="584">
        <v>0</v>
      </c>
      <c r="T14" s="586">
        <v>3432205.0349999992</v>
      </c>
      <c r="U14" s="586">
        <v>1357680.6210000003</v>
      </c>
      <c r="V14" s="587">
        <f t="shared" si="0"/>
        <v>4789885.6559999995</v>
      </c>
    </row>
    <row r="15" spans="1:22">
      <c r="A15" s="131">
        <v>9</v>
      </c>
      <c r="B15" s="1" t="s">
        <v>103</v>
      </c>
      <c r="C15" s="582">
        <v>0</v>
      </c>
      <c r="D15" s="583">
        <v>0</v>
      </c>
      <c r="E15" s="583">
        <v>0</v>
      </c>
      <c r="F15" s="583">
        <v>0</v>
      </c>
      <c r="G15" s="583">
        <v>0</v>
      </c>
      <c r="H15" s="583">
        <v>0</v>
      </c>
      <c r="I15" s="583">
        <v>0</v>
      </c>
      <c r="J15" s="583">
        <v>0</v>
      </c>
      <c r="K15" s="583">
        <v>0</v>
      </c>
      <c r="L15" s="584">
        <v>0</v>
      </c>
      <c r="M15" s="582">
        <v>0</v>
      </c>
      <c r="N15" s="583">
        <v>0</v>
      </c>
      <c r="O15" s="583">
        <v>0</v>
      </c>
      <c r="P15" s="583">
        <v>0</v>
      </c>
      <c r="Q15" s="583">
        <v>0</v>
      </c>
      <c r="R15" s="583">
        <v>0</v>
      </c>
      <c r="S15" s="584">
        <v>0</v>
      </c>
      <c r="T15" s="586">
        <v>0</v>
      </c>
      <c r="U15" s="586">
        <v>0</v>
      </c>
      <c r="V15" s="587">
        <f t="shared" si="0"/>
        <v>0</v>
      </c>
    </row>
    <row r="16" spans="1:22">
      <c r="A16" s="131">
        <v>10</v>
      </c>
      <c r="B16" s="1" t="s">
        <v>104</v>
      </c>
      <c r="C16" s="582">
        <v>0</v>
      </c>
      <c r="D16" s="583">
        <v>0</v>
      </c>
      <c r="E16" s="583">
        <v>0</v>
      </c>
      <c r="F16" s="583">
        <v>0</v>
      </c>
      <c r="G16" s="583">
        <v>0</v>
      </c>
      <c r="H16" s="583">
        <v>0</v>
      </c>
      <c r="I16" s="583">
        <v>0</v>
      </c>
      <c r="J16" s="583">
        <v>0</v>
      </c>
      <c r="K16" s="583">
        <v>0</v>
      </c>
      <c r="L16" s="584">
        <v>0</v>
      </c>
      <c r="M16" s="582">
        <v>0</v>
      </c>
      <c r="N16" s="583">
        <v>0</v>
      </c>
      <c r="O16" s="583">
        <v>0</v>
      </c>
      <c r="P16" s="583">
        <v>0</v>
      </c>
      <c r="Q16" s="583">
        <v>0</v>
      </c>
      <c r="R16" s="583">
        <v>0</v>
      </c>
      <c r="S16" s="584">
        <v>0</v>
      </c>
      <c r="T16" s="586">
        <v>0</v>
      </c>
      <c r="U16" s="586">
        <v>0</v>
      </c>
      <c r="V16" s="587">
        <f t="shared" si="0"/>
        <v>0</v>
      </c>
    </row>
    <row r="17" spans="1:22">
      <c r="A17" s="131">
        <v>11</v>
      </c>
      <c r="B17" s="1" t="s">
        <v>105</v>
      </c>
      <c r="C17" s="582">
        <v>0</v>
      </c>
      <c r="D17" s="583">
        <v>316637.70000000007</v>
      </c>
      <c r="E17" s="583">
        <v>0</v>
      </c>
      <c r="F17" s="583">
        <v>0</v>
      </c>
      <c r="G17" s="583">
        <v>0</v>
      </c>
      <c r="H17" s="583">
        <v>0</v>
      </c>
      <c r="I17" s="583">
        <v>0</v>
      </c>
      <c r="J17" s="583">
        <v>0</v>
      </c>
      <c r="K17" s="583">
        <v>0</v>
      </c>
      <c r="L17" s="584">
        <v>0</v>
      </c>
      <c r="M17" s="582">
        <v>0</v>
      </c>
      <c r="N17" s="583">
        <v>0</v>
      </c>
      <c r="O17" s="583">
        <v>0</v>
      </c>
      <c r="P17" s="583">
        <v>0</v>
      </c>
      <c r="Q17" s="583">
        <v>0</v>
      </c>
      <c r="R17" s="583">
        <v>0</v>
      </c>
      <c r="S17" s="584">
        <v>0</v>
      </c>
      <c r="T17" s="586">
        <v>316637.70000000007</v>
      </c>
      <c r="U17" s="586">
        <v>0</v>
      </c>
      <c r="V17" s="587">
        <f t="shared" si="0"/>
        <v>316637.70000000007</v>
      </c>
    </row>
    <row r="18" spans="1:22">
      <c r="A18" s="131">
        <v>12</v>
      </c>
      <c r="B18" s="1" t="s">
        <v>106</v>
      </c>
      <c r="C18" s="582">
        <v>0</v>
      </c>
      <c r="D18" s="583">
        <v>0</v>
      </c>
      <c r="E18" s="583">
        <v>0</v>
      </c>
      <c r="F18" s="583">
        <v>0</v>
      </c>
      <c r="G18" s="583">
        <v>0</v>
      </c>
      <c r="H18" s="583">
        <v>0</v>
      </c>
      <c r="I18" s="583">
        <v>0</v>
      </c>
      <c r="J18" s="583">
        <v>0</v>
      </c>
      <c r="K18" s="583">
        <v>0</v>
      </c>
      <c r="L18" s="584">
        <v>0</v>
      </c>
      <c r="M18" s="582">
        <v>0</v>
      </c>
      <c r="N18" s="583">
        <v>0</v>
      </c>
      <c r="O18" s="583">
        <v>0</v>
      </c>
      <c r="P18" s="583">
        <v>0</v>
      </c>
      <c r="Q18" s="583">
        <v>0</v>
      </c>
      <c r="R18" s="583">
        <v>0</v>
      </c>
      <c r="S18" s="584">
        <v>0</v>
      </c>
      <c r="T18" s="586">
        <v>0</v>
      </c>
      <c r="U18" s="586">
        <v>0</v>
      </c>
      <c r="V18" s="587">
        <f t="shared" si="0"/>
        <v>0</v>
      </c>
    </row>
    <row r="19" spans="1:22">
      <c r="A19" s="131">
        <v>13</v>
      </c>
      <c r="B19" s="1" t="s">
        <v>107</v>
      </c>
      <c r="C19" s="582">
        <v>0</v>
      </c>
      <c r="D19" s="583">
        <v>0</v>
      </c>
      <c r="E19" s="583">
        <v>0</v>
      </c>
      <c r="F19" s="583">
        <v>0</v>
      </c>
      <c r="G19" s="583">
        <v>0</v>
      </c>
      <c r="H19" s="583">
        <v>0</v>
      </c>
      <c r="I19" s="583">
        <v>0</v>
      </c>
      <c r="J19" s="583">
        <v>0</v>
      </c>
      <c r="K19" s="583">
        <v>0</v>
      </c>
      <c r="L19" s="584">
        <v>0</v>
      </c>
      <c r="M19" s="582">
        <v>0</v>
      </c>
      <c r="N19" s="583">
        <v>0</v>
      </c>
      <c r="O19" s="583">
        <v>0</v>
      </c>
      <c r="P19" s="583">
        <v>0</v>
      </c>
      <c r="Q19" s="583">
        <v>0</v>
      </c>
      <c r="R19" s="583">
        <v>0</v>
      </c>
      <c r="S19" s="584">
        <v>0</v>
      </c>
      <c r="T19" s="586">
        <v>0</v>
      </c>
      <c r="U19" s="586">
        <v>0</v>
      </c>
      <c r="V19" s="587">
        <f t="shared" si="0"/>
        <v>0</v>
      </c>
    </row>
    <row r="20" spans="1:22">
      <c r="A20" s="131">
        <v>14</v>
      </c>
      <c r="B20" s="1" t="s">
        <v>108</v>
      </c>
      <c r="C20" s="582">
        <v>0</v>
      </c>
      <c r="D20" s="583">
        <v>0</v>
      </c>
      <c r="E20" s="583">
        <v>0</v>
      </c>
      <c r="F20" s="583">
        <v>0</v>
      </c>
      <c r="G20" s="583">
        <v>0</v>
      </c>
      <c r="H20" s="583">
        <v>0</v>
      </c>
      <c r="I20" s="583">
        <v>0</v>
      </c>
      <c r="J20" s="583">
        <v>0</v>
      </c>
      <c r="K20" s="583">
        <v>0</v>
      </c>
      <c r="L20" s="584">
        <v>0</v>
      </c>
      <c r="M20" s="582">
        <v>0</v>
      </c>
      <c r="N20" s="583">
        <v>0</v>
      </c>
      <c r="O20" s="583">
        <v>0</v>
      </c>
      <c r="P20" s="583">
        <v>0</v>
      </c>
      <c r="Q20" s="583">
        <v>0</v>
      </c>
      <c r="R20" s="583">
        <v>0</v>
      </c>
      <c r="S20" s="584">
        <v>0</v>
      </c>
      <c r="T20" s="586">
        <v>0</v>
      </c>
      <c r="U20" s="586">
        <v>0</v>
      </c>
      <c r="V20" s="587">
        <f t="shared" si="0"/>
        <v>0</v>
      </c>
    </row>
    <row r="21" spans="1:22" ht="13.5" thickBot="1">
      <c r="A21" s="122"/>
      <c r="B21" s="132" t="s">
        <v>109</v>
      </c>
      <c r="C21" s="588">
        <f>SUM(C7:C20)</f>
        <v>0</v>
      </c>
      <c r="D21" s="224">
        <f t="shared" ref="D21:V21" si="1">SUM(D7:D20)</f>
        <v>56275417.698000014</v>
      </c>
      <c r="E21" s="224">
        <f t="shared" si="1"/>
        <v>0</v>
      </c>
      <c r="F21" s="224">
        <f t="shared" si="1"/>
        <v>0</v>
      </c>
      <c r="G21" s="224">
        <f t="shared" si="1"/>
        <v>0</v>
      </c>
      <c r="H21" s="224">
        <f t="shared" si="1"/>
        <v>0</v>
      </c>
      <c r="I21" s="224">
        <f t="shared" si="1"/>
        <v>0</v>
      </c>
      <c r="J21" s="224">
        <f t="shared" si="1"/>
        <v>0</v>
      </c>
      <c r="K21" s="224">
        <f t="shared" si="1"/>
        <v>0</v>
      </c>
      <c r="L21" s="589">
        <f t="shared" si="1"/>
        <v>0</v>
      </c>
      <c r="M21" s="588">
        <f t="shared" si="1"/>
        <v>0</v>
      </c>
      <c r="N21" s="224">
        <f t="shared" si="1"/>
        <v>0</v>
      </c>
      <c r="O21" s="224">
        <f t="shared" si="1"/>
        <v>0</v>
      </c>
      <c r="P21" s="224">
        <f t="shared" si="1"/>
        <v>0</v>
      </c>
      <c r="Q21" s="224">
        <f t="shared" si="1"/>
        <v>0</v>
      </c>
      <c r="R21" s="224">
        <f t="shared" si="1"/>
        <v>0</v>
      </c>
      <c r="S21" s="589">
        <f t="shared" si="1"/>
        <v>0</v>
      </c>
      <c r="T21" s="589">
        <f>SUM(T7:T20)</f>
        <v>35914682.755000003</v>
      </c>
      <c r="U21" s="589">
        <f t="shared" si="1"/>
        <v>20360734.943000007</v>
      </c>
      <c r="V21" s="590">
        <f t="shared" si="1"/>
        <v>56275417.698000014</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193" customWidth="1"/>
    <col min="4" max="4" width="14.85546875" style="193" bestFit="1" customWidth="1"/>
    <col min="5" max="5" width="17.7109375" style="193" customWidth="1"/>
    <col min="6" max="6" width="15.85546875" style="193" customWidth="1"/>
    <col min="7" max="7" width="17.42578125" style="193" customWidth="1"/>
    <col min="8" max="8" width="15.28515625" style="193" customWidth="1"/>
    <col min="9" max="16384" width="9.140625" style="30"/>
  </cols>
  <sheetData>
    <row r="1" spans="1:9">
      <c r="A1" s="2" t="s">
        <v>30</v>
      </c>
      <c r="B1" s="4" t="str">
        <f>'Info '!C2</f>
        <v>Terabank</v>
      </c>
      <c r="C1" s="3"/>
    </row>
    <row r="2" spans="1:9">
      <c r="A2" s="2" t="s">
        <v>31</v>
      </c>
      <c r="B2" s="338">
        <f>'1. key ratios '!B2</f>
        <v>44561</v>
      </c>
    </row>
    <row r="4" spans="1:9" ht="13.5" thickBot="1">
      <c r="A4" s="2" t="s">
        <v>253</v>
      </c>
      <c r="B4" s="124" t="s">
        <v>376</v>
      </c>
    </row>
    <row r="5" spans="1:9">
      <c r="A5" s="125"/>
      <c r="B5" s="133"/>
      <c r="C5" s="220" t="s">
        <v>0</v>
      </c>
      <c r="D5" s="220" t="s">
        <v>1</v>
      </c>
      <c r="E5" s="220" t="s">
        <v>2</v>
      </c>
      <c r="F5" s="220" t="s">
        <v>3</v>
      </c>
      <c r="G5" s="221" t="s">
        <v>4</v>
      </c>
      <c r="H5" s="222" t="s">
        <v>5</v>
      </c>
      <c r="I5" s="134"/>
    </row>
    <row r="6" spans="1:9" s="134" customFormat="1" ht="12.75" customHeight="1">
      <c r="A6" s="135"/>
      <c r="B6" s="657" t="s">
        <v>252</v>
      </c>
      <c r="C6" s="643" t="s">
        <v>368</v>
      </c>
      <c r="D6" s="659" t="s">
        <v>367</v>
      </c>
      <c r="E6" s="660"/>
      <c r="F6" s="643" t="s">
        <v>372</v>
      </c>
      <c r="G6" s="643" t="s">
        <v>373</v>
      </c>
      <c r="H6" s="655" t="s">
        <v>371</v>
      </c>
    </row>
    <row r="7" spans="1:9" ht="38.25">
      <c r="A7" s="137"/>
      <c r="B7" s="658"/>
      <c r="C7" s="644"/>
      <c r="D7" s="223" t="s">
        <v>370</v>
      </c>
      <c r="E7" s="223" t="s">
        <v>369</v>
      </c>
      <c r="F7" s="644"/>
      <c r="G7" s="644"/>
      <c r="H7" s="656"/>
      <c r="I7" s="134"/>
    </row>
    <row r="8" spans="1:9">
      <c r="A8" s="135">
        <v>1</v>
      </c>
      <c r="B8" s="1" t="s">
        <v>96</v>
      </c>
      <c r="C8" s="496">
        <v>293737066.91999996</v>
      </c>
      <c r="D8" s="497">
        <v>0</v>
      </c>
      <c r="E8" s="496">
        <v>0</v>
      </c>
      <c r="F8" s="496">
        <v>148014497.69</v>
      </c>
      <c r="G8" s="498">
        <v>148014497.69</v>
      </c>
      <c r="H8" s="499">
        <f>G8/(C8+E8)</f>
        <v>0.50390132659121334</v>
      </c>
    </row>
    <row r="9" spans="1:9" ht="15" customHeight="1">
      <c r="A9" s="135">
        <v>2</v>
      </c>
      <c r="B9" s="1" t="s">
        <v>97</v>
      </c>
      <c r="C9" s="496">
        <v>0</v>
      </c>
      <c r="D9" s="497">
        <v>0</v>
      </c>
      <c r="E9" s="496">
        <v>0</v>
      </c>
      <c r="F9" s="496">
        <v>0</v>
      </c>
      <c r="G9" s="498">
        <v>0</v>
      </c>
      <c r="H9" s="499"/>
    </row>
    <row r="10" spans="1:9">
      <c r="A10" s="135">
        <v>3</v>
      </c>
      <c r="B10" s="1" t="s">
        <v>270</v>
      </c>
      <c r="C10" s="496">
        <v>0</v>
      </c>
      <c r="D10" s="497">
        <v>0</v>
      </c>
      <c r="E10" s="496">
        <v>0</v>
      </c>
      <c r="F10" s="496">
        <v>0</v>
      </c>
      <c r="G10" s="498">
        <v>0</v>
      </c>
      <c r="H10" s="499"/>
    </row>
    <row r="11" spans="1:9">
      <c r="A11" s="135">
        <v>4</v>
      </c>
      <c r="B11" s="1" t="s">
        <v>98</v>
      </c>
      <c r="C11" s="496">
        <v>0</v>
      </c>
      <c r="D11" s="497">
        <v>0</v>
      </c>
      <c r="E11" s="496">
        <v>0</v>
      </c>
      <c r="F11" s="496">
        <v>0</v>
      </c>
      <c r="G11" s="498">
        <v>0</v>
      </c>
      <c r="H11" s="499"/>
    </row>
    <row r="12" spans="1:9">
      <c r="A12" s="135">
        <v>5</v>
      </c>
      <c r="B12" s="1" t="s">
        <v>99</v>
      </c>
      <c r="C12" s="496">
        <v>0</v>
      </c>
      <c r="D12" s="497">
        <v>0</v>
      </c>
      <c r="E12" s="496">
        <v>0</v>
      </c>
      <c r="F12" s="496">
        <v>0</v>
      </c>
      <c r="G12" s="498">
        <v>0</v>
      </c>
      <c r="H12" s="499"/>
    </row>
    <row r="13" spans="1:9">
      <c r="A13" s="135">
        <v>6</v>
      </c>
      <c r="B13" s="1" t="s">
        <v>100</v>
      </c>
      <c r="C13" s="496">
        <v>27771155.490000002</v>
      </c>
      <c r="D13" s="497">
        <v>0</v>
      </c>
      <c r="E13" s="496">
        <v>0</v>
      </c>
      <c r="F13" s="496">
        <v>9538929.6669999994</v>
      </c>
      <c r="G13" s="498">
        <v>9538929.6669999994</v>
      </c>
      <c r="H13" s="499">
        <f t="shared" ref="H13:H21" si="0">G13/(C13+E13)</f>
        <v>0.34348335525451335</v>
      </c>
    </row>
    <row r="14" spans="1:9">
      <c r="A14" s="135">
        <v>7</v>
      </c>
      <c r="B14" s="1" t="s">
        <v>101</v>
      </c>
      <c r="C14" s="496">
        <v>505797383.46057397</v>
      </c>
      <c r="D14" s="497">
        <v>82938972.649999991</v>
      </c>
      <c r="E14" s="496">
        <v>41412184.723999999</v>
      </c>
      <c r="F14" s="497">
        <v>547209568.18457401</v>
      </c>
      <c r="G14" s="500">
        <v>499624173.99657404</v>
      </c>
      <c r="H14" s="499">
        <f>G14/(C14+E14)</f>
        <v>0.9130399083739168</v>
      </c>
    </row>
    <row r="15" spans="1:9">
      <c r="A15" s="135">
        <v>8</v>
      </c>
      <c r="B15" s="1" t="s">
        <v>102</v>
      </c>
      <c r="C15" s="496">
        <v>285664399.62073094</v>
      </c>
      <c r="D15" s="497">
        <v>13844546.119999986</v>
      </c>
      <c r="E15" s="496">
        <v>6717307.5499999933</v>
      </c>
      <c r="F15" s="497">
        <v>219286280.37804821</v>
      </c>
      <c r="G15" s="500">
        <v>215854075.34304821</v>
      </c>
      <c r="H15" s="499">
        <f t="shared" si="0"/>
        <v>0.73826121829504254</v>
      </c>
    </row>
    <row r="16" spans="1:9">
      <c r="A16" s="135">
        <v>9</v>
      </c>
      <c r="B16" s="1" t="s">
        <v>103</v>
      </c>
      <c r="C16" s="496">
        <v>112013427.51518381</v>
      </c>
      <c r="D16" s="497">
        <v>1315374.9300000002</v>
      </c>
      <c r="E16" s="496">
        <v>708348.3600000001</v>
      </c>
      <c r="F16" s="497">
        <v>39452621.556314327</v>
      </c>
      <c r="G16" s="500">
        <v>39452621.556314327</v>
      </c>
      <c r="H16" s="499">
        <f t="shared" si="0"/>
        <v>0.35</v>
      </c>
    </row>
    <row r="17" spans="1:8">
      <c r="A17" s="135">
        <v>10</v>
      </c>
      <c r="B17" s="1" t="s">
        <v>104</v>
      </c>
      <c r="C17" s="496">
        <v>6824871.2051101336</v>
      </c>
      <c r="D17" s="497">
        <v>0</v>
      </c>
      <c r="E17" s="496">
        <v>0</v>
      </c>
      <c r="F17" s="497">
        <v>6105284.7038775934</v>
      </c>
      <c r="G17" s="500">
        <v>6105284.7038775934</v>
      </c>
      <c r="H17" s="499">
        <f t="shared" si="0"/>
        <v>0.89456409071958032</v>
      </c>
    </row>
    <row r="18" spans="1:8">
      <c r="A18" s="135">
        <v>11</v>
      </c>
      <c r="B18" s="1" t="s">
        <v>105</v>
      </c>
      <c r="C18" s="496">
        <v>45195771.008402832</v>
      </c>
      <c r="D18" s="497">
        <v>0</v>
      </c>
      <c r="E18" s="496">
        <v>0</v>
      </c>
      <c r="F18" s="497">
        <v>50756006.926537335</v>
      </c>
      <c r="G18" s="500">
        <v>50439369.226537332</v>
      </c>
      <c r="H18" s="499">
        <f t="shared" si="0"/>
        <v>1.1160196651399001</v>
      </c>
    </row>
    <row r="19" spans="1:8">
      <c r="A19" s="135">
        <v>12</v>
      </c>
      <c r="B19" s="1" t="s">
        <v>106</v>
      </c>
      <c r="C19" s="496">
        <v>0</v>
      </c>
      <c r="D19" s="497">
        <v>0</v>
      </c>
      <c r="E19" s="496">
        <v>0</v>
      </c>
      <c r="F19" s="497">
        <v>0</v>
      </c>
      <c r="G19" s="500">
        <v>0</v>
      </c>
      <c r="H19" s="499"/>
    </row>
    <row r="20" spans="1:8">
      <c r="A20" s="135">
        <v>13</v>
      </c>
      <c r="B20" s="1" t="s">
        <v>247</v>
      </c>
      <c r="C20" s="496">
        <v>0</v>
      </c>
      <c r="D20" s="497">
        <v>0</v>
      </c>
      <c r="E20" s="496">
        <v>0</v>
      </c>
      <c r="F20" s="497">
        <v>0</v>
      </c>
      <c r="G20" s="500">
        <v>0</v>
      </c>
      <c r="H20" s="499"/>
    </row>
    <row r="21" spans="1:8">
      <c r="A21" s="135">
        <v>14</v>
      </c>
      <c r="B21" s="1" t="s">
        <v>108</v>
      </c>
      <c r="C21" s="496">
        <v>66611480.719999909</v>
      </c>
      <c r="D21" s="497">
        <v>0</v>
      </c>
      <c r="E21" s="496">
        <v>0</v>
      </c>
      <c r="F21" s="497">
        <v>32350587.417999927</v>
      </c>
      <c r="G21" s="500">
        <v>32350587.417999927</v>
      </c>
      <c r="H21" s="499">
        <f t="shared" si="0"/>
        <v>0.48566083606495708</v>
      </c>
    </row>
    <row r="22" spans="1:8" ht="13.5" thickBot="1">
      <c r="A22" s="138"/>
      <c r="B22" s="139" t="s">
        <v>109</v>
      </c>
      <c r="C22" s="495">
        <f>SUM(C8:C21)</f>
        <v>1343615555.9400015</v>
      </c>
      <c r="D22" s="224">
        <f>SUM(D8:D21)</f>
        <v>98098893.699999988</v>
      </c>
      <c r="E22" s="224">
        <f>SUM(E8:E21)</f>
        <v>48837840.633999988</v>
      </c>
      <c r="F22" s="224">
        <f>SUM(F8:F21)</f>
        <v>1052713776.5243514</v>
      </c>
      <c r="G22" s="224">
        <f>SUM(G8:G21)</f>
        <v>1001379539.6013515</v>
      </c>
      <c r="H22" s="225">
        <f t="shared" ref="H22" si="1">IFERROR(G22/(C22+E22),"")</f>
        <v>0.71914761532784521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K8" sqref="C8:K25"/>
    </sheetView>
  </sheetViews>
  <sheetFormatPr defaultColWidth="9.140625" defaultRowHeight="12.75"/>
  <cols>
    <col min="1" max="1" width="10.5703125" style="193" bestFit="1" customWidth="1"/>
    <col min="2" max="2" width="104.140625" style="193" customWidth="1"/>
    <col min="3" max="4" width="12.7109375" style="193" customWidth="1"/>
    <col min="5" max="5" width="13.5703125" style="193" bestFit="1" customWidth="1"/>
    <col min="6" max="11" width="12.7109375" style="193" customWidth="1"/>
    <col min="12" max="16384" width="9.140625" style="193"/>
  </cols>
  <sheetData>
    <row r="1" spans="1:11">
      <c r="A1" s="193" t="s">
        <v>30</v>
      </c>
      <c r="B1" s="3" t="str">
        <f>'Info '!C2</f>
        <v>Terabank</v>
      </c>
    </row>
    <row r="2" spans="1:11">
      <c r="A2" s="193" t="s">
        <v>31</v>
      </c>
      <c r="B2" s="338">
        <f>'1. key ratios '!B2</f>
        <v>44561</v>
      </c>
    </row>
    <row r="4" spans="1:11" ht="13.5" thickBot="1">
      <c r="A4" s="193" t="s">
        <v>249</v>
      </c>
      <c r="B4" s="258" t="s">
        <v>377</v>
      </c>
    </row>
    <row r="5" spans="1:11" ht="30" customHeight="1">
      <c r="A5" s="661"/>
      <c r="B5" s="662"/>
      <c r="C5" s="663" t="s">
        <v>429</v>
      </c>
      <c r="D5" s="663"/>
      <c r="E5" s="663"/>
      <c r="F5" s="663" t="s">
        <v>430</v>
      </c>
      <c r="G5" s="663"/>
      <c r="H5" s="663"/>
      <c r="I5" s="663" t="s">
        <v>431</v>
      </c>
      <c r="J5" s="663"/>
      <c r="K5" s="664"/>
    </row>
    <row r="6" spans="1:11">
      <c r="A6" s="233"/>
      <c r="B6" s="234"/>
      <c r="C6" s="21" t="s">
        <v>69</v>
      </c>
      <c r="D6" s="21" t="s">
        <v>70</v>
      </c>
      <c r="E6" s="21" t="s">
        <v>71</v>
      </c>
      <c r="F6" s="21" t="s">
        <v>69</v>
      </c>
      <c r="G6" s="21" t="s">
        <v>70</v>
      </c>
      <c r="H6" s="21" t="s">
        <v>71</v>
      </c>
      <c r="I6" s="21" t="s">
        <v>69</v>
      </c>
      <c r="J6" s="21" t="s">
        <v>70</v>
      </c>
      <c r="K6" s="21" t="s">
        <v>71</v>
      </c>
    </row>
    <row r="7" spans="1:11">
      <c r="A7" s="235" t="s">
        <v>380</v>
      </c>
      <c r="B7" s="236"/>
      <c r="C7" s="504"/>
      <c r="D7" s="504"/>
      <c r="E7" s="504"/>
      <c r="F7" s="504"/>
      <c r="G7" s="504"/>
      <c r="H7" s="504"/>
      <c r="I7" s="504"/>
      <c r="J7" s="504"/>
      <c r="K7" s="505"/>
    </row>
    <row r="8" spans="1:11">
      <c r="A8" s="237">
        <v>1</v>
      </c>
      <c r="B8" s="238" t="s">
        <v>378</v>
      </c>
      <c r="C8" s="501"/>
      <c r="D8" s="501"/>
      <c r="E8" s="501"/>
      <c r="F8" s="502">
        <v>58773974.994143732</v>
      </c>
      <c r="G8" s="502">
        <v>210894141.45530489</v>
      </c>
      <c r="H8" s="502">
        <v>269668116.44944865</v>
      </c>
      <c r="I8" s="502">
        <v>53333785.492387459</v>
      </c>
      <c r="J8" s="502">
        <v>175566628.29871756</v>
      </c>
      <c r="K8" s="503">
        <v>228900413.79110503</v>
      </c>
    </row>
    <row r="9" spans="1:11">
      <c r="A9" s="235" t="s">
        <v>381</v>
      </c>
      <c r="B9" s="236"/>
      <c r="C9" s="504"/>
      <c r="D9" s="504"/>
      <c r="E9" s="504"/>
      <c r="F9" s="504"/>
      <c r="G9" s="504"/>
      <c r="H9" s="504"/>
      <c r="I9" s="504"/>
      <c r="J9" s="504"/>
      <c r="K9" s="505"/>
    </row>
    <row r="10" spans="1:11">
      <c r="A10" s="240">
        <v>2</v>
      </c>
      <c r="B10" s="241" t="s">
        <v>389</v>
      </c>
      <c r="C10" s="506">
        <v>79288922.693042114</v>
      </c>
      <c r="D10" s="507">
        <v>333982036.35901099</v>
      </c>
      <c r="E10" s="507">
        <v>413270959.05205309</v>
      </c>
      <c r="F10" s="507">
        <v>13315398.948889127</v>
      </c>
      <c r="G10" s="507">
        <v>70472700.288502872</v>
      </c>
      <c r="H10" s="507">
        <v>83788099.237391993</v>
      </c>
      <c r="I10" s="507">
        <v>3181519.8174327188</v>
      </c>
      <c r="J10" s="507">
        <v>14198190.645897584</v>
      </c>
      <c r="K10" s="508">
        <v>17379710.463330302</v>
      </c>
    </row>
    <row r="11" spans="1:11">
      <c r="A11" s="240">
        <v>3</v>
      </c>
      <c r="B11" s="241" t="s">
        <v>383</v>
      </c>
      <c r="C11" s="506">
        <v>221864768.43433881</v>
      </c>
      <c r="D11" s="507">
        <v>346695545.7834608</v>
      </c>
      <c r="E11" s="507">
        <v>568560314.21779966</v>
      </c>
      <c r="F11" s="507">
        <v>55986180.367511533</v>
      </c>
      <c r="G11" s="507">
        <v>88264249.277377456</v>
      </c>
      <c r="H11" s="507">
        <v>144250429.644889</v>
      </c>
      <c r="I11" s="507">
        <v>47537656.199606508</v>
      </c>
      <c r="J11" s="507">
        <v>71644533.629926905</v>
      </c>
      <c r="K11" s="508">
        <v>119182189.82953341</v>
      </c>
    </row>
    <row r="12" spans="1:11">
      <c r="A12" s="240">
        <v>4</v>
      </c>
      <c r="B12" s="241" t="s">
        <v>384</v>
      </c>
      <c r="C12" s="506">
        <v>139527204.30107525</v>
      </c>
      <c r="D12" s="507">
        <v>0</v>
      </c>
      <c r="E12" s="507">
        <v>139527204.30107525</v>
      </c>
      <c r="F12" s="507">
        <v>0</v>
      </c>
      <c r="G12" s="507">
        <v>0</v>
      </c>
      <c r="H12" s="507">
        <v>0</v>
      </c>
      <c r="I12" s="507">
        <v>0</v>
      </c>
      <c r="J12" s="507">
        <v>0</v>
      </c>
      <c r="K12" s="508">
        <v>0</v>
      </c>
    </row>
    <row r="13" spans="1:11">
      <c r="A13" s="240">
        <v>5</v>
      </c>
      <c r="B13" s="241" t="s">
        <v>392</v>
      </c>
      <c r="C13" s="506">
        <v>64830904.960516125</v>
      </c>
      <c r="D13" s="507">
        <v>103813316.1741913</v>
      </c>
      <c r="E13" s="507">
        <v>168644221.13470742</v>
      </c>
      <c r="F13" s="507">
        <v>8701345.6313594636</v>
      </c>
      <c r="G13" s="507">
        <v>72364434.44736661</v>
      </c>
      <c r="H13" s="507">
        <v>81065780.078726068</v>
      </c>
      <c r="I13" s="507">
        <v>3508211.5051946244</v>
      </c>
      <c r="J13" s="507">
        <v>69459899.570482686</v>
      </c>
      <c r="K13" s="508">
        <v>72968111.075677305</v>
      </c>
    </row>
    <row r="14" spans="1:11">
      <c r="A14" s="240">
        <v>6</v>
      </c>
      <c r="B14" s="241" t="s">
        <v>424</v>
      </c>
      <c r="C14" s="506">
        <v>5344379.7774727605</v>
      </c>
      <c r="D14" s="507">
        <v>9137093.3015139438</v>
      </c>
      <c r="E14" s="507">
        <v>14481473.078986704</v>
      </c>
      <c r="F14" s="507">
        <v>0</v>
      </c>
      <c r="G14" s="507">
        <v>0</v>
      </c>
      <c r="H14" s="507">
        <v>0</v>
      </c>
      <c r="I14" s="507">
        <v>0</v>
      </c>
      <c r="J14" s="507">
        <v>0</v>
      </c>
      <c r="K14" s="508">
        <v>0</v>
      </c>
    </row>
    <row r="15" spans="1:11">
      <c r="A15" s="240">
        <v>7</v>
      </c>
      <c r="B15" s="241" t="s">
        <v>425</v>
      </c>
      <c r="C15" s="506">
        <v>7277272.2348351264</v>
      </c>
      <c r="D15" s="507">
        <v>4971257.6609423291</v>
      </c>
      <c r="E15" s="507">
        <v>12248529.895777456</v>
      </c>
      <c r="F15" s="507">
        <v>2725369.0281397859</v>
      </c>
      <c r="G15" s="507">
        <v>1789350.840751433</v>
      </c>
      <c r="H15" s="507">
        <v>4514719.8688912187</v>
      </c>
      <c r="I15" s="507">
        <v>2725369.0281397859</v>
      </c>
      <c r="J15" s="507">
        <v>1789350.840751433</v>
      </c>
      <c r="K15" s="508">
        <v>4514719.8688912187</v>
      </c>
    </row>
    <row r="16" spans="1:11">
      <c r="A16" s="240">
        <v>8</v>
      </c>
      <c r="B16" s="242" t="s">
        <v>385</v>
      </c>
      <c r="C16" s="506">
        <v>518133452.40128016</v>
      </c>
      <c r="D16" s="507">
        <v>798599249.27911925</v>
      </c>
      <c r="E16" s="507">
        <v>1316732701.6803994</v>
      </c>
      <c r="F16" s="507">
        <v>80728293.975899905</v>
      </c>
      <c r="G16" s="507">
        <v>232890734.85399839</v>
      </c>
      <c r="H16" s="507">
        <v>313619028.8298983</v>
      </c>
      <c r="I16" s="507">
        <v>56952756.550373636</v>
      </c>
      <c r="J16" s="507">
        <v>157091974.6870586</v>
      </c>
      <c r="K16" s="508">
        <v>214044731.23743224</v>
      </c>
    </row>
    <row r="17" spans="1:11">
      <c r="A17" s="235" t="s">
        <v>382</v>
      </c>
      <c r="B17" s="236"/>
      <c r="C17" s="504"/>
      <c r="D17" s="504"/>
      <c r="E17" s="504"/>
      <c r="F17" s="504"/>
      <c r="G17" s="504"/>
      <c r="H17" s="504"/>
      <c r="I17" s="504"/>
      <c r="J17" s="504"/>
      <c r="K17" s="505"/>
    </row>
    <row r="18" spans="1:11">
      <c r="A18" s="240">
        <v>9</v>
      </c>
      <c r="B18" s="241" t="s">
        <v>388</v>
      </c>
      <c r="C18" s="506">
        <v>0</v>
      </c>
      <c r="D18" s="507">
        <v>0</v>
      </c>
      <c r="E18" s="507">
        <v>0</v>
      </c>
      <c r="F18" s="507">
        <v>0</v>
      </c>
      <c r="G18" s="507">
        <v>0</v>
      </c>
      <c r="H18" s="507">
        <v>0</v>
      </c>
      <c r="I18" s="507">
        <v>0</v>
      </c>
      <c r="J18" s="507">
        <v>0</v>
      </c>
      <c r="K18" s="508">
        <v>0</v>
      </c>
    </row>
    <row r="19" spans="1:11">
      <c r="A19" s="240">
        <v>10</v>
      </c>
      <c r="B19" s="241" t="s">
        <v>426</v>
      </c>
      <c r="C19" s="506">
        <v>320201237.38610804</v>
      </c>
      <c r="D19" s="507">
        <v>435500345.62515438</v>
      </c>
      <c r="E19" s="507">
        <v>755701583.01126242</v>
      </c>
      <c r="F19" s="507">
        <v>17771528.312403224</v>
      </c>
      <c r="G19" s="507">
        <v>9382708.9469695333</v>
      </c>
      <c r="H19" s="507">
        <v>27154237.259372756</v>
      </c>
      <c r="I19" s="507">
        <v>23211717.814159498</v>
      </c>
      <c r="J19" s="507">
        <v>47462317.590138182</v>
      </c>
      <c r="K19" s="508">
        <v>70674035.40429768</v>
      </c>
    </row>
    <row r="20" spans="1:11">
      <c r="A20" s="240">
        <v>11</v>
      </c>
      <c r="B20" s="241" t="s">
        <v>387</v>
      </c>
      <c r="C20" s="506">
        <v>23513060.61002652</v>
      </c>
      <c r="D20" s="507">
        <v>71501513.803440034</v>
      </c>
      <c r="E20" s="507">
        <v>95014574.413466558</v>
      </c>
      <c r="F20" s="507">
        <v>11035842.721926162</v>
      </c>
      <c r="G20" s="507">
        <v>61189846.175996989</v>
      </c>
      <c r="H20" s="507">
        <v>72225688.897923157</v>
      </c>
      <c r="I20" s="507">
        <v>11035842.721926162</v>
      </c>
      <c r="J20" s="507">
        <v>61189846.175996989</v>
      </c>
      <c r="K20" s="508">
        <v>72225688.897923157</v>
      </c>
    </row>
    <row r="21" spans="1:11" ht="13.5" thickBot="1">
      <c r="A21" s="243">
        <v>12</v>
      </c>
      <c r="B21" s="244" t="s">
        <v>386</v>
      </c>
      <c r="C21" s="509">
        <v>343714297.99613458</v>
      </c>
      <c r="D21" s="510">
        <v>507001859.42859441</v>
      </c>
      <c r="E21" s="509">
        <v>850716157.42472899</v>
      </c>
      <c r="F21" s="510">
        <v>28807371.034329385</v>
      </c>
      <c r="G21" s="510">
        <v>70572555.122966528</v>
      </c>
      <c r="H21" s="510">
        <v>99379926.157295913</v>
      </c>
      <c r="I21" s="510">
        <v>34247560.536085658</v>
      </c>
      <c r="J21" s="510">
        <v>108652163.76613517</v>
      </c>
      <c r="K21" s="511">
        <v>142899724.30222082</v>
      </c>
    </row>
    <row r="22" spans="1:11" ht="38.25" customHeight="1" thickBot="1">
      <c r="A22" s="245"/>
      <c r="B22" s="246"/>
      <c r="C22" s="246"/>
      <c r="D22" s="246"/>
      <c r="E22" s="246"/>
      <c r="F22" s="665" t="s">
        <v>428</v>
      </c>
      <c r="G22" s="663"/>
      <c r="H22" s="663"/>
      <c r="I22" s="665" t="s">
        <v>393</v>
      </c>
      <c r="J22" s="663"/>
      <c r="K22" s="664"/>
    </row>
    <row r="23" spans="1:11">
      <c r="A23" s="247">
        <v>13</v>
      </c>
      <c r="B23" s="248" t="s">
        <v>378</v>
      </c>
      <c r="C23" s="249"/>
      <c r="D23" s="249"/>
      <c r="E23" s="249"/>
      <c r="F23" s="591">
        <v>58773974.994143732</v>
      </c>
      <c r="G23" s="591">
        <v>210894141.45530489</v>
      </c>
      <c r="H23" s="591">
        <v>269668116.44944865</v>
      </c>
      <c r="I23" s="591">
        <v>53333785.492387459</v>
      </c>
      <c r="J23" s="591">
        <v>175566628.29871756</v>
      </c>
      <c r="K23" s="592">
        <v>228900413.79110503</v>
      </c>
    </row>
    <row r="24" spans="1:11" ht="13.5" thickBot="1">
      <c r="A24" s="250">
        <v>14</v>
      </c>
      <c r="B24" s="251" t="s">
        <v>390</v>
      </c>
      <c r="C24" s="252"/>
      <c r="D24" s="253"/>
      <c r="E24" s="254"/>
      <c r="F24" s="593">
        <v>51920922.94157052</v>
      </c>
      <c r="G24" s="593">
        <v>162318179.73103186</v>
      </c>
      <c r="H24" s="593">
        <v>214239102.67260239</v>
      </c>
      <c r="I24" s="593">
        <v>22705196.014287978</v>
      </c>
      <c r="J24" s="593">
        <v>48439810.920923427</v>
      </c>
      <c r="K24" s="594">
        <v>71145006.93521142</v>
      </c>
    </row>
    <row r="25" spans="1:11" ht="13.5" thickBot="1">
      <c r="A25" s="255">
        <v>15</v>
      </c>
      <c r="B25" s="256" t="s">
        <v>391</v>
      </c>
      <c r="C25" s="257"/>
      <c r="D25" s="257"/>
      <c r="E25" s="257"/>
      <c r="F25" s="512">
        <v>1.1319901816900544</v>
      </c>
      <c r="G25" s="512">
        <v>1.2992638397298779</v>
      </c>
      <c r="H25" s="512">
        <v>1.2587250090453945</v>
      </c>
      <c r="I25" s="595">
        <v>2.3489682916115524</v>
      </c>
      <c r="J25" s="595">
        <v>3.6244284393538395</v>
      </c>
      <c r="K25" s="596">
        <v>3.2173784732293922</v>
      </c>
    </row>
    <row r="27" spans="1:11" ht="25.5">
      <c r="B27" s="232"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A7" sqref="A7"/>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38">
        <f>'1. key ratios '!B2</f>
        <v>44561</v>
      </c>
    </row>
    <row r="3" spans="1:14" ht="14.25" customHeight="1"/>
    <row r="4" spans="1:14" ht="13.5" thickBot="1">
      <c r="A4" s="4" t="s">
        <v>265</v>
      </c>
      <c r="B4" s="187" t="s">
        <v>28</v>
      </c>
    </row>
    <row r="5" spans="1:14" s="144" customFormat="1">
      <c r="A5" s="140"/>
      <c r="B5" s="141"/>
      <c r="C5" s="142" t="s">
        <v>0</v>
      </c>
      <c r="D5" s="142" t="s">
        <v>1</v>
      </c>
      <c r="E5" s="142" t="s">
        <v>2</v>
      </c>
      <c r="F5" s="142" t="s">
        <v>3</v>
      </c>
      <c r="G5" s="142" t="s">
        <v>4</v>
      </c>
      <c r="H5" s="142" t="s">
        <v>5</v>
      </c>
      <c r="I5" s="142" t="s">
        <v>8</v>
      </c>
      <c r="J5" s="142" t="s">
        <v>9</v>
      </c>
      <c r="K5" s="142" t="s">
        <v>10</v>
      </c>
      <c r="L5" s="142" t="s">
        <v>11</v>
      </c>
      <c r="M5" s="142" t="s">
        <v>12</v>
      </c>
      <c r="N5" s="143" t="s">
        <v>13</v>
      </c>
    </row>
    <row r="6" spans="1:14" ht="25.5">
      <c r="A6" s="145"/>
      <c r="B6" s="146"/>
      <c r="C6" s="147" t="s">
        <v>264</v>
      </c>
      <c r="D6" s="148" t="s">
        <v>263</v>
      </c>
      <c r="E6" s="149" t="s">
        <v>262</v>
      </c>
      <c r="F6" s="150">
        <v>0</v>
      </c>
      <c r="G6" s="150">
        <v>0.2</v>
      </c>
      <c r="H6" s="150">
        <v>0.35</v>
      </c>
      <c r="I6" s="150">
        <v>0.5</v>
      </c>
      <c r="J6" s="150">
        <v>0.75</v>
      </c>
      <c r="K6" s="150">
        <v>1</v>
      </c>
      <c r="L6" s="150">
        <v>1.5</v>
      </c>
      <c r="M6" s="150">
        <v>2.5</v>
      </c>
      <c r="N6" s="186" t="s">
        <v>276</v>
      </c>
    </row>
    <row r="7" spans="1:14" ht="15.75">
      <c r="A7" s="151">
        <v>1</v>
      </c>
      <c r="B7" s="152" t="s">
        <v>261</v>
      </c>
      <c r="C7" s="513">
        <f>SUM(C8:C13)</f>
        <v>67466633.5</v>
      </c>
      <c r="D7" s="514"/>
      <c r="E7" s="515">
        <f t="shared" ref="E7:M7" si="0">SUM(E8:E13)</f>
        <v>1349332.67</v>
      </c>
      <c r="F7" s="515">
        <f>SUM(F8:F13)</f>
        <v>0</v>
      </c>
      <c r="G7" s="515">
        <f t="shared" si="0"/>
        <v>0</v>
      </c>
      <c r="H7" s="515">
        <f t="shared" si="0"/>
        <v>0</v>
      </c>
      <c r="I7" s="515">
        <f t="shared" si="0"/>
        <v>0</v>
      </c>
      <c r="J7" s="515">
        <f t="shared" si="0"/>
        <v>0</v>
      </c>
      <c r="K7" s="515">
        <f t="shared" si="0"/>
        <v>1349332.67</v>
      </c>
      <c r="L7" s="515">
        <f t="shared" si="0"/>
        <v>0</v>
      </c>
      <c r="M7" s="515">
        <f t="shared" si="0"/>
        <v>0</v>
      </c>
      <c r="N7" s="516">
        <f>SUM(N8:N13)</f>
        <v>1349332.67</v>
      </c>
    </row>
    <row r="8" spans="1:14" ht="15">
      <c r="A8" s="151">
        <v>1.1000000000000001</v>
      </c>
      <c r="B8" s="153" t="s">
        <v>259</v>
      </c>
      <c r="C8" s="517">
        <v>67466633.5</v>
      </c>
      <c r="D8" s="518">
        <v>0.02</v>
      </c>
      <c r="E8" s="515">
        <f>C8*D8</f>
        <v>1349332.67</v>
      </c>
      <c r="F8" s="519">
        <v>0</v>
      </c>
      <c r="G8" s="519">
        <v>0</v>
      </c>
      <c r="H8" s="519">
        <v>0</v>
      </c>
      <c r="I8" s="519">
        <v>0</v>
      </c>
      <c r="J8" s="519">
        <v>0</v>
      </c>
      <c r="K8" s="519">
        <v>1349332.67</v>
      </c>
      <c r="L8" s="519">
        <v>0</v>
      </c>
      <c r="M8" s="519">
        <v>0</v>
      </c>
      <c r="N8" s="516">
        <f>SUMPRODUCT($F$6:$M$6,F8:M8)</f>
        <v>1349332.67</v>
      </c>
    </row>
    <row r="9" spans="1:14" ht="15">
      <c r="A9" s="151">
        <v>1.2</v>
      </c>
      <c r="B9" s="153" t="s">
        <v>258</v>
      </c>
      <c r="C9" s="597">
        <v>0</v>
      </c>
      <c r="D9" s="518">
        <v>0.05</v>
      </c>
      <c r="E9" s="515">
        <f>C9*D9</f>
        <v>0</v>
      </c>
      <c r="F9" s="519">
        <v>0</v>
      </c>
      <c r="G9" s="519">
        <v>0</v>
      </c>
      <c r="H9" s="519">
        <v>0</v>
      </c>
      <c r="I9" s="519">
        <v>0</v>
      </c>
      <c r="J9" s="519">
        <v>0</v>
      </c>
      <c r="K9" s="519">
        <v>0</v>
      </c>
      <c r="L9" s="519">
        <v>0</v>
      </c>
      <c r="M9" s="519">
        <v>0</v>
      </c>
      <c r="N9" s="516">
        <f t="shared" ref="N9:N12" si="1">SUMPRODUCT($F$6:$M$6,F9:M9)</f>
        <v>0</v>
      </c>
    </row>
    <row r="10" spans="1:14" ht="15">
      <c r="A10" s="151">
        <v>1.3</v>
      </c>
      <c r="B10" s="153" t="s">
        <v>257</v>
      </c>
      <c r="C10" s="597">
        <v>0</v>
      </c>
      <c r="D10" s="518">
        <v>0.08</v>
      </c>
      <c r="E10" s="515">
        <f>C10*D10</f>
        <v>0</v>
      </c>
      <c r="F10" s="519">
        <v>0</v>
      </c>
      <c r="G10" s="519">
        <v>0</v>
      </c>
      <c r="H10" s="519">
        <v>0</v>
      </c>
      <c r="I10" s="519">
        <v>0</v>
      </c>
      <c r="J10" s="519">
        <v>0</v>
      </c>
      <c r="K10" s="519">
        <v>0</v>
      </c>
      <c r="L10" s="519">
        <v>0</v>
      </c>
      <c r="M10" s="519">
        <v>0</v>
      </c>
      <c r="N10" s="516">
        <f>SUMPRODUCT($F$6:$M$6,F10:M10)</f>
        <v>0</v>
      </c>
    </row>
    <row r="11" spans="1:14" ht="15">
      <c r="A11" s="151">
        <v>1.4</v>
      </c>
      <c r="B11" s="153" t="s">
        <v>256</v>
      </c>
      <c r="C11" s="597">
        <v>0</v>
      </c>
      <c r="D11" s="518">
        <v>0.11</v>
      </c>
      <c r="E11" s="515">
        <f>C11*D11</f>
        <v>0</v>
      </c>
      <c r="F11" s="519">
        <v>0</v>
      </c>
      <c r="G11" s="519">
        <v>0</v>
      </c>
      <c r="H11" s="519">
        <v>0</v>
      </c>
      <c r="I11" s="519">
        <v>0</v>
      </c>
      <c r="J11" s="519">
        <v>0</v>
      </c>
      <c r="K11" s="519">
        <v>0</v>
      </c>
      <c r="L11" s="519">
        <v>0</v>
      </c>
      <c r="M11" s="519">
        <v>0</v>
      </c>
      <c r="N11" s="516">
        <f t="shared" si="1"/>
        <v>0</v>
      </c>
    </row>
    <row r="12" spans="1:14" ht="15">
      <c r="A12" s="151">
        <v>1.5</v>
      </c>
      <c r="B12" s="153" t="s">
        <v>255</v>
      </c>
      <c r="C12" s="597">
        <v>0</v>
      </c>
      <c r="D12" s="518">
        <v>0.14000000000000001</v>
      </c>
      <c r="E12" s="515">
        <f>C12*D12</f>
        <v>0</v>
      </c>
      <c r="F12" s="519">
        <v>0</v>
      </c>
      <c r="G12" s="519">
        <v>0</v>
      </c>
      <c r="H12" s="519">
        <v>0</v>
      </c>
      <c r="I12" s="519">
        <v>0</v>
      </c>
      <c r="J12" s="519">
        <v>0</v>
      </c>
      <c r="K12" s="519">
        <v>0</v>
      </c>
      <c r="L12" s="519">
        <v>0</v>
      </c>
      <c r="M12" s="519">
        <v>0</v>
      </c>
      <c r="N12" s="516">
        <f t="shared" si="1"/>
        <v>0</v>
      </c>
    </row>
    <row r="13" spans="1:14" ht="15">
      <c r="A13" s="151">
        <v>1.6</v>
      </c>
      <c r="B13" s="154" t="s">
        <v>254</v>
      </c>
      <c r="C13" s="597">
        <v>0</v>
      </c>
      <c r="D13" s="520"/>
      <c r="E13" s="519"/>
      <c r="F13" s="519">
        <v>0</v>
      </c>
      <c r="G13" s="519">
        <v>0</v>
      </c>
      <c r="H13" s="519">
        <v>0</v>
      </c>
      <c r="I13" s="519">
        <v>0</v>
      </c>
      <c r="J13" s="519">
        <v>0</v>
      </c>
      <c r="K13" s="519">
        <v>0</v>
      </c>
      <c r="L13" s="519">
        <v>0</v>
      </c>
      <c r="M13" s="519">
        <v>0</v>
      </c>
      <c r="N13" s="516">
        <f>SUMPRODUCT($F$6:$M$6,F13:M13)</f>
        <v>0</v>
      </c>
    </row>
    <row r="14" spans="1:14" ht="15.75">
      <c r="A14" s="151">
        <v>2</v>
      </c>
      <c r="B14" s="155" t="s">
        <v>260</v>
      </c>
      <c r="C14" s="598">
        <f>SUM(C15:C20)</f>
        <v>0</v>
      </c>
      <c r="D14" s="514"/>
      <c r="E14" s="515">
        <f t="shared" ref="E14:M14" si="2">SUM(E15:E20)</f>
        <v>0</v>
      </c>
      <c r="F14" s="519">
        <f t="shared" si="2"/>
        <v>0</v>
      </c>
      <c r="G14" s="519">
        <f t="shared" si="2"/>
        <v>0</v>
      </c>
      <c r="H14" s="519">
        <f t="shared" si="2"/>
        <v>0</v>
      </c>
      <c r="I14" s="519">
        <f t="shared" si="2"/>
        <v>0</v>
      </c>
      <c r="J14" s="519">
        <f t="shared" si="2"/>
        <v>0</v>
      </c>
      <c r="K14" s="519">
        <f t="shared" si="2"/>
        <v>0</v>
      </c>
      <c r="L14" s="519">
        <f t="shared" si="2"/>
        <v>0</v>
      </c>
      <c r="M14" s="519">
        <f t="shared" si="2"/>
        <v>0</v>
      </c>
      <c r="N14" s="516">
        <f>SUM(N15:N20)</f>
        <v>0</v>
      </c>
    </row>
    <row r="15" spans="1:14" ht="15">
      <c r="A15" s="151">
        <v>2.1</v>
      </c>
      <c r="B15" s="154" t="s">
        <v>259</v>
      </c>
      <c r="C15" s="597">
        <v>0</v>
      </c>
      <c r="D15" s="518">
        <v>5.0000000000000001E-3</v>
      </c>
      <c r="E15" s="515">
        <f>C15*D15</f>
        <v>0</v>
      </c>
      <c r="F15" s="519">
        <v>0</v>
      </c>
      <c r="G15" s="519">
        <v>0</v>
      </c>
      <c r="H15" s="519">
        <v>0</v>
      </c>
      <c r="I15" s="519">
        <v>0</v>
      </c>
      <c r="J15" s="519">
        <v>0</v>
      </c>
      <c r="K15" s="519">
        <v>0</v>
      </c>
      <c r="L15" s="519">
        <v>0</v>
      </c>
      <c r="M15" s="519">
        <v>0</v>
      </c>
      <c r="N15" s="516">
        <f>SUMPRODUCT($F$6:$M$6,F15:M15)</f>
        <v>0</v>
      </c>
    </row>
    <row r="16" spans="1:14" ht="15">
      <c r="A16" s="151">
        <v>2.2000000000000002</v>
      </c>
      <c r="B16" s="154" t="s">
        <v>258</v>
      </c>
      <c r="C16" s="597">
        <v>0</v>
      </c>
      <c r="D16" s="518">
        <v>0.01</v>
      </c>
      <c r="E16" s="515">
        <f>C16*D16</f>
        <v>0</v>
      </c>
      <c r="F16" s="519">
        <v>0</v>
      </c>
      <c r="G16" s="519">
        <v>0</v>
      </c>
      <c r="H16" s="519">
        <v>0</v>
      </c>
      <c r="I16" s="519">
        <v>0</v>
      </c>
      <c r="J16" s="519">
        <v>0</v>
      </c>
      <c r="K16" s="519">
        <v>0</v>
      </c>
      <c r="L16" s="519">
        <v>0</v>
      </c>
      <c r="M16" s="519">
        <v>0</v>
      </c>
      <c r="N16" s="516">
        <f t="shared" ref="N16:N20" si="3">SUMPRODUCT($F$6:$M$6,F16:M16)</f>
        <v>0</v>
      </c>
    </row>
    <row r="17" spans="1:14" ht="15">
      <c r="A17" s="151">
        <v>2.2999999999999998</v>
      </c>
      <c r="B17" s="154" t="s">
        <v>257</v>
      </c>
      <c r="C17" s="597">
        <v>0</v>
      </c>
      <c r="D17" s="518">
        <v>0.02</v>
      </c>
      <c r="E17" s="515">
        <f>C17*D17</f>
        <v>0</v>
      </c>
      <c r="F17" s="519">
        <v>0</v>
      </c>
      <c r="G17" s="519">
        <v>0</v>
      </c>
      <c r="H17" s="519">
        <v>0</v>
      </c>
      <c r="I17" s="519">
        <v>0</v>
      </c>
      <c r="J17" s="519">
        <v>0</v>
      </c>
      <c r="K17" s="519">
        <v>0</v>
      </c>
      <c r="L17" s="519">
        <v>0</v>
      </c>
      <c r="M17" s="519">
        <v>0</v>
      </c>
      <c r="N17" s="516">
        <f t="shared" si="3"/>
        <v>0</v>
      </c>
    </row>
    <row r="18" spans="1:14" ht="15">
      <c r="A18" s="151">
        <v>2.4</v>
      </c>
      <c r="B18" s="154" t="s">
        <v>256</v>
      </c>
      <c r="C18" s="597">
        <v>0</v>
      </c>
      <c r="D18" s="518">
        <v>0.03</v>
      </c>
      <c r="E18" s="515">
        <f>C18*D18</f>
        <v>0</v>
      </c>
      <c r="F18" s="519">
        <v>0</v>
      </c>
      <c r="G18" s="519">
        <v>0</v>
      </c>
      <c r="H18" s="519">
        <v>0</v>
      </c>
      <c r="I18" s="519">
        <v>0</v>
      </c>
      <c r="J18" s="519">
        <v>0</v>
      </c>
      <c r="K18" s="519">
        <v>0</v>
      </c>
      <c r="L18" s="519">
        <v>0</v>
      </c>
      <c r="M18" s="519">
        <v>0</v>
      </c>
      <c r="N18" s="516">
        <f t="shared" si="3"/>
        <v>0</v>
      </c>
    </row>
    <row r="19" spans="1:14" ht="15">
      <c r="A19" s="151">
        <v>2.5</v>
      </c>
      <c r="B19" s="154" t="s">
        <v>255</v>
      </c>
      <c r="C19" s="597">
        <v>0</v>
      </c>
      <c r="D19" s="518">
        <v>0.04</v>
      </c>
      <c r="E19" s="515">
        <f>C19*D19</f>
        <v>0</v>
      </c>
      <c r="F19" s="519">
        <v>0</v>
      </c>
      <c r="G19" s="519">
        <v>0</v>
      </c>
      <c r="H19" s="519">
        <v>0</v>
      </c>
      <c r="I19" s="519">
        <v>0</v>
      </c>
      <c r="J19" s="519">
        <v>0</v>
      </c>
      <c r="K19" s="519">
        <v>0</v>
      </c>
      <c r="L19" s="519">
        <v>0</v>
      </c>
      <c r="M19" s="519">
        <v>0</v>
      </c>
      <c r="N19" s="516">
        <f t="shared" si="3"/>
        <v>0</v>
      </c>
    </row>
    <row r="20" spans="1:14" ht="15">
      <c r="A20" s="151">
        <v>2.6</v>
      </c>
      <c r="B20" s="154" t="s">
        <v>254</v>
      </c>
      <c r="C20" s="597">
        <v>0</v>
      </c>
      <c r="D20" s="520"/>
      <c r="E20" s="599"/>
      <c r="F20" s="519">
        <v>0</v>
      </c>
      <c r="G20" s="519">
        <v>0</v>
      </c>
      <c r="H20" s="519">
        <v>0</v>
      </c>
      <c r="I20" s="519">
        <v>0</v>
      </c>
      <c r="J20" s="519">
        <v>0</v>
      </c>
      <c r="K20" s="519">
        <v>0</v>
      </c>
      <c r="L20" s="519">
        <v>0</v>
      </c>
      <c r="M20" s="519">
        <v>0</v>
      </c>
      <c r="N20" s="516">
        <f t="shared" si="3"/>
        <v>0</v>
      </c>
    </row>
    <row r="21" spans="1:14" ht="16.5" thickBot="1">
      <c r="A21" s="156"/>
      <c r="B21" s="157" t="s">
        <v>109</v>
      </c>
      <c r="C21" s="600">
        <f>C14+C7</f>
        <v>67466633.5</v>
      </c>
      <c r="D21" s="601"/>
      <c r="E21" s="521">
        <f>E14+E7</f>
        <v>1349332.67</v>
      </c>
      <c r="F21" s="522">
        <f>F7+F14</f>
        <v>0</v>
      </c>
      <c r="G21" s="522">
        <f t="shared" ref="G21:L21" si="4">G7+G14</f>
        <v>0</v>
      </c>
      <c r="H21" s="522">
        <f t="shared" si="4"/>
        <v>0</v>
      </c>
      <c r="I21" s="522">
        <f t="shared" si="4"/>
        <v>0</v>
      </c>
      <c r="J21" s="522">
        <f t="shared" si="4"/>
        <v>0</v>
      </c>
      <c r="K21" s="522">
        <f t="shared" si="4"/>
        <v>1349332.67</v>
      </c>
      <c r="L21" s="522">
        <f t="shared" si="4"/>
        <v>0</v>
      </c>
      <c r="M21" s="522">
        <f>M7+M14</f>
        <v>0</v>
      </c>
      <c r="N21" s="523">
        <f>N14+N7</f>
        <v>1349332.67</v>
      </c>
    </row>
    <row r="22" spans="1:14">
      <c r="E22" s="158"/>
      <c r="F22" s="158"/>
      <c r="G22" s="158"/>
      <c r="H22" s="158"/>
      <c r="I22" s="158"/>
      <c r="J22" s="158"/>
      <c r="K22" s="158"/>
      <c r="L22" s="158"/>
      <c r="M22" s="15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C6" sqref="C6:C41"/>
    </sheetView>
  </sheetViews>
  <sheetFormatPr defaultRowHeight="15"/>
  <cols>
    <col min="1" max="1" width="11.42578125" customWidth="1"/>
    <col min="2" max="2" width="76.85546875" style="287" customWidth="1"/>
    <col min="3" max="3" width="22.85546875" customWidth="1"/>
  </cols>
  <sheetData>
    <row r="1" spans="1:3">
      <c r="A1" s="2" t="s">
        <v>30</v>
      </c>
      <c r="B1" s="3" t="str">
        <f>'Info '!C2</f>
        <v>Terabank</v>
      </c>
    </row>
    <row r="2" spans="1:3">
      <c r="A2" s="2" t="s">
        <v>31</v>
      </c>
      <c r="B2" s="338">
        <f>'1. key ratios '!B2</f>
        <v>44561</v>
      </c>
    </row>
    <row r="3" spans="1:3">
      <c r="A3" s="4"/>
      <c r="B3"/>
    </row>
    <row r="4" spans="1:3">
      <c r="A4" s="4" t="s">
        <v>432</v>
      </c>
      <c r="B4" t="s">
        <v>433</v>
      </c>
    </row>
    <row r="5" spans="1:3">
      <c r="A5" s="288" t="s">
        <v>434</v>
      </c>
      <c r="B5" s="289"/>
      <c r="C5" s="290"/>
    </row>
    <row r="6" spans="1:3" ht="24">
      <c r="A6" s="291">
        <v>1</v>
      </c>
      <c r="B6" s="292" t="s">
        <v>485</v>
      </c>
      <c r="C6" s="524">
        <v>1334282625.9000015</v>
      </c>
    </row>
    <row r="7" spans="1:3">
      <c r="A7" s="291">
        <v>2</v>
      </c>
      <c r="B7" s="292" t="s">
        <v>435</v>
      </c>
      <c r="C7" s="524">
        <v>-23404927.960000001</v>
      </c>
    </row>
    <row r="8" spans="1:3" ht="24">
      <c r="A8" s="293">
        <v>3</v>
      </c>
      <c r="B8" s="294" t="s">
        <v>436</v>
      </c>
      <c r="C8" s="525">
        <f>C6+C7</f>
        <v>1310877697.9400015</v>
      </c>
    </row>
    <row r="9" spans="1:3">
      <c r="A9" s="288" t="s">
        <v>437</v>
      </c>
      <c r="B9" s="289"/>
      <c r="C9" s="526"/>
    </row>
    <row r="10" spans="1:3" ht="24">
      <c r="A10" s="295">
        <v>4</v>
      </c>
      <c r="B10" s="296" t="s">
        <v>438</v>
      </c>
      <c r="C10" s="524"/>
    </row>
    <row r="11" spans="1:3">
      <c r="A11" s="295">
        <v>5</v>
      </c>
      <c r="B11" s="297" t="s">
        <v>439</v>
      </c>
      <c r="C11" s="524"/>
    </row>
    <row r="12" spans="1:3">
      <c r="A12" s="295" t="s">
        <v>440</v>
      </c>
      <c r="B12" s="297" t="s">
        <v>441</v>
      </c>
      <c r="C12" s="525">
        <v>1349332.67</v>
      </c>
    </row>
    <row r="13" spans="1:3" ht="24">
      <c r="A13" s="298">
        <v>6</v>
      </c>
      <c r="B13" s="296" t="s">
        <v>442</v>
      </c>
      <c r="C13" s="524"/>
    </row>
    <row r="14" spans="1:3">
      <c r="A14" s="298">
        <v>7</v>
      </c>
      <c r="B14" s="299" t="s">
        <v>443</v>
      </c>
      <c r="C14" s="524"/>
    </row>
    <row r="15" spans="1:3">
      <c r="A15" s="300">
        <v>8</v>
      </c>
      <c r="B15" s="301" t="s">
        <v>444</v>
      </c>
      <c r="C15" s="524"/>
    </row>
    <row r="16" spans="1:3">
      <c r="A16" s="298">
        <v>9</v>
      </c>
      <c r="B16" s="299" t="s">
        <v>445</v>
      </c>
      <c r="C16" s="524"/>
    </row>
    <row r="17" spans="1:3">
      <c r="A17" s="298">
        <v>10</v>
      </c>
      <c r="B17" s="299" t="s">
        <v>446</v>
      </c>
      <c r="C17" s="524"/>
    </row>
    <row r="18" spans="1:3">
      <c r="A18" s="302">
        <v>11</v>
      </c>
      <c r="B18" s="303" t="s">
        <v>447</v>
      </c>
      <c r="C18" s="525">
        <f>SUM(C10:C17)</f>
        <v>1349332.67</v>
      </c>
    </row>
    <row r="19" spans="1:3">
      <c r="A19" s="304" t="s">
        <v>448</v>
      </c>
      <c r="B19" s="305"/>
      <c r="C19" s="527"/>
    </row>
    <row r="20" spans="1:3" ht="24">
      <c r="A20" s="306">
        <v>12</v>
      </c>
      <c r="B20" s="296" t="s">
        <v>449</v>
      </c>
      <c r="C20" s="524"/>
    </row>
    <row r="21" spans="1:3">
      <c r="A21" s="306">
        <v>13</v>
      </c>
      <c r="B21" s="296" t="s">
        <v>450</v>
      </c>
      <c r="C21" s="524"/>
    </row>
    <row r="22" spans="1:3">
      <c r="A22" s="306">
        <v>14</v>
      </c>
      <c r="B22" s="296" t="s">
        <v>451</v>
      </c>
      <c r="C22" s="524"/>
    </row>
    <row r="23" spans="1:3" ht="24">
      <c r="A23" s="306" t="s">
        <v>452</v>
      </c>
      <c r="B23" s="296" t="s">
        <v>453</v>
      </c>
      <c r="C23" s="524"/>
    </row>
    <row r="24" spans="1:3">
      <c r="A24" s="306">
        <v>15</v>
      </c>
      <c r="B24" s="296" t="s">
        <v>454</v>
      </c>
      <c r="C24" s="524"/>
    </row>
    <row r="25" spans="1:3">
      <c r="A25" s="306" t="s">
        <v>455</v>
      </c>
      <c r="B25" s="296" t="s">
        <v>456</v>
      </c>
      <c r="C25" s="524"/>
    </row>
    <row r="26" spans="1:3">
      <c r="A26" s="307">
        <v>16</v>
      </c>
      <c r="B26" s="308" t="s">
        <v>457</v>
      </c>
      <c r="C26" s="525">
        <f>SUM(C20:C25)</f>
        <v>0</v>
      </c>
    </row>
    <row r="27" spans="1:3">
      <c r="A27" s="288" t="s">
        <v>458</v>
      </c>
      <c r="B27" s="289"/>
      <c r="C27" s="526"/>
    </row>
    <row r="28" spans="1:3">
      <c r="A28" s="309">
        <v>17</v>
      </c>
      <c r="B28" s="297" t="s">
        <v>459</v>
      </c>
      <c r="C28" s="524">
        <v>98098893.700000018</v>
      </c>
    </row>
    <row r="29" spans="1:3">
      <c r="A29" s="309">
        <v>18</v>
      </c>
      <c r="B29" s="297" t="s">
        <v>460</v>
      </c>
      <c r="C29" s="524">
        <v>-49261053.066000082</v>
      </c>
    </row>
    <row r="30" spans="1:3">
      <c r="A30" s="307">
        <v>19</v>
      </c>
      <c r="B30" s="308" t="s">
        <v>461</v>
      </c>
      <c r="C30" s="525">
        <f>C28+C29</f>
        <v>48837840.633999936</v>
      </c>
    </row>
    <row r="31" spans="1:3">
      <c r="A31" s="288" t="s">
        <v>462</v>
      </c>
      <c r="B31" s="289"/>
      <c r="C31" s="526"/>
    </row>
    <row r="32" spans="1:3" ht="24">
      <c r="A32" s="309" t="s">
        <v>463</v>
      </c>
      <c r="B32" s="296" t="s">
        <v>464</v>
      </c>
      <c r="C32" s="602"/>
    </row>
    <row r="33" spans="1:3">
      <c r="A33" s="309" t="s">
        <v>465</v>
      </c>
      <c r="B33" s="297" t="s">
        <v>466</v>
      </c>
      <c r="C33" s="602"/>
    </row>
    <row r="34" spans="1:3">
      <c r="A34" s="288" t="s">
        <v>467</v>
      </c>
      <c r="B34" s="289"/>
      <c r="C34" s="526"/>
    </row>
    <row r="35" spans="1:3">
      <c r="A35" s="310">
        <v>20</v>
      </c>
      <c r="B35" s="311" t="s">
        <v>468</v>
      </c>
      <c r="C35" s="525">
        <v>132094165.61000001</v>
      </c>
    </row>
    <row r="36" spans="1:3">
      <c r="A36" s="307">
        <v>21</v>
      </c>
      <c r="B36" s="308" t="s">
        <v>469</v>
      </c>
      <c r="C36" s="525">
        <f>C8+C18+C26+C30</f>
        <v>1361064871.2440014</v>
      </c>
    </row>
    <row r="37" spans="1:3">
      <c r="A37" s="288" t="s">
        <v>470</v>
      </c>
      <c r="B37" s="289"/>
      <c r="C37" s="526"/>
    </row>
    <row r="38" spans="1:3">
      <c r="A38" s="307">
        <v>22</v>
      </c>
      <c r="B38" s="308" t="s">
        <v>470</v>
      </c>
      <c r="C38" s="603">
        <f>IFERROR(C35/C36,0)</f>
        <v>9.7052071801153092E-2</v>
      </c>
    </row>
    <row r="39" spans="1:3">
      <c r="A39" s="288" t="s">
        <v>471</v>
      </c>
      <c r="B39" s="289"/>
      <c r="C39" s="526"/>
    </row>
    <row r="40" spans="1:3">
      <c r="A40" s="312" t="s">
        <v>472</v>
      </c>
      <c r="B40" s="296" t="s">
        <v>473</v>
      </c>
      <c r="C40" s="602"/>
    </row>
    <row r="41" spans="1:3" ht="24">
      <c r="A41" s="313" t="s">
        <v>474</v>
      </c>
      <c r="B41" s="292" t="s">
        <v>475</v>
      </c>
      <c r="C41" s="602"/>
    </row>
    <row r="43" spans="1:3">
      <c r="B43" s="287"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C8" sqref="C8:G39"/>
    </sheetView>
  </sheetViews>
  <sheetFormatPr defaultRowHeight="15"/>
  <cols>
    <col min="1" max="1" width="8.7109375" style="193"/>
    <col min="2" max="2" width="82.5703125" style="200" customWidth="1"/>
    <col min="3" max="7" width="17.5703125" style="193" customWidth="1"/>
  </cols>
  <sheetData>
    <row r="1" spans="1:7">
      <c r="A1" s="193" t="s">
        <v>30</v>
      </c>
      <c r="B1" s="3" t="str">
        <f>'Info '!C2</f>
        <v>Terabank</v>
      </c>
    </row>
    <row r="2" spans="1:7">
      <c r="A2" s="193" t="s">
        <v>31</v>
      </c>
      <c r="B2" s="338">
        <f>'1. key ratios '!B2</f>
        <v>44561</v>
      </c>
    </row>
    <row r="4" spans="1:7" ht="15.75" thickBot="1">
      <c r="A4" s="193" t="s">
        <v>536</v>
      </c>
      <c r="B4" s="342" t="s">
        <v>497</v>
      </c>
    </row>
    <row r="5" spans="1:7">
      <c r="A5" s="343"/>
      <c r="B5" s="344"/>
      <c r="C5" s="666" t="s">
        <v>498</v>
      </c>
      <c r="D5" s="666"/>
      <c r="E5" s="666"/>
      <c r="F5" s="666"/>
      <c r="G5" s="667" t="s">
        <v>499</v>
      </c>
    </row>
    <row r="6" spans="1:7">
      <c r="A6" s="345"/>
      <c r="B6" s="346"/>
      <c r="C6" s="347" t="s">
        <v>500</v>
      </c>
      <c r="D6" s="347" t="s">
        <v>501</v>
      </c>
      <c r="E6" s="347" t="s">
        <v>502</v>
      </c>
      <c r="F6" s="347" t="s">
        <v>503</v>
      </c>
      <c r="G6" s="668"/>
    </row>
    <row r="7" spans="1:7">
      <c r="A7" s="348"/>
      <c r="B7" s="349" t="s">
        <v>504</v>
      </c>
      <c r="C7" s="350"/>
      <c r="D7" s="350"/>
      <c r="E7" s="350"/>
      <c r="F7" s="350"/>
      <c r="G7" s="351"/>
    </row>
    <row r="8" spans="1:7">
      <c r="A8" s="352">
        <v>1</v>
      </c>
      <c r="B8" s="353" t="s">
        <v>505</v>
      </c>
      <c r="C8" s="496">
        <f>SUM(C9:C10)</f>
        <v>132094165.61000001</v>
      </c>
      <c r="D8" s="496">
        <f>SUM(D9:D10)</f>
        <v>0</v>
      </c>
      <c r="E8" s="496">
        <f>SUM(E9:E10)</f>
        <v>0</v>
      </c>
      <c r="F8" s="496">
        <f>SUM(F9:F10)</f>
        <v>232914295.30950004</v>
      </c>
      <c r="G8" s="354">
        <f>SUM(G9:G10)</f>
        <v>365008460.91950005</v>
      </c>
    </row>
    <row r="9" spans="1:7">
      <c r="A9" s="352">
        <v>2</v>
      </c>
      <c r="B9" s="355" t="s">
        <v>506</v>
      </c>
      <c r="C9" s="496">
        <v>132094165.61000001</v>
      </c>
      <c r="D9" s="496">
        <v>0</v>
      </c>
      <c r="E9" s="496">
        <v>0</v>
      </c>
      <c r="F9" s="496">
        <v>34924336.68</v>
      </c>
      <c r="G9" s="354">
        <v>167018502.29000002</v>
      </c>
    </row>
    <row r="10" spans="1:7">
      <c r="A10" s="352">
        <v>3</v>
      </c>
      <c r="B10" s="355" t="s">
        <v>507</v>
      </c>
      <c r="C10" s="528"/>
      <c r="D10" s="528"/>
      <c r="E10" s="528"/>
      <c r="F10" s="496">
        <v>197989958.62950003</v>
      </c>
      <c r="G10" s="354">
        <v>197989958.62950003</v>
      </c>
    </row>
    <row r="11" spans="1:7" ht="14.45" customHeight="1">
      <c r="A11" s="352">
        <v>4</v>
      </c>
      <c r="B11" s="353" t="s">
        <v>508</v>
      </c>
      <c r="C11" s="496">
        <f t="shared" ref="C11:F11" si="0">SUM(C12:C13)</f>
        <v>189956800.76560134</v>
      </c>
      <c r="D11" s="496">
        <f t="shared" si="0"/>
        <v>92329660.325200006</v>
      </c>
      <c r="E11" s="496">
        <f t="shared" si="0"/>
        <v>96125064.60589999</v>
      </c>
      <c r="F11" s="496">
        <f t="shared" si="0"/>
        <v>9030533.9309000038</v>
      </c>
      <c r="G11" s="354">
        <f>SUM(G12:G13)</f>
        <v>340825429.91196126</v>
      </c>
    </row>
    <row r="12" spans="1:7">
      <c r="A12" s="352">
        <v>5</v>
      </c>
      <c r="B12" s="355" t="s">
        <v>509</v>
      </c>
      <c r="C12" s="496">
        <v>150121196.97840139</v>
      </c>
      <c r="D12" s="529">
        <v>82589925.704500005</v>
      </c>
      <c r="E12" s="496">
        <v>85844690.342999995</v>
      </c>
      <c r="F12" s="496">
        <v>8342853.8589000031</v>
      </c>
      <c r="G12" s="354">
        <v>310553733.54056132</v>
      </c>
    </row>
    <row r="13" spans="1:7">
      <c r="A13" s="352">
        <v>6</v>
      </c>
      <c r="B13" s="355" t="s">
        <v>510</v>
      </c>
      <c r="C13" s="496">
        <v>39835603.787199929</v>
      </c>
      <c r="D13" s="529">
        <v>9739734.6207000017</v>
      </c>
      <c r="E13" s="496">
        <v>10280374.262899999</v>
      </c>
      <c r="F13" s="496">
        <v>687680.07200000004</v>
      </c>
      <c r="G13" s="354">
        <v>30271696.371399961</v>
      </c>
    </row>
    <row r="14" spans="1:7">
      <c r="A14" s="352">
        <v>7</v>
      </c>
      <c r="B14" s="353" t="s">
        <v>511</v>
      </c>
      <c r="C14" s="496">
        <f t="shared" ref="C14:F14" si="1">SUM(C15:C16)</f>
        <v>280088757.32600677</v>
      </c>
      <c r="D14" s="496">
        <f t="shared" si="1"/>
        <v>230558388.43190002</v>
      </c>
      <c r="E14" s="496">
        <f t="shared" si="1"/>
        <v>33608662.0713</v>
      </c>
      <c r="F14" s="496">
        <f t="shared" si="1"/>
        <v>239851.2</v>
      </c>
      <c r="G14" s="354">
        <f>SUM(G15:G16)</f>
        <v>175158170.55615339</v>
      </c>
    </row>
    <row r="15" spans="1:7" ht="39">
      <c r="A15" s="352">
        <v>8</v>
      </c>
      <c r="B15" s="355" t="s">
        <v>512</v>
      </c>
      <c r="C15" s="496">
        <v>266486347.95130679</v>
      </c>
      <c r="D15" s="529">
        <v>49981479.88970001</v>
      </c>
      <c r="E15" s="496">
        <v>11863791.787600001</v>
      </c>
      <c r="F15" s="496">
        <v>239851.2</v>
      </c>
      <c r="G15" s="354">
        <v>164285735.41430339</v>
      </c>
    </row>
    <row r="16" spans="1:7" ht="26.25">
      <c r="A16" s="352">
        <v>9</v>
      </c>
      <c r="B16" s="355" t="s">
        <v>513</v>
      </c>
      <c r="C16" s="496">
        <v>13602409.374700001</v>
      </c>
      <c r="D16" s="529">
        <v>180576908.5422</v>
      </c>
      <c r="E16" s="496">
        <v>21744870.2837</v>
      </c>
      <c r="F16" s="496">
        <v>0</v>
      </c>
      <c r="G16" s="354">
        <v>10872435.14185</v>
      </c>
    </row>
    <row r="17" spans="1:7">
      <c r="A17" s="352">
        <v>10</v>
      </c>
      <c r="B17" s="353" t="s">
        <v>514</v>
      </c>
      <c r="C17" s="496">
        <v>0</v>
      </c>
      <c r="D17" s="529">
        <v>0</v>
      </c>
      <c r="E17" s="496">
        <v>0</v>
      </c>
      <c r="F17" s="496">
        <v>0</v>
      </c>
      <c r="G17" s="354">
        <v>0</v>
      </c>
    </row>
    <row r="18" spans="1:7">
      <c r="A18" s="352">
        <v>11</v>
      </c>
      <c r="B18" s="353" t="s">
        <v>515</v>
      </c>
      <c r="C18" s="496">
        <f>SUM(C19:C20)</f>
        <v>0</v>
      </c>
      <c r="D18" s="529">
        <f t="shared" ref="D18:G18" si="2">SUM(D19:D20)</f>
        <v>15786463.573800003</v>
      </c>
      <c r="E18" s="496">
        <f t="shared" si="2"/>
        <v>5564308.2399999993</v>
      </c>
      <c r="F18" s="496">
        <f t="shared" si="2"/>
        <v>10062467.709900003</v>
      </c>
      <c r="G18" s="354">
        <f t="shared" si="2"/>
        <v>0</v>
      </c>
    </row>
    <row r="19" spans="1:7">
      <c r="A19" s="352">
        <v>12</v>
      </c>
      <c r="B19" s="355" t="s">
        <v>516</v>
      </c>
      <c r="C19" s="528"/>
      <c r="D19" s="529">
        <v>463400</v>
      </c>
      <c r="E19" s="496">
        <v>0</v>
      </c>
      <c r="F19" s="496">
        <v>0</v>
      </c>
      <c r="G19" s="354">
        <v>0</v>
      </c>
    </row>
    <row r="20" spans="1:7">
      <c r="A20" s="352">
        <v>13</v>
      </c>
      <c r="B20" s="355" t="s">
        <v>517</v>
      </c>
      <c r="C20" s="496">
        <v>0</v>
      </c>
      <c r="D20" s="496">
        <v>15323063.573800003</v>
      </c>
      <c r="E20" s="496">
        <v>5564308.2399999993</v>
      </c>
      <c r="F20" s="496">
        <v>10062467.709900003</v>
      </c>
      <c r="G20" s="354">
        <v>0</v>
      </c>
    </row>
    <row r="21" spans="1:7">
      <c r="A21" s="356">
        <v>14</v>
      </c>
      <c r="B21" s="357" t="s">
        <v>518</v>
      </c>
      <c r="C21" s="528"/>
      <c r="D21" s="528"/>
      <c r="E21" s="528"/>
      <c r="F21" s="528"/>
      <c r="G21" s="358">
        <f>SUM(G8,G11,G14,G17,G18)</f>
        <v>880992061.38761473</v>
      </c>
    </row>
    <row r="22" spans="1:7">
      <c r="A22" s="359"/>
      <c r="B22" s="360" t="s">
        <v>519</v>
      </c>
      <c r="C22" s="361"/>
      <c r="D22" s="362"/>
      <c r="E22" s="361"/>
      <c r="F22" s="361"/>
      <c r="G22" s="363"/>
    </row>
    <row r="23" spans="1:7">
      <c r="A23" s="352">
        <v>15</v>
      </c>
      <c r="B23" s="353" t="s">
        <v>520</v>
      </c>
      <c r="C23" s="497" t="s">
        <v>744</v>
      </c>
      <c r="D23" s="506">
        <v>118050550</v>
      </c>
      <c r="E23" s="497">
        <v>0</v>
      </c>
      <c r="F23" s="497">
        <v>3520544</v>
      </c>
      <c r="G23" s="354">
        <v>12820924.187435001</v>
      </c>
    </row>
    <row r="24" spans="1:7">
      <c r="A24" s="352">
        <v>16</v>
      </c>
      <c r="B24" s="353" t="s">
        <v>521</v>
      </c>
      <c r="C24" s="496">
        <f>SUM(C25:C27,C29,C31)</f>
        <v>1769080.4298</v>
      </c>
      <c r="D24" s="529">
        <f t="shared" ref="D24:G24" si="3">SUM(D25:D27,D29,D31)</f>
        <v>227357281.74245968</v>
      </c>
      <c r="E24" s="496">
        <f t="shared" si="3"/>
        <v>134798475.14517403</v>
      </c>
      <c r="F24" s="496">
        <f t="shared" si="3"/>
        <v>425178050.94383687</v>
      </c>
      <c r="G24" s="354">
        <f t="shared" si="3"/>
        <v>524753183.72710842</v>
      </c>
    </row>
    <row r="25" spans="1:7">
      <c r="A25" s="352">
        <v>17</v>
      </c>
      <c r="B25" s="355" t="s">
        <v>522</v>
      </c>
      <c r="C25" s="496" t="s">
        <v>744</v>
      </c>
      <c r="D25" s="529">
        <v>0</v>
      </c>
      <c r="E25" s="496">
        <v>0</v>
      </c>
      <c r="F25" s="496">
        <v>0</v>
      </c>
      <c r="G25" s="354">
        <v>0</v>
      </c>
    </row>
    <row r="26" spans="1:7" ht="26.25">
      <c r="A26" s="352">
        <v>18</v>
      </c>
      <c r="B26" s="355" t="s">
        <v>523</v>
      </c>
      <c r="C26" s="496">
        <v>1769080.4298</v>
      </c>
      <c r="D26" s="529">
        <v>20037787.099999998</v>
      </c>
      <c r="E26" s="496">
        <v>147056.08886718485</v>
      </c>
      <c r="F26" s="496">
        <v>1018851.8492722192</v>
      </c>
      <c r="G26" s="354">
        <v>4363410.0231758105</v>
      </c>
    </row>
    <row r="27" spans="1:7">
      <c r="A27" s="352">
        <v>19</v>
      </c>
      <c r="B27" s="355" t="s">
        <v>524</v>
      </c>
      <c r="C27" s="496" t="s">
        <v>744</v>
      </c>
      <c r="D27" s="529">
        <v>0</v>
      </c>
      <c r="E27" s="496">
        <v>0</v>
      </c>
      <c r="F27" s="496">
        <v>0</v>
      </c>
      <c r="G27" s="354">
        <v>0</v>
      </c>
    </row>
    <row r="28" spans="1:7">
      <c r="A28" s="352">
        <v>20</v>
      </c>
      <c r="B28" s="364" t="s">
        <v>525</v>
      </c>
      <c r="C28" s="496">
        <v>0</v>
      </c>
      <c r="D28" s="529">
        <v>0</v>
      </c>
      <c r="E28" s="496">
        <v>0</v>
      </c>
      <c r="F28" s="496">
        <v>0</v>
      </c>
      <c r="G28" s="354">
        <v>0</v>
      </c>
    </row>
    <row r="29" spans="1:7">
      <c r="A29" s="352">
        <v>21</v>
      </c>
      <c r="B29" s="355" t="s">
        <v>526</v>
      </c>
      <c r="C29" s="496" t="s">
        <v>744</v>
      </c>
      <c r="D29" s="529">
        <v>206284370.6624597</v>
      </c>
      <c r="E29" s="496">
        <v>134088174.16630685</v>
      </c>
      <c r="F29" s="496">
        <v>419849293.33656466</v>
      </c>
      <c r="G29" s="354">
        <v>515927169.3746326</v>
      </c>
    </row>
    <row r="30" spans="1:7">
      <c r="A30" s="352">
        <v>22</v>
      </c>
      <c r="B30" s="364" t="s">
        <v>525</v>
      </c>
      <c r="C30" s="496">
        <v>0</v>
      </c>
      <c r="D30" s="529">
        <v>18545412.699790895</v>
      </c>
      <c r="E30" s="496">
        <v>14804826.987097375</v>
      </c>
      <c r="F30" s="496">
        <v>55655011.879153028</v>
      </c>
      <c r="G30" s="354">
        <v>52850877.564893603</v>
      </c>
    </row>
    <row r="31" spans="1:7">
      <c r="A31" s="352">
        <v>23</v>
      </c>
      <c r="B31" s="355" t="s">
        <v>527</v>
      </c>
      <c r="C31" s="496" t="s">
        <v>744</v>
      </c>
      <c r="D31" s="529">
        <v>1035123.9800000002</v>
      </c>
      <c r="E31" s="496">
        <v>563244.8899999999</v>
      </c>
      <c r="F31" s="496">
        <v>4309905.7580000004</v>
      </c>
      <c r="G31" s="354">
        <v>4462604.3293000003</v>
      </c>
    </row>
    <row r="32" spans="1:7">
      <c r="A32" s="352">
        <v>24</v>
      </c>
      <c r="B32" s="353" t="s">
        <v>528</v>
      </c>
      <c r="C32" s="496">
        <v>0</v>
      </c>
      <c r="D32" s="529">
        <v>0</v>
      </c>
      <c r="E32" s="496">
        <v>0</v>
      </c>
      <c r="F32" s="496">
        <v>0</v>
      </c>
      <c r="G32" s="354">
        <v>0</v>
      </c>
    </row>
    <row r="33" spans="1:7">
      <c r="A33" s="352">
        <v>25</v>
      </c>
      <c r="B33" s="353" t="s">
        <v>529</v>
      </c>
      <c r="C33" s="496">
        <f>SUM(C34:C35)</f>
        <v>26702000.719999984</v>
      </c>
      <c r="D33" s="496">
        <f>SUM(D34:D35)</f>
        <v>93324.799999999348</v>
      </c>
      <c r="E33" s="496">
        <f>SUM(E34:E35)</f>
        <v>0</v>
      </c>
      <c r="F33" s="496">
        <f>SUM(F34:F35)</f>
        <v>118995127.25930801</v>
      </c>
      <c r="G33" s="354">
        <f>SUM(G34:G35)</f>
        <v>145790452.77930802</v>
      </c>
    </row>
    <row r="34" spans="1:7">
      <c r="A34" s="352">
        <v>26</v>
      </c>
      <c r="B34" s="355" t="s">
        <v>530</v>
      </c>
      <c r="C34" s="528"/>
      <c r="D34" s="529">
        <v>93324.799999999348</v>
      </c>
      <c r="E34" s="496">
        <v>0</v>
      </c>
      <c r="F34" s="496">
        <v>0</v>
      </c>
      <c r="G34" s="354">
        <v>93324.799999999348</v>
      </c>
    </row>
    <row r="35" spans="1:7">
      <c r="A35" s="352">
        <v>27</v>
      </c>
      <c r="B35" s="355" t="s">
        <v>531</v>
      </c>
      <c r="C35" s="496">
        <v>26702000.719999984</v>
      </c>
      <c r="D35" s="529">
        <v>0</v>
      </c>
      <c r="E35" s="496">
        <v>0</v>
      </c>
      <c r="F35" s="496">
        <v>118995127.25930801</v>
      </c>
      <c r="G35" s="354">
        <v>145697127.97930801</v>
      </c>
    </row>
    <row r="36" spans="1:7">
      <c r="A36" s="352">
        <v>28</v>
      </c>
      <c r="B36" s="353" t="s">
        <v>532</v>
      </c>
      <c r="C36" s="496">
        <v>0</v>
      </c>
      <c r="D36" s="529">
        <v>26253159.651799999</v>
      </c>
      <c r="E36" s="496">
        <v>34353845.284099996</v>
      </c>
      <c r="F36" s="496">
        <v>36439000.308599994</v>
      </c>
      <c r="G36" s="354">
        <v>9123473.2545599975</v>
      </c>
    </row>
    <row r="37" spans="1:7">
      <c r="A37" s="356">
        <v>29</v>
      </c>
      <c r="B37" s="357" t="s">
        <v>533</v>
      </c>
      <c r="C37" s="528"/>
      <c r="D37" s="528"/>
      <c r="E37" s="528"/>
      <c r="F37" s="528"/>
      <c r="G37" s="358">
        <f>SUM(G23:G24,G32:G33,G36)</f>
        <v>692488033.94841146</v>
      </c>
    </row>
    <row r="38" spans="1:7">
      <c r="A38" s="348"/>
      <c r="B38" s="365"/>
      <c r="C38" s="366"/>
      <c r="D38" s="366"/>
      <c r="E38" s="366"/>
      <c r="F38" s="366"/>
      <c r="G38" s="367"/>
    </row>
    <row r="39" spans="1:7" ht="15.75" thickBot="1">
      <c r="A39" s="368">
        <v>30</v>
      </c>
      <c r="B39" s="369" t="s">
        <v>534</v>
      </c>
      <c r="C39" s="252"/>
      <c r="D39" s="253"/>
      <c r="E39" s="253"/>
      <c r="F39" s="254"/>
      <c r="G39" s="370">
        <f>IFERROR(G21/G37,0)</f>
        <v>1.2722126855599158</v>
      </c>
    </row>
    <row r="42" spans="1:7" ht="39">
      <c r="B42" s="200"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16" sqref="B16"/>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6" width="13.28515625" style="4" bestFit="1" customWidth="1"/>
    <col min="7" max="7" width="12.7109375" style="4" customWidth="1"/>
    <col min="8" max="13" width="6.7109375" style="5" customWidth="1"/>
    <col min="14" max="16384" width="9.140625" style="5"/>
  </cols>
  <sheetData>
    <row r="1" spans="1:7">
      <c r="A1" s="2" t="s">
        <v>30</v>
      </c>
      <c r="B1" s="3" t="str">
        <f>'Info '!C2</f>
        <v>Terabank</v>
      </c>
    </row>
    <row r="2" spans="1:7">
      <c r="A2" s="2" t="s">
        <v>31</v>
      </c>
      <c r="B2" s="338">
        <v>44561</v>
      </c>
    </row>
    <row r="3" spans="1:7">
      <c r="A3" s="2"/>
    </row>
    <row r="4" spans="1:7" ht="15" thickBot="1">
      <c r="A4" s="6" t="s">
        <v>140</v>
      </c>
      <c r="B4" s="7" t="s">
        <v>139</v>
      </c>
      <c r="C4" s="7"/>
      <c r="D4" s="7"/>
      <c r="E4" s="7"/>
      <c r="F4" s="7"/>
      <c r="G4" s="7"/>
    </row>
    <row r="5" spans="1:7">
      <c r="A5" s="8" t="s">
        <v>6</v>
      </c>
      <c r="B5" s="9"/>
      <c r="C5" s="336" t="str">
        <f>INT((MONTH($B$2))/3)&amp;"Q"&amp;"-"&amp;YEAR($B$2)</f>
        <v>4Q-2021</v>
      </c>
      <c r="D5" s="336" t="str">
        <f>IF(INT(MONTH($B$2))=3, "4"&amp;"Q"&amp;"-"&amp;YEAR($B$2)-1, IF(INT(MONTH($B$2))=6, "1"&amp;"Q"&amp;"-"&amp;YEAR($B$2), IF(INT(MONTH($B$2))=9, "2"&amp;"Q"&amp;"-"&amp;YEAR($B$2),IF(INT(MONTH($B$2))=12, "3"&amp;"Q"&amp;"-"&amp;YEAR($B$2), 0))))</f>
        <v>3Q-2021</v>
      </c>
      <c r="E5" s="336" t="str">
        <f>IF(INT(MONTH($B$2))=3, "3"&amp;"Q"&amp;"-"&amp;YEAR($B$2)-1, IF(INT(MONTH($B$2))=6, "4"&amp;"Q"&amp;"-"&amp;YEAR($B$2)-1, IF(INT(MONTH($B$2))=9, "1"&amp;"Q"&amp;"-"&amp;YEAR($B$2),IF(INT(MONTH($B$2))=12, "2"&amp;"Q"&amp;"-"&amp;YEAR($B$2), 0))))</f>
        <v>2Q-2021</v>
      </c>
      <c r="F5" s="336" t="str">
        <f>IF(INT(MONTH($B$2))=3, "2"&amp;"Q"&amp;"-"&amp;YEAR($B$2)-1, IF(INT(MONTH($B$2))=6, "3"&amp;"Q"&amp;"-"&amp;YEAR($B$2)-1, IF(INT(MONTH($B$2))=9, "4"&amp;"Q"&amp;"-"&amp;YEAR($B$2)-1,IF(INT(MONTH($B$2))=12, "1"&amp;"Q"&amp;"-"&amp;YEAR($B$2), 0))))</f>
        <v>1Q-2021</v>
      </c>
      <c r="G5" s="337" t="str">
        <f>IF(INT(MONTH($B$2))=3, "1"&amp;"Q"&amp;"-"&amp;YEAR($B$2)-1, IF(INT(MONTH($B$2))=6, "2"&amp;"Q"&amp;"-"&amp;YEAR($B$2)-1, IF(INT(MONTH($B$2))=9, "3"&amp;"Q"&amp;"-"&amp;YEAR($B$2)-1,IF(INT(MONTH($B$2))=12, "4"&amp;"Q"&amp;"-"&amp;YEAR($B$2)-1, 0))))</f>
        <v>4Q-2020</v>
      </c>
    </row>
    <row r="6" spans="1:7">
      <c r="B6" s="172" t="s">
        <v>138</v>
      </c>
      <c r="C6" s="239"/>
      <c r="D6" s="239"/>
      <c r="E6" s="239"/>
      <c r="F6" s="239"/>
      <c r="G6" s="428"/>
    </row>
    <row r="7" spans="1:7">
      <c r="A7" s="10"/>
      <c r="B7" s="173" t="s">
        <v>136</v>
      </c>
      <c r="C7" s="239"/>
      <c r="D7" s="239"/>
      <c r="E7" s="239"/>
      <c r="F7" s="239"/>
      <c r="G7" s="428"/>
    </row>
    <row r="8" spans="1:7">
      <c r="A8" s="8">
        <v>1</v>
      </c>
      <c r="B8" s="11" t="s">
        <v>487</v>
      </c>
      <c r="C8" s="429">
        <v>132094165.61000001</v>
      </c>
      <c r="D8" s="430">
        <v>126061369.7900002</v>
      </c>
      <c r="E8" s="430">
        <v>117539309.89999998</v>
      </c>
      <c r="F8" s="430">
        <v>109621501.12000002</v>
      </c>
      <c r="G8" s="431">
        <v>102541789.95999981</v>
      </c>
    </row>
    <row r="9" spans="1:7">
      <c r="A9" s="8">
        <v>2</v>
      </c>
      <c r="B9" s="11" t="s">
        <v>488</v>
      </c>
      <c r="C9" s="429">
        <v>132094165.61000001</v>
      </c>
      <c r="D9" s="430">
        <v>126061369.7900002</v>
      </c>
      <c r="E9" s="430">
        <v>117539309.89999998</v>
      </c>
      <c r="F9" s="430">
        <v>109621501.12000002</v>
      </c>
      <c r="G9" s="431">
        <v>102541789.95999981</v>
      </c>
    </row>
    <row r="10" spans="1:7">
      <c r="A10" s="8">
        <v>3</v>
      </c>
      <c r="B10" s="11" t="s">
        <v>245</v>
      </c>
      <c r="C10" s="429">
        <v>179552613.19339192</v>
      </c>
      <c r="D10" s="430">
        <v>176153056.92921895</v>
      </c>
      <c r="E10" s="430">
        <v>170432591.27043557</v>
      </c>
      <c r="F10" s="430">
        <v>170706047.02025315</v>
      </c>
      <c r="G10" s="431">
        <v>160530749.12373734</v>
      </c>
    </row>
    <row r="11" spans="1:7">
      <c r="A11" s="8">
        <v>4</v>
      </c>
      <c r="B11" s="11" t="s">
        <v>490</v>
      </c>
      <c r="C11" s="429">
        <v>68689810.285512358</v>
      </c>
      <c r="D11" s="430">
        <v>66305258.451731682</v>
      </c>
      <c r="E11" s="430">
        <v>67562888.890113622</v>
      </c>
      <c r="F11" s="430">
        <v>69721108.361561388</v>
      </c>
      <c r="G11" s="431">
        <v>59346101.396116592</v>
      </c>
    </row>
    <row r="12" spans="1:7">
      <c r="A12" s="8">
        <v>5</v>
      </c>
      <c r="B12" s="11" t="s">
        <v>491</v>
      </c>
      <c r="C12" s="429">
        <v>91617361.803543657</v>
      </c>
      <c r="D12" s="430">
        <v>88437457.124031246</v>
      </c>
      <c r="E12" s="430">
        <v>90117179.82104367</v>
      </c>
      <c r="F12" s="430">
        <v>92997502.363803014</v>
      </c>
      <c r="G12" s="431">
        <v>79161981.000491947</v>
      </c>
    </row>
    <row r="13" spans="1:7">
      <c r="A13" s="8">
        <v>6</v>
      </c>
      <c r="B13" s="11" t="s">
        <v>489</v>
      </c>
      <c r="C13" s="429">
        <v>141656270.31281644</v>
      </c>
      <c r="D13" s="430">
        <v>136699169.77684066</v>
      </c>
      <c r="E13" s="430">
        <v>139149563.60297608</v>
      </c>
      <c r="F13" s="430">
        <v>143690154.16358376</v>
      </c>
      <c r="G13" s="431">
        <v>134692303.79187974</v>
      </c>
    </row>
    <row r="14" spans="1:7">
      <c r="A14" s="10"/>
      <c r="B14" s="172" t="s">
        <v>493</v>
      </c>
      <c r="C14" s="239"/>
      <c r="D14" s="239"/>
      <c r="E14" s="239"/>
      <c r="F14" s="239"/>
      <c r="G14" s="428"/>
    </row>
    <row r="15" spans="1:7" ht="15" customHeight="1">
      <c r="A15" s="8">
        <v>7</v>
      </c>
      <c r="B15" s="11" t="s">
        <v>492</v>
      </c>
      <c r="C15" s="546">
        <v>1132332295.6451013</v>
      </c>
      <c r="D15" s="430">
        <v>1091463372.5874999</v>
      </c>
      <c r="E15" s="430">
        <v>1105639920.9348476</v>
      </c>
      <c r="F15" s="430">
        <v>1133530825.6302505</v>
      </c>
      <c r="G15" s="431">
        <v>1059976416.0590007</v>
      </c>
    </row>
    <row r="16" spans="1:7">
      <c r="A16" s="10"/>
      <c r="B16" s="172" t="s">
        <v>494</v>
      </c>
      <c r="C16" s="239"/>
      <c r="D16" s="239"/>
      <c r="E16" s="239"/>
      <c r="F16" s="239"/>
      <c r="G16" s="428"/>
    </row>
    <row r="17" spans="1:7">
      <c r="A17" s="8"/>
      <c r="B17" s="173" t="s">
        <v>478</v>
      </c>
      <c r="C17" s="239"/>
      <c r="D17" s="239"/>
      <c r="E17" s="239"/>
      <c r="F17" s="239"/>
      <c r="G17" s="428"/>
    </row>
    <row r="18" spans="1:7">
      <c r="A18" s="8">
        <v>8</v>
      </c>
      <c r="B18" s="11" t="s">
        <v>487</v>
      </c>
      <c r="C18" s="432">
        <v>0.11665671474533421</v>
      </c>
      <c r="D18" s="547">
        <v>0.11549757230162497</v>
      </c>
      <c r="E18" s="547">
        <v>0.10630885125838926</v>
      </c>
      <c r="F18" s="547">
        <v>9.6708001795231077E-2</v>
      </c>
      <c r="G18" s="548">
        <v>9.6739690059568367E-2</v>
      </c>
    </row>
    <row r="19" spans="1:7" ht="15" customHeight="1">
      <c r="A19" s="8">
        <v>9</v>
      </c>
      <c r="B19" s="11" t="s">
        <v>488</v>
      </c>
      <c r="C19" s="432">
        <v>0.11665671474533421</v>
      </c>
      <c r="D19" s="547">
        <v>0.11549757230162497</v>
      </c>
      <c r="E19" s="547">
        <v>0.10630885125838926</v>
      </c>
      <c r="F19" s="547">
        <v>9.6708001795231077E-2</v>
      </c>
      <c r="G19" s="548">
        <v>9.6739690059568367E-2</v>
      </c>
    </row>
    <row r="20" spans="1:7">
      <c r="A20" s="8">
        <v>10</v>
      </c>
      <c r="B20" s="11" t="s">
        <v>245</v>
      </c>
      <c r="C20" s="432">
        <v>0.15856883521201606</v>
      </c>
      <c r="D20" s="547">
        <v>0.1613916337949281</v>
      </c>
      <c r="E20" s="547">
        <v>0.15414836968470741</v>
      </c>
      <c r="F20" s="547">
        <v>0.15059673999190934</v>
      </c>
      <c r="G20" s="548">
        <v>0.15144747250188048</v>
      </c>
    </row>
    <row r="21" spans="1:7">
      <c r="A21" s="8">
        <v>11</v>
      </c>
      <c r="B21" s="11" t="s">
        <v>490</v>
      </c>
      <c r="C21" s="432">
        <v>6.0662237180455117E-2</v>
      </c>
      <c r="D21" s="547">
        <v>6.0748954217807391E-2</v>
      </c>
      <c r="E21" s="547">
        <v>6.110749766794548E-2</v>
      </c>
      <c r="F21" s="547">
        <v>6.1507906785680931E-2</v>
      </c>
      <c r="G21" s="548">
        <v>5.598813378958542E-2</v>
      </c>
    </row>
    <row r="22" spans="1:7">
      <c r="A22" s="8">
        <v>12</v>
      </c>
      <c r="B22" s="11" t="s">
        <v>491</v>
      </c>
      <c r="C22" s="432">
        <v>8.0910314185950433E-2</v>
      </c>
      <c r="D22" s="547">
        <v>8.1026500151237496E-2</v>
      </c>
      <c r="E22" s="547">
        <v>8.1506807157295136E-2</v>
      </c>
      <c r="F22" s="547">
        <v>8.2042323209071802E-2</v>
      </c>
      <c r="G22" s="548">
        <v>7.4682775768555976E-2</v>
      </c>
    </row>
    <row r="23" spans="1:7">
      <c r="A23" s="8">
        <v>13</v>
      </c>
      <c r="B23" s="11" t="s">
        <v>489</v>
      </c>
      <c r="C23" s="432">
        <v>0.12510132481217751</v>
      </c>
      <c r="D23" s="547">
        <v>0.12524393691083924</v>
      </c>
      <c r="E23" s="547">
        <v>0.12585432288418227</v>
      </c>
      <c r="F23" s="547">
        <v>0.126763340629657</v>
      </c>
      <c r="G23" s="548">
        <v>0.1270710383280664</v>
      </c>
    </row>
    <row r="24" spans="1:7">
      <c r="A24" s="10"/>
      <c r="B24" s="172" t="s">
        <v>135</v>
      </c>
      <c r="C24" s="239"/>
      <c r="D24" s="239"/>
      <c r="E24" s="239"/>
      <c r="F24" s="239"/>
      <c r="G24" s="428"/>
    </row>
    <row r="25" spans="1:7" ht="15" customHeight="1">
      <c r="A25" s="339">
        <v>14</v>
      </c>
      <c r="B25" s="11" t="s">
        <v>134</v>
      </c>
      <c r="C25" s="549">
        <v>8.1407699924392674E-2</v>
      </c>
      <c r="D25" s="550">
        <v>7.9673400568681094E-2</v>
      </c>
      <c r="E25" s="550">
        <v>7.7078535087239275E-2</v>
      </c>
      <c r="F25" s="550">
        <v>7.4064490838191596E-2</v>
      </c>
      <c r="G25" s="551">
        <v>7.7817841012045114E-2</v>
      </c>
    </row>
    <row r="26" spans="1:7" ht="15">
      <c r="A26" s="339">
        <v>15</v>
      </c>
      <c r="B26" s="11" t="s">
        <v>133</v>
      </c>
      <c r="C26" s="549">
        <v>4.2895664133038941E-2</v>
      </c>
      <c r="D26" s="550">
        <v>4.2108829354622609E-2</v>
      </c>
      <c r="E26" s="550">
        <v>4.1002177850396088E-2</v>
      </c>
      <c r="F26" s="550">
        <v>4.0413603449773502E-2</v>
      </c>
      <c r="G26" s="551">
        <v>4.1379222976943068E-2</v>
      </c>
    </row>
    <row r="27" spans="1:7" ht="15">
      <c r="A27" s="339">
        <v>16</v>
      </c>
      <c r="B27" s="11" t="s">
        <v>132</v>
      </c>
      <c r="C27" s="549">
        <v>2.3647321788586275E-2</v>
      </c>
      <c r="D27" s="550">
        <v>2.4470489234487754E-2</v>
      </c>
      <c r="E27" s="550">
        <v>2.254420603586782E-2</v>
      </c>
      <c r="F27" s="550">
        <v>2.3213757742185342E-2</v>
      </c>
      <c r="G27" s="551">
        <v>1.2389632171424041E-2</v>
      </c>
    </row>
    <row r="28" spans="1:7" ht="15">
      <c r="A28" s="339">
        <v>17</v>
      </c>
      <c r="B28" s="11" t="s">
        <v>131</v>
      </c>
      <c r="C28" s="549">
        <v>3.8512035791353726E-2</v>
      </c>
      <c r="D28" s="550">
        <v>3.756457121405847E-2</v>
      </c>
      <c r="E28" s="550">
        <v>3.6076357236843201E-2</v>
      </c>
      <c r="F28" s="550">
        <v>3.3650887388418087E-2</v>
      </c>
      <c r="G28" s="551">
        <v>3.6438618035102052E-2</v>
      </c>
    </row>
    <row r="29" spans="1:7" ht="15">
      <c r="A29" s="339">
        <v>18</v>
      </c>
      <c r="B29" s="11" t="s">
        <v>271</v>
      </c>
      <c r="C29" s="549">
        <v>2.2684375095189592E-2</v>
      </c>
      <c r="D29" s="550">
        <v>2.4116924625292611E-2</v>
      </c>
      <c r="E29" s="550">
        <v>2.2942414711770685E-2</v>
      </c>
      <c r="F29" s="550">
        <v>2.1506716452464058E-2</v>
      </c>
      <c r="G29" s="551">
        <v>-1.2275759053525463E-2</v>
      </c>
    </row>
    <row r="30" spans="1:7" ht="15">
      <c r="A30" s="339">
        <v>19</v>
      </c>
      <c r="B30" s="11" t="s">
        <v>272</v>
      </c>
      <c r="C30" s="549">
        <v>0.21262853875767876</v>
      </c>
      <c r="D30" s="550">
        <v>0.23172308209424497</v>
      </c>
      <c r="E30" s="550">
        <v>0.22635155335517654</v>
      </c>
      <c r="F30" s="550">
        <v>0.21486129695823081</v>
      </c>
      <c r="G30" s="551">
        <v>-0.10838720508629283</v>
      </c>
    </row>
    <row r="31" spans="1:7">
      <c r="A31" s="10"/>
      <c r="B31" s="172" t="s">
        <v>351</v>
      </c>
      <c r="C31" s="239"/>
      <c r="D31" s="239"/>
      <c r="E31" s="239"/>
      <c r="F31" s="239"/>
      <c r="G31" s="428"/>
    </row>
    <row r="32" spans="1:7" ht="15">
      <c r="A32" s="339">
        <v>20</v>
      </c>
      <c r="B32" s="11" t="s">
        <v>130</v>
      </c>
      <c r="C32" s="549">
        <v>5.9586424067900788E-2</v>
      </c>
      <c r="D32" s="550">
        <v>6.9173317370169463E-2</v>
      </c>
      <c r="E32" s="550">
        <v>6.8140105477074983E-2</v>
      </c>
      <c r="F32" s="550">
        <v>6.9921951460557394E-2</v>
      </c>
      <c r="G32" s="551">
        <v>7.2240640886518909E-2</v>
      </c>
    </row>
    <row r="33" spans="1:7" ht="15" customHeight="1">
      <c r="A33" s="339">
        <v>21</v>
      </c>
      <c r="B33" s="11" t="s">
        <v>129</v>
      </c>
      <c r="C33" s="549">
        <v>5.0474461513308665E-2</v>
      </c>
      <c r="D33" s="550">
        <v>5.4881063425804739E-2</v>
      </c>
      <c r="E33" s="550">
        <v>5.6147245315285484E-2</v>
      </c>
      <c r="F33" s="550">
        <v>5.7093094356388562E-2</v>
      </c>
      <c r="G33" s="551">
        <v>5.9114703239570507E-2</v>
      </c>
    </row>
    <row r="34" spans="1:7" ht="15">
      <c r="A34" s="339">
        <v>22</v>
      </c>
      <c r="B34" s="11" t="s">
        <v>128</v>
      </c>
      <c r="C34" s="549">
        <v>0.54831104305934319</v>
      </c>
      <c r="D34" s="550">
        <v>0.56253793200296776</v>
      </c>
      <c r="E34" s="550">
        <v>0.59519210904633968</v>
      </c>
      <c r="F34" s="550">
        <v>0.63156852259791352</v>
      </c>
      <c r="G34" s="551">
        <v>0.62863848087919993</v>
      </c>
    </row>
    <row r="35" spans="1:7" ht="15" customHeight="1">
      <c r="A35" s="339">
        <v>23</v>
      </c>
      <c r="B35" s="11" t="s">
        <v>127</v>
      </c>
      <c r="C35" s="549">
        <v>0.52256613429798482</v>
      </c>
      <c r="D35" s="550">
        <v>0.53907638258451596</v>
      </c>
      <c r="E35" s="550">
        <v>0.55583691322547357</v>
      </c>
      <c r="F35" s="550">
        <v>0.61179124082426106</v>
      </c>
      <c r="G35" s="551">
        <v>0.59865468832544499</v>
      </c>
    </row>
    <row r="36" spans="1:7" ht="15">
      <c r="A36" s="339">
        <v>24</v>
      </c>
      <c r="B36" s="11" t="s">
        <v>126</v>
      </c>
      <c r="C36" s="549">
        <v>4.8954349786696126E-2</v>
      </c>
      <c r="D36" s="550">
        <v>6.6499750621765831E-3</v>
      </c>
      <c r="E36" s="550">
        <v>2.4399238775824207E-2</v>
      </c>
      <c r="F36" s="550">
        <v>4.2016232781066878E-2</v>
      </c>
      <c r="G36" s="551">
        <v>0.20099905280552549</v>
      </c>
    </row>
    <row r="37" spans="1:7" ht="15" customHeight="1">
      <c r="A37" s="10"/>
      <c r="B37" s="172" t="s">
        <v>352</v>
      </c>
      <c r="C37" s="239"/>
      <c r="D37" s="239"/>
      <c r="E37" s="239"/>
      <c r="F37" s="239"/>
      <c r="G37" s="428"/>
    </row>
    <row r="38" spans="1:7" ht="15" customHeight="1">
      <c r="A38" s="339">
        <v>25</v>
      </c>
      <c r="B38" s="11" t="s">
        <v>125</v>
      </c>
      <c r="C38" s="549">
        <v>0.19024479559002699</v>
      </c>
      <c r="D38" s="549">
        <v>0.22084150666972671</v>
      </c>
      <c r="E38" s="549">
        <v>0.20821737052630823</v>
      </c>
      <c r="F38" s="549">
        <v>0.2216475924158256</v>
      </c>
      <c r="G38" s="552">
        <v>0.20569996122821141</v>
      </c>
    </row>
    <row r="39" spans="1:7" ht="15" customHeight="1">
      <c r="A39" s="339">
        <v>26</v>
      </c>
      <c r="B39" s="11" t="s">
        <v>124</v>
      </c>
      <c r="C39" s="549">
        <v>0.59388580922853151</v>
      </c>
      <c r="D39" s="549">
        <v>0.59417310265790146</v>
      </c>
      <c r="E39" s="549">
        <v>0.61261553221846121</v>
      </c>
      <c r="F39" s="549">
        <v>0.67300940590410796</v>
      </c>
      <c r="G39" s="552">
        <v>0.65864963141201838</v>
      </c>
    </row>
    <row r="40" spans="1:7" ht="15" customHeight="1">
      <c r="A40" s="339">
        <v>27</v>
      </c>
      <c r="B40" s="11" t="s">
        <v>123</v>
      </c>
      <c r="C40" s="549">
        <v>0.3595499817004702</v>
      </c>
      <c r="D40" s="549">
        <v>0.34842923736870068</v>
      </c>
      <c r="E40" s="549">
        <v>0.35948163206570921</v>
      </c>
      <c r="F40" s="549">
        <v>0.38331218429686859</v>
      </c>
      <c r="G40" s="552">
        <v>0.3676450180463407</v>
      </c>
    </row>
    <row r="41" spans="1:7" ht="15" customHeight="1">
      <c r="A41" s="340"/>
      <c r="B41" s="172" t="s">
        <v>395</v>
      </c>
      <c r="C41" s="239"/>
      <c r="D41" s="239"/>
      <c r="E41" s="239"/>
      <c r="F41" s="239"/>
      <c r="G41" s="428"/>
    </row>
    <row r="42" spans="1:7" ht="15">
      <c r="A42" s="339">
        <v>28</v>
      </c>
      <c r="B42" s="11" t="s">
        <v>378</v>
      </c>
      <c r="C42" s="553">
        <v>269668116.44944865</v>
      </c>
      <c r="D42" s="553">
        <v>289264032.8139711</v>
      </c>
      <c r="E42" s="553">
        <v>241639004.83403173</v>
      </c>
      <c r="F42" s="553">
        <v>220354395.05208892</v>
      </c>
      <c r="G42" s="554">
        <v>233178657.76290429</v>
      </c>
    </row>
    <row r="43" spans="1:7" ht="15" customHeight="1">
      <c r="A43" s="339">
        <v>29</v>
      </c>
      <c r="B43" s="11" t="s">
        <v>390</v>
      </c>
      <c r="C43" s="553">
        <v>214239102.67260239</v>
      </c>
      <c r="D43" s="555">
        <v>240778295.8594408</v>
      </c>
      <c r="E43" s="555">
        <v>193745939.50013483</v>
      </c>
      <c r="F43" s="555">
        <v>160867671.24180427</v>
      </c>
      <c r="G43" s="556">
        <v>156134617.9647122</v>
      </c>
    </row>
    <row r="44" spans="1:7" ht="15" customHeight="1">
      <c r="A44" s="371">
        <v>30</v>
      </c>
      <c r="B44" s="372" t="s">
        <v>379</v>
      </c>
      <c r="C44" s="549">
        <v>1.2587250090453945</v>
      </c>
      <c r="D44" s="549">
        <v>1.2013708784733439</v>
      </c>
      <c r="E44" s="549">
        <v>1.2471951951997609</v>
      </c>
      <c r="F44" s="549">
        <v>1.3697866908315508</v>
      </c>
      <c r="G44" s="552">
        <v>1.4934462376281263</v>
      </c>
    </row>
    <row r="45" spans="1:7" ht="15" customHeight="1">
      <c r="A45" s="371"/>
      <c r="B45" s="172" t="s">
        <v>497</v>
      </c>
      <c r="C45" s="239"/>
      <c r="D45" s="239"/>
      <c r="E45" s="239"/>
      <c r="F45" s="239"/>
      <c r="G45" s="428"/>
    </row>
    <row r="46" spans="1:7" ht="15" customHeight="1">
      <c r="A46" s="371">
        <v>31</v>
      </c>
      <c r="B46" s="372" t="s">
        <v>504</v>
      </c>
      <c r="C46" s="557">
        <v>880992061.38761473</v>
      </c>
      <c r="D46" s="558">
        <v>859381553.06921077</v>
      </c>
      <c r="E46" s="558">
        <v>863149939.6906848</v>
      </c>
      <c r="F46" s="558">
        <v>853169392.72288966</v>
      </c>
      <c r="G46" s="559">
        <v>828136009.79051459</v>
      </c>
    </row>
    <row r="47" spans="1:7" ht="15" customHeight="1">
      <c r="A47" s="371">
        <v>32</v>
      </c>
      <c r="B47" s="372" t="s">
        <v>519</v>
      </c>
      <c r="C47" s="557">
        <v>692488034.19852245</v>
      </c>
      <c r="D47" s="558">
        <v>668514503.70425463</v>
      </c>
      <c r="E47" s="558">
        <v>679319083.87367308</v>
      </c>
      <c r="F47" s="558">
        <v>687992796.82591188</v>
      </c>
      <c r="G47" s="559">
        <v>685096938.77183557</v>
      </c>
    </row>
    <row r="48" spans="1:7" ht="15.75" thickBot="1">
      <c r="A48" s="341">
        <v>33</v>
      </c>
      <c r="B48" s="174" t="s">
        <v>537</v>
      </c>
      <c r="C48" s="560">
        <v>1.2722126851004214</v>
      </c>
      <c r="D48" s="561">
        <v>1.2855092123018383</v>
      </c>
      <c r="E48" s="561">
        <v>1.2087866153293625</v>
      </c>
      <c r="F48" s="561">
        <v>1.1924066597142136</v>
      </c>
      <c r="G48" s="562">
        <v>1.2136403845543222</v>
      </c>
    </row>
    <row r="49" spans="1:2">
      <c r="A49" s="12"/>
    </row>
    <row r="50" spans="1:2" ht="38.25">
      <c r="B50" s="232" t="s">
        <v>479</v>
      </c>
    </row>
    <row r="51" spans="1:2" ht="51">
      <c r="B51" s="232" t="s">
        <v>394</v>
      </c>
    </row>
    <row r="53" spans="1:2">
      <c r="B53" s="2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381" bestFit="1" customWidth="1"/>
    <col min="2" max="2" width="105.140625" style="381" bestFit="1" customWidth="1"/>
    <col min="3" max="4" width="12.5703125" style="381" bestFit="1" customWidth="1"/>
    <col min="5" max="5" width="15.42578125" style="381" bestFit="1" customWidth="1"/>
    <col min="6" max="6" width="12.5703125" style="381" bestFit="1" customWidth="1"/>
    <col min="7" max="7" width="16.7109375" style="381" bestFit="1" customWidth="1"/>
    <col min="8" max="8" width="14.28515625" style="381" bestFit="1" customWidth="1"/>
    <col min="9" max="16384" width="9.140625" style="381"/>
  </cols>
  <sheetData>
    <row r="1" spans="1:8">
      <c r="A1" s="373" t="s">
        <v>30</v>
      </c>
      <c r="B1" s="381" t="str">
        <f>'16. NSFR'!B1</f>
        <v>Terabank</v>
      </c>
    </row>
    <row r="2" spans="1:8" ht="13.5">
      <c r="A2" s="373" t="s">
        <v>31</v>
      </c>
      <c r="B2" s="406">
        <f>'1. key ratios '!B2</f>
        <v>44561</v>
      </c>
    </row>
    <row r="3" spans="1:8">
      <c r="A3" s="374" t="s">
        <v>544</v>
      </c>
    </row>
    <row r="5" spans="1:8" ht="15" customHeight="1">
      <c r="A5" s="669" t="s">
        <v>545</v>
      </c>
      <c r="B5" s="670"/>
      <c r="C5" s="675" t="s">
        <v>546</v>
      </c>
      <c r="D5" s="676"/>
      <c r="E5" s="676"/>
      <c r="F5" s="676"/>
      <c r="G5" s="676"/>
      <c r="H5" s="677"/>
    </row>
    <row r="6" spans="1:8">
      <c r="A6" s="671"/>
      <c r="B6" s="672"/>
      <c r="C6" s="678"/>
      <c r="D6" s="679"/>
      <c r="E6" s="679"/>
      <c r="F6" s="679"/>
      <c r="G6" s="679"/>
      <c r="H6" s="680"/>
    </row>
    <row r="7" spans="1:8">
      <c r="A7" s="673"/>
      <c r="B7" s="674"/>
      <c r="C7" s="403" t="s">
        <v>547</v>
      </c>
      <c r="D7" s="403" t="s">
        <v>548</v>
      </c>
      <c r="E7" s="403" t="s">
        <v>549</v>
      </c>
      <c r="F7" s="403" t="s">
        <v>550</v>
      </c>
      <c r="G7" s="403" t="s">
        <v>551</v>
      </c>
      <c r="H7" s="403" t="s">
        <v>109</v>
      </c>
    </row>
    <row r="8" spans="1:8">
      <c r="A8" s="376">
        <v>1</v>
      </c>
      <c r="B8" s="375" t="s">
        <v>96</v>
      </c>
      <c r="C8" s="530">
        <v>169284322.28</v>
      </c>
      <c r="D8" s="530">
        <v>53972096.710000001</v>
      </c>
      <c r="E8" s="530">
        <v>59690647.93</v>
      </c>
      <c r="F8" s="530">
        <v>10790000</v>
      </c>
      <c r="G8" s="530">
        <v>0</v>
      </c>
      <c r="H8" s="530">
        <f>SUM(C8:G8)</f>
        <v>293737066.92000002</v>
      </c>
    </row>
    <row r="9" spans="1:8">
      <c r="A9" s="376">
        <v>2</v>
      </c>
      <c r="B9" s="375" t="s">
        <v>97</v>
      </c>
      <c r="C9" s="530">
        <v>0</v>
      </c>
      <c r="D9" s="530">
        <v>0</v>
      </c>
      <c r="E9" s="530">
        <v>0</v>
      </c>
      <c r="F9" s="530">
        <v>0</v>
      </c>
      <c r="G9" s="530">
        <v>0</v>
      </c>
      <c r="H9" s="530">
        <f t="shared" ref="H9:H21" si="0">SUM(C9:G9)</f>
        <v>0</v>
      </c>
    </row>
    <row r="10" spans="1:8">
      <c r="A10" s="376">
        <v>3</v>
      </c>
      <c r="B10" s="375" t="s">
        <v>269</v>
      </c>
      <c r="C10" s="530">
        <v>0</v>
      </c>
      <c r="D10" s="530">
        <v>0</v>
      </c>
      <c r="E10" s="530">
        <v>0</v>
      </c>
      <c r="F10" s="530">
        <v>0</v>
      </c>
      <c r="G10" s="530">
        <v>0</v>
      </c>
      <c r="H10" s="530">
        <f t="shared" si="0"/>
        <v>0</v>
      </c>
    </row>
    <row r="11" spans="1:8">
      <c r="A11" s="376">
        <v>4</v>
      </c>
      <c r="B11" s="375" t="s">
        <v>98</v>
      </c>
      <c r="C11" s="530">
        <v>0</v>
      </c>
      <c r="D11" s="530">
        <v>0</v>
      </c>
      <c r="E11" s="530">
        <v>0</v>
      </c>
      <c r="F11" s="530">
        <v>0</v>
      </c>
      <c r="G11" s="530">
        <v>0</v>
      </c>
      <c r="H11" s="530">
        <f t="shared" si="0"/>
        <v>0</v>
      </c>
    </row>
    <row r="12" spans="1:8">
      <c r="A12" s="376">
        <v>5</v>
      </c>
      <c r="B12" s="375" t="s">
        <v>99</v>
      </c>
      <c r="C12" s="530">
        <v>0</v>
      </c>
      <c r="D12" s="530">
        <v>0</v>
      </c>
      <c r="E12" s="530">
        <v>0</v>
      </c>
      <c r="F12" s="530">
        <v>0</v>
      </c>
      <c r="G12" s="530">
        <v>0</v>
      </c>
      <c r="H12" s="530">
        <f t="shared" si="0"/>
        <v>0</v>
      </c>
    </row>
    <row r="13" spans="1:8">
      <c r="A13" s="376">
        <v>6</v>
      </c>
      <c r="B13" s="375" t="s">
        <v>100</v>
      </c>
      <c r="C13" s="530">
        <v>24184960.00999999</v>
      </c>
      <c r="D13" s="530">
        <v>0</v>
      </c>
      <c r="E13" s="530">
        <v>0</v>
      </c>
      <c r="F13" s="530">
        <v>3586195.48</v>
      </c>
      <c r="G13" s="530">
        <v>0</v>
      </c>
      <c r="H13" s="530">
        <f t="shared" si="0"/>
        <v>27771155.489999991</v>
      </c>
    </row>
    <row r="14" spans="1:8">
      <c r="A14" s="376">
        <v>7</v>
      </c>
      <c r="B14" s="375" t="s">
        <v>101</v>
      </c>
      <c r="C14" s="530">
        <v>0</v>
      </c>
      <c r="D14" s="530">
        <v>110716188.49238366</v>
      </c>
      <c r="E14" s="530">
        <v>131245728.41200592</v>
      </c>
      <c r="F14" s="530">
        <v>260149991.48406205</v>
      </c>
      <c r="G14" s="530">
        <v>5237654.2321220357</v>
      </c>
      <c r="H14" s="530">
        <f t="shared" si="0"/>
        <v>507349562.62057364</v>
      </c>
    </row>
    <row r="15" spans="1:8">
      <c r="A15" s="376">
        <v>8</v>
      </c>
      <c r="B15" s="375" t="s">
        <v>102</v>
      </c>
      <c r="C15" s="530">
        <v>0</v>
      </c>
      <c r="D15" s="530">
        <v>19424814.034537964</v>
      </c>
      <c r="E15" s="530">
        <v>130448688.77487825</v>
      </c>
      <c r="F15" s="530">
        <v>140537387.93403697</v>
      </c>
      <c r="G15" s="530">
        <v>316003.07525362907</v>
      </c>
      <c r="H15" s="530">
        <f t="shared" si="0"/>
        <v>290726893.81870675</v>
      </c>
    </row>
    <row r="16" spans="1:8">
      <c r="A16" s="376">
        <v>9</v>
      </c>
      <c r="B16" s="375" t="s">
        <v>103</v>
      </c>
      <c r="C16" s="530">
        <v>0</v>
      </c>
      <c r="D16" s="530">
        <v>4697445.4935898641</v>
      </c>
      <c r="E16" s="530">
        <v>35473129.426817924</v>
      </c>
      <c r="F16" s="530">
        <v>71842852.594776019</v>
      </c>
      <c r="G16" s="530">
        <v>0</v>
      </c>
      <c r="H16" s="530">
        <f t="shared" si="0"/>
        <v>112013427.51518381</v>
      </c>
    </row>
    <row r="17" spans="1:8">
      <c r="A17" s="376">
        <v>10</v>
      </c>
      <c r="B17" s="407" t="s">
        <v>563</v>
      </c>
      <c r="C17" s="530">
        <v>0</v>
      </c>
      <c r="D17" s="530">
        <v>426970.163329534</v>
      </c>
      <c r="E17" s="530">
        <v>1770548.797591028</v>
      </c>
      <c r="F17" s="530">
        <v>3832748.1365433745</v>
      </c>
      <c r="G17" s="530">
        <v>794604.10764620046</v>
      </c>
      <c r="H17" s="530">
        <f t="shared" si="0"/>
        <v>6824871.2051101374</v>
      </c>
    </row>
    <row r="18" spans="1:8">
      <c r="A18" s="376">
        <v>11</v>
      </c>
      <c r="B18" s="375" t="s">
        <v>105</v>
      </c>
      <c r="C18" s="530">
        <v>0</v>
      </c>
      <c r="D18" s="530">
        <v>2594796.0124166925</v>
      </c>
      <c r="E18" s="530">
        <v>10681256.378580494</v>
      </c>
      <c r="F18" s="530">
        <v>32128677.222447135</v>
      </c>
      <c r="G18" s="530">
        <v>1239.2420903961977</v>
      </c>
      <c r="H18" s="530">
        <f t="shared" si="0"/>
        <v>45405968.855534717</v>
      </c>
    </row>
    <row r="19" spans="1:8">
      <c r="A19" s="376">
        <v>12</v>
      </c>
      <c r="B19" s="375" t="s">
        <v>106</v>
      </c>
      <c r="C19" s="530">
        <v>0</v>
      </c>
      <c r="D19" s="530">
        <v>0</v>
      </c>
      <c r="E19" s="530">
        <v>0</v>
      </c>
      <c r="F19" s="530">
        <v>0</v>
      </c>
      <c r="G19" s="530">
        <v>0</v>
      </c>
      <c r="H19" s="530">
        <f t="shared" si="0"/>
        <v>0</v>
      </c>
    </row>
    <row r="20" spans="1:8">
      <c r="A20" s="376">
        <v>13</v>
      </c>
      <c r="B20" s="375" t="s">
        <v>247</v>
      </c>
      <c r="C20" s="530">
        <v>0</v>
      </c>
      <c r="D20" s="530">
        <v>0</v>
      </c>
      <c r="E20" s="530">
        <v>0</v>
      </c>
      <c r="F20" s="530">
        <v>0</v>
      </c>
      <c r="G20" s="530">
        <v>0</v>
      </c>
      <c r="H20" s="530">
        <f t="shared" si="0"/>
        <v>0</v>
      </c>
    </row>
    <row r="21" spans="1:8">
      <c r="A21" s="376">
        <v>14</v>
      </c>
      <c r="B21" s="375" t="s">
        <v>108</v>
      </c>
      <c r="C21" s="530">
        <v>33246010.869999994</v>
      </c>
      <c r="D21" s="530">
        <v>0</v>
      </c>
      <c r="E21" s="530">
        <v>0</v>
      </c>
      <c r="F21" s="530">
        <v>6663469.0930000003</v>
      </c>
      <c r="G21" s="530">
        <v>26702000.759999983</v>
      </c>
      <c r="H21" s="530">
        <f t="shared" si="0"/>
        <v>66611480.722999975</v>
      </c>
    </row>
    <row r="22" spans="1:8">
      <c r="A22" s="377">
        <v>15</v>
      </c>
      <c r="B22" s="383" t="s">
        <v>109</v>
      </c>
      <c r="C22" s="530">
        <f>SUM(C18:C21)+SUM(C8:C16)</f>
        <v>226715293.16</v>
      </c>
      <c r="D22" s="530">
        <f t="shared" ref="D22:G22" si="1">SUM(D18:D21)+SUM(D8:D16)</f>
        <v>191405340.74292821</v>
      </c>
      <c r="E22" s="530">
        <f t="shared" si="1"/>
        <v>367539450.92228264</v>
      </c>
      <c r="F22" s="530">
        <f t="shared" si="1"/>
        <v>525698573.80832219</v>
      </c>
      <c r="G22" s="530">
        <f t="shared" si="1"/>
        <v>32256897.309466045</v>
      </c>
      <c r="H22" s="530">
        <f>SUM(H18:H21)+SUM(H8:H16)</f>
        <v>1343615555.9429989</v>
      </c>
    </row>
    <row r="26" spans="1:8" ht="25.5">
      <c r="B26" s="408"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C7" sqref="C7:I23"/>
    </sheetView>
  </sheetViews>
  <sheetFormatPr defaultColWidth="9.140625" defaultRowHeight="12.75"/>
  <cols>
    <col min="1" max="1" width="11.85546875" style="409" bestFit="1" customWidth="1"/>
    <col min="2" max="2" width="114.7109375" style="381" customWidth="1"/>
    <col min="3" max="3" width="22.42578125" style="381" customWidth="1"/>
    <col min="4" max="4" width="23.5703125" style="381" customWidth="1"/>
    <col min="5" max="8" width="22.140625" style="381" customWidth="1"/>
    <col min="9" max="9" width="41.42578125" style="381" customWidth="1"/>
    <col min="10" max="16384" width="9.140625" style="381"/>
  </cols>
  <sheetData>
    <row r="1" spans="1:9">
      <c r="A1" s="373" t="s">
        <v>30</v>
      </c>
      <c r="B1" s="381" t="str">
        <f>'16. NSFR'!B1</f>
        <v>Terabank</v>
      </c>
    </row>
    <row r="2" spans="1:9" ht="13.5">
      <c r="A2" s="373" t="s">
        <v>31</v>
      </c>
      <c r="B2" s="406">
        <f>'1. key ratios '!B2</f>
        <v>44561</v>
      </c>
    </row>
    <row r="3" spans="1:9">
      <c r="A3" s="374" t="s">
        <v>552</v>
      </c>
    </row>
    <row r="4" spans="1:9">
      <c r="C4" s="410" t="s">
        <v>0</v>
      </c>
      <c r="D4" s="410" t="s">
        <v>1</v>
      </c>
      <c r="E4" s="410" t="s">
        <v>2</v>
      </c>
      <c r="F4" s="410" t="s">
        <v>3</v>
      </c>
      <c r="G4" s="410" t="s">
        <v>4</v>
      </c>
      <c r="H4" s="410" t="s">
        <v>5</v>
      </c>
      <c r="I4" s="410" t="s">
        <v>8</v>
      </c>
    </row>
    <row r="5" spans="1:9" ht="44.25" customHeight="1">
      <c r="A5" s="669" t="s">
        <v>553</v>
      </c>
      <c r="B5" s="670"/>
      <c r="C5" s="683" t="s">
        <v>554</v>
      </c>
      <c r="D5" s="683"/>
      <c r="E5" s="683" t="s">
        <v>555</v>
      </c>
      <c r="F5" s="683" t="s">
        <v>556</v>
      </c>
      <c r="G5" s="681" t="s">
        <v>557</v>
      </c>
      <c r="H5" s="681" t="s">
        <v>558</v>
      </c>
      <c r="I5" s="411" t="s">
        <v>559</v>
      </c>
    </row>
    <row r="6" spans="1:9" ht="60" customHeight="1">
      <c r="A6" s="673"/>
      <c r="B6" s="674"/>
      <c r="C6" s="399" t="s">
        <v>560</v>
      </c>
      <c r="D6" s="399" t="s">
        <v>561</v>
      </c>
      <c r="E6" s="683"/>
      <c r="F6" s="683"/>
      <c r="G6" s="682"/>
      <c r="H6" s="682"/>
      <c r="I6" s="411" t="s">
        <v>562</v>
      </c>
    </row>
    <row r="7" spans="1:9">
      <c r="A7" s="379">
        <v>1</v>
      </c>
      <c r="B7" s="375" t="s">
        <v>96</v>
      </c>
      <c r="C7" s="531">
        <v>0</v>
      </c>
      <c r="D7" s="531">
        <v>293737066.91999996</v>
      </c>
      <c r="E7" s="531">
        <v>0</v>
      </c>
      <c r="F7" s="531">
        <v>0</v>
      </c>
      <c r="G7" s="531">
        <v>0</v>
      </c>
      <c r="H7" s="531">
        <v>0</v>
      </c>
      <c r="I7" s="604">
        <f t="shared" ref="I7:I23" si="0">C7+D7-E7-F7-G7</f>
        <v>293737066.91999996</v>
      </c>
    </row>
    <row r="8" spans="1:9">
      <c r="A8" s="379">
        <v>2</v>
      </c>
      <c r="B8" s="375" t="s">
        <v>97</v>
      </c>
      <c r="C8" s="531">
        <v>0</v>
      </c>
      <c r="D8" s="531">
        <v>0</v>
      </c>
      <c r="E8" s="531">
        <v>0</v>
      </c>
      <c r="F8" s="531">
        <v>0</v>
      </c>
      <c r="G8" s="531">
        <v>0</v>
      </c>
      <c r="H8" s="531">
        <v>0</v>
      </c>
      <c r="I8" s="604">
        <f t="shared" si="0"/>
        <v>0</v>
      </c>
    </row>
    <row r="9" spans="1:9">
      <c r="A9" s="379">
        <v>3</v>
      </c>
      <c r="B9" s="375" t="s">
        <v>269</v>
      </c>
      <c r="C9" s="531">
        <v>0</v>
      </c>
      <c r="D9" s="531">
        <v>0</v>
      </c>
      <c r="E9" s="531">
        <v>0</v>
      </c>
      <c r="F9" s="531">
        <v>0</v>
      </c>
      <c r="G9" s="531">
        <v>0</v>
      </c>
      <c r="H9" s="531">
        <v>0</v>
      </c>
      <c r="I9" s="604">
        <f t="shared" si="0"/>
        <v>0</v>
      </c>
    </row>
    <row r="10" spans="1:9">
      <c r="A10" s="379">
        <v>4</v>
      </c>
      <c r="B10" s="375" t="s">
        <v>98</v>
      </c>
      <c r="C10" s="531">
        <v>0</v>
      </c>
      <c r="D10" s="531">
        <v>0</v>
      </c>
      <c r="E10" s="531">
        <v>0</v>
      </c>
      <c r="F10" s="531">
        <v>0</v>
      </c>
      <c r="G10" s="531">
        <v>0</v>
      </c>
      <c r="H10" s="531">
        <v>0</v>
      </c>
      <c r="I10" s="604">
        <f t="shared" si="0"/>
        <v>0</v>
      </c>
    </row>
    <row r="11" spans="1:9">
      <c r="A11" s="379">
        <v>5</v>
      </c>
      <c r="B11" s="375" t="s">
        <v>99</v>
      </c>
      <c r="C11" s="531">
        <v>0</v>
      </c>
      <c r="D11" s="531">
        <v>0</v>
      </c>
      <c r="E11" s="531">
        <v>0</v>
      </c>
      <c r="F11" s="531">
        <v>0</v>
      </c>
      <c r="G11" s="531">
        <v>0</v>
      </c>
      <c r="H11" s="531">
        <v>0</v>
      </c>
      <c r="I11" s="604">
        <f t="shared" si="0"/>
        <v>0</v>
      </c>
    </row>
    <row r="12" spans="1:9">
      <c r="A12" s="379">
        <v>6</v>
      </c>
      <c r="B12" s="375" t="s">
        <v>100</v>
      </c>
      <c r="C12" s="531">
        <v>73063.009999999995</v>
      </c>
      <c r="D12" s="531">
        <v>27771155.489999998</v>
      </c>
      <c r="E12" s="531">
        <v>73063.009999999995</v>
      </c>
      <c r="F12" s="531">
        <v>0</v>
      </c>
      <c r="G12" s="531">
        <v>0</v>
      </c>
      <c r="H12" s="531">
        <v>0</v>
      </c>
      <c r="I12" s="604">
        <f t="shared" si="0"/>
        <v>27771155.489999998</v>
      </c>
    </row>
    <row r="13" spans="1:9">
      <c r="A13" s="379">
        <v>7</v>
      </c>
      <c r="B13" s="375" t="s">
        <v>101</v>
      </c>
      <c r="C13" s="531">
        <v>10299521.417950517</v>
      </c>
      <c r="D13" s="531">
        <v>507082443.44704586</v>
      </c>
      <c r="E13" s="531">
        <v>9914312.2268963307</v>
      </c>
      <c r="F13" s="531">
        <v>8333064.3452658877</v>
      </c>
      <c r="G13" s="531">
        <v>118090.01752628302</v>
      </c>
      <c r="H13" s="531">
        <v>78094.13</v>
      </c>
      <c r="I13" s="604">
        <f t="shared" si="0"/>
        <v>499016498.27530789</v>
      </c>
    </row>
    <row r="14" spans="1:9">
      <c r="A14" s="379">
        <v>8</v>
      </c>
      <c r="B14" s="375" t="s">
        <v>102</v>
      </c>
      <c r="C14" s="531">
        <v>41958640.817075796</v>
      </c>
      <c r="D14" s="531">
        <v>271446899.52447027</v>
      </c>
      <c r="E14" s="531">
        <v>21912254.54696257</v>
      </c>
      <c r="F14" s="531">
        <v>4586429.2675290713</v>
      </c>
      <c r="G14" s="531">
        <v>766391.97587456659</v>
      </c>
      <c r="H14" s="531">
        <v>502829.03999999992</v>
      </c>
      <c r="I14" s="604">
        <f t="shared" si="0"/>
        <v>286140464.55117989</v>
      </c>
    </row>
    <row r="15" spans="1:9">
      <c r="A15" s="379">
        <v>9</v>
      </c>
      <c r="B15" s="375" t="s">
        <v>103</v>
      </c>
      <c r="C15" s="531">
        <v>5703837.3949751807</v>
      </c>
      <c r="D15" s="531">
        <v>106644119.99634998</v>
      </c>
      <c r="E15" s="531">
        <v>334529.87614132522</v>
      </c>
      <c r="F15" s="531">
        <v>1905738.6725623512</v>
      </c>
      <c r="G15" s="531">
        <v>0</v>
      </c>
      <c r="H15" s="531">
        <v>0</v>
      </c>
      <c r="I15" s="604">
        <f t="shared" si="0"/>
        <v>110107688.84262149</v>
      </c>
    </row>
    <row r="16" spans="1:9">
      <c r="A16" s="379">
        <v>10</v>
      </c>
      <c r="B16" s="407" t="s">
        <v>563</v>
      </c>
      <c r="C16" s="531">
        <v>6739816.8599999966</v>
      </c>
      <c r="D16" s="531">
        <v>0</v>
      </c>
      <c r="E16" s="531">
        <v>6739816.8599999966</v>
      </c>
      <c r="F16" s="531">
        <v>0</v>
      </c>
      <c r="G16" s="531">
        <v>0</v>
      </c>
      <c r="H16" s="531">
        <v>526790.13</v>
      </c>
      <c r="I16" s="604">
        <f t="shared" si="0"/>
        <v>0</v>
      </c>
    </row>
    <row r="17" spans="1:9">
      <c r="A17" s="379">
        <v>11</v>
      </c>
      <c r="B17" s="375" t="s">
        <v>105</v>
      </c>
      <c r="C17" s="531">
        <v>0</v>
      </c>
      <c r="D17" s="531">
        <v>45839456.452133685</v>
      </c>
      <c r="E17" s="531">
        <v>18867.59</v>
      </c>
      <c r="F17" s="531">
        <v>894145.71464267746</v>
      </c>
      <c r="G17" s="531">
        <v>414620.00659914623</v>
      </c>
      <c r="H17" s="531">
        <v>630.16999999999996</v>
      </c>
      <c r="I17" s="604">
        <f t="shared" si="0"/>
        <v>44511823.140891865</v>
      </c>
    </row>
    <row r="18" spans="1:9">
      <c r="A18" s="379">
        <v>12</v>
      </c>
      <c r="B18" s="375" t="s">
        <v>106</v>
      </c>
      <c r="C18" s="531">
        <v>0</v>
      </c>
      <c r="D18" s="531">
        <v>0</v>
      </c>
      <c r="E18" s="531">
        <v>0</v>
      </c>
      <c r="F18" s="531">
        <v>0</v>
      </c>
      <c r="G18" s="531">
        <v>0</v>
      </c>
      <c r="H18" s="531">
        <v>0</v>
      </c>
      <c r="I18" s="604">
        <f t="shared" si="0"/>
        <v>0</v>
      </c>
    </row>
    <row r="19" spans="1:9">
      <c r="A19" s="379">
        <v>13</v>
      </c>
      <c r="B19" s="375" t="s">
        <v>247</v>
      </c>
      <c r="C19" s="531">
        <v>0</v>
      </c>
      <c r="D19" s="531">
        <v>0</v>
      </c>
      <c r="E19" s="531">
        <v>0</v>
      </c>
      <c r="F19" s="531">
        <v>0</v>
      </c>
      <c r="G19" s="531">
        <v>0</v>
      </c>
      <c r="H19" s="531">
        <v>0</v>
      </c>
      <c r="I19" s="604">
        <f t="shared" si="0"/>
        <v>0</v>
      </c>
    </row>
    <row r="20" spans="1:9">
      <c r="A20" s="379">
        <v>14</v>
      </c>
      <c r="B20" s="375" t="s">
        <v>108</v>
      </c>
      <c r="C20" s="531">
        <v>27873909.529999997</v>
      </c>
      <c r="D20" s="531">
        <v>86868898.334999889</v>
      </c>
      <c r="E20" s="531">
        <v>24726399.184999995</v>
      </c>
      <c r="F20" s="531">
        <v>0</v>
      </c>
      <c r="G20" s="531">
        <v>0</v>
      </c>
      <c r="H20" s="531">
        <v>0</v>
      </c>
      <c r="I20" s="604">
        <f t="shared" si="0"/>
        <v>90016408.679999888</v>
      </c>
    </row>
    <row r="21" spans="1:9" s="412" customFormat="1">
      <c r="A21" s="380">
        <v>15</v>
      </c>
      <c r="B21" s="383" t="s">
        <v>109</v>
      </c>
      <c r="C21" s="530">
        <f>SUM(C7:C15)+SUM(C17:C20)</f>
        <v>85908972.170001492</v>
      </c>
      <c r="D21" s="530">
        <f t="shared" ref="D21:H21" si="1">SUM(D7:D15)+SUM(D17:D20)</f>
        <v>1339390040.165</v>
      </c>
      <c r="E21" s="530">
        <f t="shared" si="1"/>
        <v>56979426.435000226</v>
      </c>
      <c r="F21" s="530">
        <f t="shared" si="1"/>
        <v>15719377.999999987</v>
      </c>
      <c r="G21" s="532">
        <v>1299101.9999999958</v>
      </c>
      <c r="H21" s="530">
        <f t="shared" si="1"/>
        <v>581553.34</v>
      </c>
      <c r="I21" s="604">
        <f t="shared" si="0"/>
        <v>1351301105.9000013</v>
      </c>
    </row>
    <row r="22" spans="1:9">
      <c r="A22" s="413">
        <v>16</v>
      </c>
      <c r="B22" s="414" t="s">
        <v>564</v>
      </c>
      <c r="C22" s="531">
        <v>57961999.630001493</v>
      </c>
      <c r="D22" s="531">
        <v>931012919.41999972</v>
      </c>
      <c r="E22" s="531">
        <v>32179964.240000229</v>
      </c>
      <c r="F22" s="531">
        <v>15619377.999999987</v>
      </c>
      <c r="G22" s="531">
        <v>1299101.9999999958</v>
      </c>
      <c r="H22" s="531">
        <v>581553.33999999973</v>
      </c>
      <c r="I22" s="604">
        <f t="shared" si="0"/>
        <v>939876474.81000102</v>
      </c>
    </row>
    <row r="23" spans="1:9">
      <c r="A23" s="413">
        <v>17</v>
      </c>
      <c r="B23" s="414" t="s">
        <v>565</v>
      </c>
      <c r="C23" s="531">
        <v>0</v>
      </c>
      <c r="D23" s="531">
        <v>125368448.30000001</v>
      </c>
      <c r="E23" s="531">
        <v>0</v>
      </c>
      <c r="F23" s="531">
        <v>100000</v>
      </c>
      <c r="G23" s="531">
        <v>0</v>
      </c>
      <c r="H23" s="531">
        <v>0</v>
      </c>
      <c r="I23" s="604">
        <f t="shared" si="0"/>
        <v>125268448.30000001</v>
      </c>
    </row>
    <row r="26" spans="1:9" ht="25.5">
      <c r="B26" s="408"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workbookViewId="0">
      <selection activeCell="C7" sqref="C7:I34"/>
    </sheetView>
  </sheetViews>
  <sheetFormatPr defaultColWidth="9.140625" defaultRowHeight="12.75"/>
  <cols>
    <col min="1" max="1" width="11" style="381" bestFit="1" customWidth="1"/>
    <col min="2" max="2" width="93.42578125" style="381" customWidth="1"/>
    <col min="3" max="8" width="22" style="381" customWidth="1"/>
    <col min="9" max="9" width="42.28515625" style="381" bestFit="1" customWidth="1"/>
    <col min="10" max="16384" width="9.140625" style="381"/>
  </cols>
  <sheetData>
    <row r="1" spans="1:9">
      <c r="A1" s="373" t="s">
        <v>30</v>
      </c>
      <c r="B1" s="381" t="str">
        <f>'16. NSFR'!B1</f>
        <v>Terabank</v>
      </c>
    </row>
    <row r="2" spans="1:9" ht="13.5">
      <c r="A2" s="373" t="s">
        <v>31</v>
      </c>
      <c r="B2" s="406">
        <f>'1. key ratios '!B2</f>
        <v>44561</v>
      </c>
    </row>
    <row r="3" spans="1:9">
      <c r="A3" s="374" t="s">
        <v>566</v>
      </c>
    </row>
    <row r="4" spans="1:9">
      <c r="C4" s="410" t="s">
        <v>0</v>
      </c>
      <c r="D4" s="410" t="s">
        <v>1</v>
      </c>
      <c r="E4" s="410" t="s">
        <v>2</v>
      </c>
      <c r="F4" s="410" t="s">
        <v>3</v>
      </c>
      <c r="G4" s="410" t="s">
        <v>4</v>
      </c>
      <c r="H4" s="410" t="s">
        <v>5</v>
      </c>
      <c r="I4" s="410" t="s">
        <v>8</v>
      </c>
    </row>
    <row r="5" spans="1:9" ht="46.5" customHeight="1">
      <c r="A5" s="669" t="s">
        <v>707</v>
      </c>
      <c r="B5" s="670"/>
      <c r="C5" s="683" t="s">
        <v>554</v>
      </c>
      <c r="D5" s="683"/>
      <c r="E5" s="683" t="s">
        <v>555</v>
      </c>
      <c r="F5" s="683" t="s">
        <v>556</v>
      </c>
      <c r="G5" s="681" t="s">
        <v>557</v>
      </c>
      <c r="H5" s="681" t="s">
        <v>558</v>
      </c>
      <c r="I5" s="411" t="s">
        <v>559</v>
      </c>
    </row>
    <row r="6" spans="1:9" ht="75" customHeight="1">
      <c r="A6" s="673"/>
      <c r="B6" s="674"/>
      <c r="C6" s="399" t="s">
        <v>560</v>
      </c>
      <c r="D6" s="399" t="s">
        <v>561</v>
      </c>
      <c r="E6" s="683"/>
      <c r="F6" s="683"/>
      <c r="G6" s="682"/>
      <c r="H6" s="682"/>
      <c r="I6" s="411" t="s">
        <v>562</v>
      </c>
    </row>
    <row r="7" spans="1:9">
      <c r="A7" s="378">
        <v>1</v>
      </c>
      <c r="B7" s="382" t="s">
        <v>697</v>
      </c>
      <c r="C7" s="531">
        <v>1723861.9599999997</v>
      </c>
      <c r="D7" s="531">
        <v>360301522.6699999</v>
      </c>
      <c r="E7" s="531">
        <v>1094063.0800000005</v>
      </c>
      <c r="F7" s="531">
        <v>1250342.3699999941</v>
      </c>
      <c r="G7" s="531">
        <v>426352.01572940924</v>
      </c>
      <c r="H7" s="531">
        <v>51598.28</v>
      </c>
      <c r="I7" s="604">
        <f t="shared" ref="I7:I34" si="0">C7+D7-E7-F7-G7</f>
        <v>359254627.16427046</v>
      </c>
    </row>
    <row r="8" spans="1:9">
      <c r="A8" s="378">
        <v>2</v>
      </c>
      <c r="B8" s="382" t="s">
        <v>567</v>
      </c>
      <c r="C8" s="531">
        <v>534909.67999999993</v>
      </c>
      <c r="D8" s="531">
        <v>63183296.600000009</v>
      </c>
      <c r="E8" s="531">
        <v>384248.32000000007</v>
      </c>
      <c r="F8" s="531">
        <v>681304.85000000021</v>
      </c>
      <c r="G8" s="531">
        <v>87626.837991332257</v>
      </c>
      <c r="H8" s="531">
        <v>15993.55</v>
      </c>
      <c r="I8" s="604">
        <f t="shared" si="0"/>
        <v>62565026.272008672</v>
      </c>
    </row>
    <row r="9" spans="1:9">
      <c r="A9" s="378">
        <v>3</v>
      </c>
      <c r="B9" s="382" t="s">
        <v>568</v>
      </c>
      <c r="C9" s="531">
        <v>0</v>
      </c>
      <c r="D9" s="531">
        <v>20479256.550000001</v>
      </c>
      <c r="E9" s="531">
        <v>7722.13</v>
      </c>
      <c r="F9" s="531">
        <v>407106.71</v>
      </c>
      <c r="G9" s="531">
        <v>390.52245270650417</v>
      </c>
      <c r="H9" s="531">
        <v>0</v>
      </c>
      <c r="I9" s="604">
        <f t="shared" si="0"/>
        <v>20064037.187547293</v>
      </c>
    </row>
    <row r="10" spans="1:9">
      <c r="A10" s="378">
        <v>4</v>
      </c>
      <c r="B10" s="382" t="s">
        <v>698</v>
      </c>
      <c r="C10" s="531">
        <v>511141.66000000003</v>
      </c>
      <c r="D10" s="531">
        <v>83331958.310000017</v>
      </c>
      <c r="E10" s="531">
        <v>893428.81999999983</v>
      </c>
      <c r="F10" s="531">
        <v>1471200.3299999994</v>
      </c>
      <c r="G10" s="531">
        <v>31325.211115420418</v>
      </c>
      <c r="H10" s="531">
        <v>0</v>
      </c>
      <c r="I10" s="604">
        <f t="shared" si="0"/>
        <v>81447145.608884603</v>
      </c>
    </row>
    <row r="11" spans="1:9">
      <c r="A11" s="378">
        <v>5</v>
      </c>
      <c r="B11" s="382" t="s">
        <v>569</v>
      </c>
      <c r="C11" s="531">
        <v>7907351.6399999997</v>
      </c>
      <c r="D11" s="531">
        <v>76991545.210000023</v>
      </c>
      <c r="E11" s="531">
        <v>4759003.3999999985</v>
      </c>
      <c r="F11" s="531">
        <v>1131141.54</v>
      </c>
      <c r="G11" s="531">
        <v>34922.358935733726</v>
      </c>
      <c r="H11" s="531">
        <v>350.55</v>
      </c>
      <c r="I11" s="604">
        <f t="shared" si="0"/>
        <v>78973829.551064283</v>
      </c>
    </row>
    <row r="12" spans="1:9">
      <c r="A12" s="378">
        <v>6</v>
      </c>
      <c r="B12" s="382" t="s">
        <v>570</v>
      </c>
      <c r="C12" s="531">
        <v>549170.80000000005</v>
      </c>
      <c r="D12" s="531">
        <v>36595795.080000006</v>
      </c>
      <c r="E12" s="531">
        <v>518394.93</v>
      </c>
      <c r="F12" s="531">
        <v>674922.26000000013</v>
      </c>
      <c r="G12" s="531">
        <v>55173.511025647953</v>
      </c>
      <c r="H12" s="531">
        <v>43653.85</v>
      </c>
      <c r="I12" s="604">
        <f t="shared" si="0"/>
        <v>35896475.17897436</v>
      </c>
    </row>
    <row r="13" spans="1:9">
      <c r="A13" s="378">
        <v>7</v>
      </c>
      <c r="B13" s="382" t="s">
        <v>571</v>
      </c>
      <c r="C13" s="531">
        <v>37989.550000000003</v>
      </c>
      <c r="D13" s="531">
        <v>53434890.619999997</v>
      </c>
      <c r="E13" s="531">
        <v>241334.45</v>
      </c>
      <c r="F13" s="531">
        <v>1018759.76</v>
      </c>
      <c r="G13" s="531">
        <v>1756.6809745517562</v>
      </c>
      <c r="H13" s="531">
        <v>0</v>
      </c>
      <c r="I13" s="604">
        <f t="shared" si="0"/>
        <v>52211029.279025443</v>
      </c>
    </row>
    <row r="14" spans="1:9">
      <c r="A14" s="378">
        <v>8</v>
      </c>
      <c r="B14" s="382" t="s">
        <v>572</v>
      </c>
      <c r="C14" s="531">
        <v>1390560.4799999997</v>
      </c>
      <c r="D14" s="531">
        <v>45286945.080000013</v>
      </c>
      <c r="E14" s="531">
        <v>669922.02000000014</v>
      </c>
      <c r="F14" s="531">
        <v>858698.51999999979</v>
      </c>
      <c r="G14" s="531">
        <v>12966.598267508682</v>
      </c>
      <c r="H14" s="531">
        <v>0</v>
      </c>
      <c r="I14" s="604">
        <f t="shared" si="0"/>
        <v>45135918.421732493</v>
      </c>
    </row>
    <row r="15" spans="1:9">
      <c r="A15" s="378">
        <v>9</v>
      </c>
      <c r="B15" s="382" t="s">
        <v>573</v>
      </c>
      <c r="C15" s="531">
        <v>72163.3</v>
      </c>
      <c r="D15" s="531">
        <v>31599416.010000009</v>
      </c>
      <c r="E15" s="531">
        <v>282003.53999999998</v>
      </c>
      <c r="F15" s="531">
        <v>579050.23999999999</v>
      </c>
      <c r="G15" s="531">
        <v>393.90940709502399</v>
      </c>
      <c r="H15" s="531">
        <v>0</v>
      </c>
      <c r="I15" s="604">
        <f t="shared" si="0"/>
        <v>30810131.620592918</v>
      </c>
    </row>
    <row r="16" spans="1:9">
      <c r="A16" s="378">
        <v>10</v>
      </c>
      <c r="B16" s="382" t="s">
        <v>574</v>
      </c>
      <c r="C16" s="531">
        <v>820989.38</v>
      </c>
      <c r="D16" s="531">
        <v>12562298.070000002</v>
      </c>
      <c r="E16" s="531">
        <v>571956.56000000006</v>
      </c>
      <c r="F16" s="531">
        <v>187856.08000000002</v>
      </c>
      <c r="G16" s="531">
        <v>207.11739063311899</v>
      </c>
      <c r="H16" s="531">
        <v>0</v>
      </c>
      <c r="I16" s="604">
        <f t="shared" si="0"/>
        <v>12623267.69260937</v>
      </c>
    </row>
    <row r="17" spans="1:9">
      <c r="A17" s="378">
        <v>11</v>
      </c>
      <c r="B17" s="382" t="s">
        <v>575</v>
      </c>
      <c r="C17" s="531">
        <v>954677</v>
      </c>
      <c r="D17" s="531">
        <v>6270018.8199999994</v>
      </c>
      <c r="E17" s="531">
        <v>604091.17000000004</v>
      </c>
      <c r="F17" s="531">
        <v>91910.039999999979</v>
      </c>
      <c r="G17" s="531">
        <v>419.08295617294749</v>
      </c>
      <c r="H17" s="531">
        <v>0</v>
      </c>
      <c r="I17" s="604">
        <f t="shared" si="0"/>
        <v>6528275.5270438269</v>
      </c>
    </row>
    <row r="18" spans="1:9">
      <c r="A18" s="378">
        <v>12</v>
      </c>
      <c r="B18" s="382" t="s">
        <v>576</v>
      </c>
      <c r="C18" s="531">
        <v>5853053.9799999995</v>
      </c>
      <c r="D18" s="531">
        <v>64955052.110000029</v>
      </c>
      <c r="E18" s="531">
        <v>3153697.1799999988</v>
      </c>
      <c r="F18" s="531">
        <v>1032458.8600000007</v>
      </c>
      <c r="G18" s="531">
        <v>57931.04552277748</v>
      </c>
      <c r="H18" s="531">
        <v>159569.72</v>
      </c>
      <c r="I18" s="604">
        <f t="shared" si="0"/>
        <v>66564019.004477262</v>
      </c>
    </row>
    <row r="19" spans="1:9">
      <c r="A19" s="378">
        <v>13</v>
      </c>
      <c r="B19" s="382" t="s">
        <v>577</v>
      </c>
      <c r="C19" s="531">
        <v>1536244.87</v>
      </c>
      <c r="D19" s="531">
        <v>14526536.600000001</v>
      </c>
      <c r="E19" s="531">
        <v>683766.66000000015</v>
      </c>
      <c r="F19" s="531">
        <v>266120.62</v>
      </c>
      <c r="G19" s="531">
        <v>10336.113415959613</v>
      </c>
      <c r="H19" s="531">
        <v>0</v>
      </c>
      <c r="I19" s="604">
        <f t="shared" si="0"/>
        <v>15102558.076584043</v>
      </c>
    </row>
    <row r="20" spans="1:9">
      <c r="A20" s="378">
        <v>14</v>
      </c>
      <c r="B20" s="382" t="s">
        <v>578</v>
      </c>
      <c r="C20" s="531">
        <v>12248113.059999999</v>
      </c>
      <c r="D20" s="531">
        <v>76022077.089999974</v>
      </c>
      <c r="E20" s="531">
        <v>5937415.7999999998</v>
      </c>
      <c r="F20" s="531">
        <v>1009067.86</v>
      </c>
      <c r="G20" s="531">
        <v>18349.114653983503</v>
      </c>
      <c r="H20" s="531">
        <v>48754.03</v>
      </c>
      <c r="I20" s="604">
        <f t="shared" si="0"/>
        <v>81305357.37534599</v>
      </c>
    </row>
    <row r="21" spans="1:9">
      <c r="A21" s="378">
        <v>15</v>
      </c>
      <c r="B21" s="382" t="s">
        <v>579</v>
      </c>
      <c r="C21" s="531">
        <v>1144892.8299999998</v>
      </c>
      <c r="D21" s="531">
        <v>29908851.040000003</v>
      </c>
      <c r="E21" s="531">
        <v>1733588.01</v>
      </c>
      <c r="F21" s="531">
        <v>318184.07999999996</v>
      </c>
      <c r="G21" s="531">
        <v>6304.4383359097228</v>
      </c>
      <c r="H21" s="531">
        <v>0</v>
      </c>
      <c r="I21" s="604">
        <f t="shared" si="0"/>
        <v>28995667.341664091</v>
      </c>
    </row>
    <row r="22" spans="1:9">
      <c r="A22" s="378">
        <v>16</v>
      </c>
      <c r="B22" s="382" t="s">
        <v>580</v>
      </c>
      <c r="C22" s="531">
        <v>0</v>
      </c>
      <c r="D22" s="531">
        <v>142545.51999999996</v>
      </c>
      <c r="E22" s="531">
        <v>0</v>
      </c>
      <c r="F22" s="531">
        <v>2825.19</v>
      </c>
      <c r="G22" s="531">
        <v>920.15932612883478</v>
      </c>
      <c r="H22" s="531">
        <v>0</v>
      </c>
      <c r="I22" s="604">
        <f t="shared" si="0"/>
        <v>138800.17067387112</v>
      </c>
    </row>
    <row r="23" spans="1:9">
      <c r="A23" s="378">
        <v>17</v>
      </c>
      <c r="B23" s="382" t="s">
        <v>701</v>
      </c>
      <c r="C23" s="531">
        <v>1788811.63</v>
      </c>
      <c r="D23" s="531">
        <v>3769101.28</v>
      </c>
      <c r="E23" s="531">
        <v>754575.8</v>
      </c>
      <c r="F23" s="531">
        <v>47622.95</v>
      </c>
      <c r="G23" s="531">
        <v>1761.1475593284929</v>
      </c>
      <c r="H23" s="531">
        <v>0</v>
      </c>
      <c r="I23" s="604">
        <f t="shared" si="0"/>
        <v>4753953.0124406712</v>
      </c>
    </row>
    <row r="24" spans="1:9">
      <c r="A24" s="378">
        <v>18</v>
      </c>
      <c r="B24" s="382" t="s">
        <v>581</v>
      </c>
      <c r="C24" s="531">
        <v>0</v>
      </c>
      <c r="D24" s="531">
        <v>21183101.119999997</v>
      </c>
      <c r="E24" s="531">
        <v>0</v>
      </c>
      <c r="F24" s="531">
        <v>374542.58000000007</v>
      </c>
      <c r="G24" s="531">
        <v>4219.398859096149</v>
      </c>
      <c r="H24" s="531">
        <v>0</v>
      </c>
      <c r="I24" s="604">
        <f t="shared" si="0"/>
        <v>20804339.141140904</v>
      </c>
    </row>
    <row r="25" spans="1:9">
      <c r="A25" s="378">
        <v>19</v>
      </c>
      <c r="B25" s="382" t="s">
        <v>582</v>
      </c>
      <c r="C25" s="531">
        <v>24172.12</v>
      </c>
      <c r="D25" s="531">
        <v>8074191.1700000009</v>
      </c>
      <c r="E25" s="531">
        <v>25420.42</v>
      </c>
      <c r="F25" s="531">
        <v>158006.62</v>
      </c>
      <c r="G25" s="531">
        <v>13422.714878009514</v>
      </c>
      <c r="H25" s="531">
        <v>0</v>
      </c>
      <c r="I25" s="604">
        <f t="shared" si="0"/>
        <v>7901513.5351219913</v>
      </c>
    </row>
    <row r="26" spans="1:9">
      <c r="A26" s="378">
        <v>20</v>
      </c>
      <c r="B26" s="382" t="s">
        <v>700</v>
      </c>
      <c r="C26" s="531">
        <v>500640.35000000003</v>
      </c>
      <c r="D26" s="531">
        <v>27355627.690000009</v>
      </c>
      <c r="E26" s="531">
        <v>358681.59000000008</v>
      </c>
      <c r="F26" s="531">
        <v>501023.19999999966</v>
      </c>
      <c r="G26" s="531">
        <v>57883.505893555099</v>
      </c>
      <c r="H26" s="531">
        <v>69617.97</v>
      </c>
      <c r="I26" s="604">
        <f t="shared" si="0"/>
        <v>26938679.744106457</v>
      </c>
    </row>
    <row r="27" spans="1:9">
      <c r="A27" s="378">
        <v>21</v>
      </c>
      <c r="B27" s="382" t="s">
        <v>583</v>
      </c>
      <c r="C27" s="531">
        <v>78244.799999999988</v>
      </c>
      <c r="D27" s="531">
        <v>4928393.87</v>
      </c>
      <c r="E27" s="531">
        <v>55969.81</v>
      </c>
      <c r="F27" s="531">
        <v>93727.56</v>
      </c>
      <c r="G27" s="531">
        <v>5956.1030887658035</v>
      </c>
      <c r="H27" s="531">
        <v>0</v>
      </c>
      <c r="I27" s="604">
        <f t="shared" si="0"/>
        <v>4850985.1969112353</v>
      </c>
    </row>
    <row r="28" spans="1:9">
      <c r="A28" s="378">
        <v>22</v>
      </c>
      <c r="B28" s="382" t="s">
        <v>584</v>
      </c>
      <c r="C28" s="531">
        <v>26358.61</v>
      </c>
      <c r="D28" s="531">
        <v>1632895.03</v>
      </c>
      <c r="E28" s="531">
        <v>91981.5</v>
      </c>
      <c r="F28" s="531">
        <v>17656.620000000003</v>
      </c>
      <c r="G28" s="531">
        <v>5847.0509091156682</v>
      </c>
      <c r="H28" s="531">
        <v>24223.93</v>
      </c>
      <c r="I28" s="604">
        <f t="shared" si="0"/>
        <v>1543768.4690908843</v>
      </c>
    </row>
    <row r="29" spans="1:9">
      <c r="A29" s="378">
        <v>23</v>
      </c>
      <c r="B29" s="382" t="s">
        <v>585</v>
      </c>
      <c r="C29" s="531">
        <v>8738356.3800000027</v>
      </c>
      <c r="D29" s="531">
        <v>58421156.049999997</v>
      </c>
      <c r="E29" s="531">
        <v>4012859.41</v>
      </c>
      <c r="F29" s="531">
        <v>996027.92999999993</v>
      </c>
      <c r="G29" s="531">
        <v>67551.215146445567</v>
      </c>
      <c r="H29" s="531">
        <v>101294.7</v>
      </c>
      <c r="I29" s="604">
        <f t="shared" si="0"/>
        <v>62083073.874853566</v>
      </c>
    </row>
    <row r="30" spans="1:9">
      <c r="A30" s="378">
        <v>24</v>
      </c>
      <c r="B30" s="382" t="s">
        <v>699</v>
      </c>
      <c r="C30" s="531">
        <v>5513367.3599999985</v>
      </c>
      <c r="D30" s="531">
        <v>85107540.21999988</v>
      </c>
      <c r="E30" s="531">
        <v>2744850.85</v>
      </c>
      <c r="F30" s="531">
        <v>1593391.8999999997</v>
      </c>
      <c r="G30" s="531">
        <v>9440.2911761468404</v>
      </c>
      <c r="H30" s="531">
        <v>0</v>
      </c>
      <c r="I30" s="604">
        <f t="shared" si="0"/>
        <v>86273224.538823739</v>
      </c>
    </row>
    <row r="31" spans="1:9">
      <c r="A31" s="378">
        <v>25</v>
      </c>
      <c r="B31" s="382" t="s">
        <v>586</v>
      </c>
      <c r="C31" s="531">
        <v>6079991.0199999996</v>
      </c>
      <c r="D31" s="531">
        <v>66457019.549999863</v>
      </c>
      <c r="E31" s="531">
        <v>2674053.9200000009</v>
      </c>
      <c r="F31" s="531">
        <v>956429.3299999974</v>
      </c>
      <c r="G31" s="531">
        <v>387645.85498856299</v>
      </c>
      <c r="H31" s="531">
        <v>66496.579999999842</v>
      </c>
      <c r="I31" s="604">
        <f t="shared" si="0"/>
        <v>68518881.465011299</v>
      </c>
    </row>
    <row r="32" spans="1:9">
      <c r="A32" s="378">
        <v>26</v>
      </c>
      <c r="B32" s="382" t="s">
        <v>696</v>
      </c>
      <c r="C32" s="531">
        <v>0.18000149726867676</v>
      </c>
      <c r="D32" s="531">
        <v>0</v>
      </c>
      <c r="E32" s="531">
        <v>0.5</v>
      </c>
      <c r="F32" s="531">
        <v>0</v>
      </c>
      <c r="G32" s="531">
        <v>0</v>
      </c>
      <c r="H32" s="531">
        <v>0</v>
      </c>
      <c r="I32" s="604">
        <f t="shared" si="0"/>
        <v>-0.31999850273132324</v>
      </c>
    </row>
    <row r="33" spans="1:9">
      <c r="A33" s="378">
        <v>27</v>
      </c>
      <c r="B33" s="378" t="s">
        <v>587</v>
      </c>
      <c r="C33" s="531">
        <v>27873909.529999997</v>
      </c>
      <c r="D33" s="531">
        <v>86868898.334999889</v>
      </c>
      <c r="E33" s="531">
        <v>24726399.184999995</v>
      </c>
      <c r="F33" s="531">
        <v>0</v>
      </c>
      <c r="G33" s="531">
        <v>0</v>
      </c>
      <c r="H33" s="531">
        <v>0</v>
      </c>
      <c r="I33" s="604">
        <f t="shared" si="0"/>
        <v>90016408.679999888</v>
      </c>
    </row>
    <row r="34" spans="1:9">
      <c r="A34" s="378">
        <v>28</v>
      </c>
      <c r="B34" s="383" t="s">
        <v>109</v>
      </c>
      <c r="C34" s="530">
        <f>SUM(C7:C33)</f>
        <v>85908972.170001492</v>
      </c>
      <c r="D34" s="530">
        <f t="shared" ref="D34:H34" si="1">SUM(D7:D33)</f>
        <v>1339389929.6949997</v>
      </c>
      <c r="E34" s="530">
        <f t="shared" si="1"/>
        <v>56979429.055</v>
      </c>
      <c r="F34" s="530">
        <f t="shared" si="1"/>
        <v>15719377.999999987</v>
      </c>
      <c r="G34" s="531">
        <v>1299101.9999999967</v>
      </c>
      <c r="H34" s="530">
        <f t="shared" si="1"/>
        <v>581553.1599999998</v>
      </c>
      <c r="I34" s="604">
        <f t="shared" si="0"/>
        <v>1351300992.8100011</v>
      </c>
    </row>
    <row r="36" spans="1:9">
      <c r="B36" s="415"/>
    </row>
    <row r="42" spans="1:9">
      <c r="A42" s="412"/>
      <c r="B42" s="412"/>
    </row>
    <row r="43" spans="1:9">
      <c r="A43" s="412"/>
      <c r="B43" s="41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140625" defaultRowHeight="12.75"/>
  <cols>
    <col min="1" max="1" width="11.85546875" style="381" bestFit="1" customWidth="1"/>
    <col min="2" max="2" width="108" style="381" bestFit="1" customWidth="1"/>
    <col min="3" max="4" width="35.5703125" style="381" customWidth="1"/>
    <col min="5" max="16384" width="9.140625" style="381"/>
  </cols>
  <sheetData>
    <row r="1" spans="1:4">
      <c r="A1" s="373" t="s">
        <v>30</v>
      </c>
      <c r="B1" s="381" t="str">
        <f>'16. NSFR'!B1</f>
        <v>Terabank</v>
      </c>
    </row>
    <row r="2" spans="1:4" ht="13.5">
      <c r="A2" s="373" t="s">
        <v>31</v>
      </c>
      <c r="B2" s="406">
        <f>'1. key ratios '!B2</f>
        <v>44561</v>
      </c>
    </row>
    <row r="3" spans="1:4">
      <c r="A3" s="374" t="s">
        <v>588</v>
      </c>
    </row>
    <row r="5" spans="1:4" ht="25.5">
      <c r="A5" s="684" t="s">
        <v>589</v>
      </c>
      <c r="B5" s="684"/>
      <c r="C5" s="403" t="s">
        <v>590</v>
      </c>
      <c r="D5" s="403" t="s">
        <v>591</v>
      </c>
    </row>
    <row r="6" spans="1:4">
      <c r="A6" s="384">
        <v>1</v>
      </c>
      <c r="B6" s="385" t="s">
        <v>592</v>
      </c>
      <c r="C6" s="530">
        <v>51231898.949999884</v>
      </c>
      <c r="D6" s="530">
        <v>100000</v>
      </c>
    </row>
    <row r="7" spans="1:4">
      <c r="A7" s="386">
        <v>2</v>
      </c>
      <c r="B7" s="385" t="s">
        <v>593</v>
      </c>
      <c r="C7" s="530">
        <f>SUM(C8:C11)</f>
        <v>5625594.6188564375</v>
      </c>
      <c r="D7" s="530">
        <f>SUM(D8:D11)</f>
        <v>0</v>
      </c>
    </row>
    <row r="8" spans="1:4">
      <c r="A8" s="386">
        <v>2.1</v>
      </c>
      <c r="B8" s="387" t="s">
        <v>704</v>
      </c>
      <c r="C8" s="531">
        <v>3846086.989174</v>
      </c>
      <c r="D8" s="531">
        <v>0</v>
      </c>
    </row>
    <row r="9" spans="1:4">
      <c r="A9" s="386">
        <v>2.2000000000000002</v>
      </c>
      <c r="B9" s="387" t="s">
        <v>702</v>
      </c>
      <c r="C9" s="531">
        <v>1779507.6296824377</v>
      </c>
      <c r="D9" s="531">
        <v>0</v>
      </c>
    </row>
    <row r="10" spans="1:4">
      <c r="A10" s="386">
        <v>2.2999999999999998</v>
      </c>
      <c r="B10" s="387" t="s">
        <v>594</v>
      </c>
      <c r="C10" s="531">
        <v>0</v>
      </c>
      <c r="D10" s="531">
        <v>0</v>
      </c>
    </row>
    <row r="11" spans="1:4">
      <c r="A11" s="386">
        <v>2.4</v>
      </c>
      <c r="B11" s="387" t="s">
        <v>595</v>
      </c>
      <c r="C11" s="531">
        <v>0</v>
      </c>
      <c r="D11" s="531">
        <v>0</v>
      </c>
    </row>
    <row r="12" spans="1:4">
      <c r="A12" s="384">
        <v>3</v>
      </c>
      <c r="B12" s="385" t="s">
        <v>596</v>
      </c>
      <c r="C12" s="530">
        <f>SUM(C13:C18)</f>
        <v>7759049.3288559988</v>
      </c>
      <c r="D12" s="530">
        <f>SUM(D13:D18)</f>
        <v>0</v>
      </c>
    </row>
    <row r="13" spans="1:4">
      <c r="A13" s="386">
        <v>3.1</v>
      </c>
      <c r="B13" s="387" t="s">
        <v>597</v>
      </c>
      <c r="C13" s="531">
        <v>581553.33999999985</v>
      </c>
      <c r="D13" s="531">
        <v>0</v>
      </c>
    </row>
    <row r="14" spans="1:4">
      <c r="A14" s="386">
        <v>3.2</v>
      </c>
      <c r="B14" s="387" t="s">
        <v>598</v>
      </c>
      <c r="C14" s="531">
        <v>1966103.3486909976</v>
      </c>
      <c r="D14" s="531">
        <v>0</v>
      </c>
    </row>
    <row r="15" spans="1:4">
      <c r="A15" s="386">
        <v>3.3</v>
      </c>
      <c r="B15" s="387" t="s">
        <v>693</v>
      </c>
      <c r="C15" s="531">
        <v>2603235.235965</v>
      </c>
      <c r="D15" s="531">
        <v>0</v>
      </c>
    </row>
    <row r="16" spans="1:4">
      <c r="A16" s="386">
        <v>3.4</v>
      </c>
      <c r="B16" s="387" t="s">
        <v>703</v>
      </c>
      <c r="C16" s="531">
        <v>1986392.245995</v>
      </c>
      <c r="D16" s="531">
        <v>0</v>
      </c>
    </row>
    <row r="17" spans="1:4">
      <c r="A17" s="386">
        <v>3.5</v>
      </c>
      <c r="B17" s="387" t="s">
        <v>599</v>
      </c>
      <c r="C17" s="531">
        <v>621765.15820500045</v>
      </c>
      <c r="D17" s="531">
        <v>0</v>
      </c>
    </row>
    <row r="18" spans="1:4">
      <c r="A18" s="386">
        <v>3.6</v>
      </c>
      <c r="B18" s="387" t="s">
        <v>600</v>
      </c>
      <c r="C18" s="531">
        <v>0</v>
      </c>
      <c r="D18" s="531">
        <v>0</v>
      </c>
    </row>
    <row r="19" spans="1:4">
      <c r="A19" s="388">
        <v>4</v>
      </c>
      <c r="B19" s="385" t="s">
        <v>601</v>
      </c>
      <c r="C19" s="530">
        <f>C6+C7-C12</f>
        <v>49098444.240000322</v>
      </c>
      <c r="D19" s="530">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C19"/>
    </sheetView>
  </sheetViews>
  <sheetFormatPr defaultColWidth="9.140625" defaultRowHeight="12.75"/>
  <cols>
    <col min="1" max="1" width="11.85546875" style="381" bestFit="1" customWidth="1"/>
    <col min="2" max="2" width="124.7109375" style="381" customWidth="1"/>
    <col min="3" max="3" width="31.5703125" style="381" customWidth="1"/>
    <col min="4" max="4" width="39.140625" style="381" customWidth="1"/>
    <col min="5" max="16384" width="9.140625" style="381"/>
  </cols>
  <sheetData>
    <row r="1" spans="1:4">
      <c r="A1" s="373" t="s">
        <v>30</v>
      </c>
      <c r="B1" s="381" t="str">
        <f>'16. NSFR'!B1</f>
        <v>Terabank</v>
      </c>
    </row>
    <row r="2" spans="1:4" ht="13.5">
      <c r="A2" s="373" t="s">
        <v>31</v>
      </c>
      <c r="B2" s="406">
        <f>'1. key ratios '!B2</f>
        <v>44561</v>
      </c>
    </row>
    <row r="3" spans="1:4">
      <c r="A3" s="374" t="s">
        <v>602</v>
      </c>
    </row>
    <row r="4" spans="1:4">
      <c r="A4" s="374"/>
    </row>
    <row r="5" spans="1:4" ht="15" customHeight="1">
      <c r="A5" s="685" t="s">
        <v>705</v>
      </c>
      <c r="B5" s="686"/>
      <c r="C5" s="675" t="s">
        <v>603</v>
      </c>
      <c r="D5" s="689" t="s">
        <v>604</v>
      </c>
    </row>
    <row r="6" spans="1:4">
      <c r="A6" s="687"/>
      <c r="B6" s="688"/>
      <c r="C6" s="678"/>
      <c r="D6" s="689"/>
    </row>
    <row r="7" spans="1:4">
      <c r="A7" s="383">
        <v>1</v>
      </c>
      <c r="B7" s="383" t="s">
        <v>592</v>
      </c>
      <c r="C7" s="530">
        <v>64573828.902499996</v>
      </c>
      <c r="D7" s="426"/>
    </row>
    <row r="8" spans="1:4">
      <c r="A8" s="378">
        <v>2</v>
      </c>
      <c r="B8" s="378" t="s">
        <v>605</v>
      </c>
      <c r="C8" s="531">
        <v>3922252.6199487764</v>
      </c>
      <c r="D8" s="426"/>
    </row>
    <row r="9" spans="1:4">
      <c r="A9" s="378">
        <v>3</v>
      </c>
      <c r="B9" s="389" t="s">
        <v>606</v>
      </c>
      <c r="C9" s="531">
        <v>91710.728117239196</v>
      </c>
      <c r="D9" s="426"/>
    </row>
    <row r="10" spans="1:4">
      <c r="A10" s="378">
        <v>4</v>
      </c>
      <c r="B10" s="378" t="s">
        <v>607</v>
      </c>
      <c r="C10" s="531">
        <f>SUM(C11:C18)</f>
        <v>10625792.30226602</v>
      </c>
      <c r="D10" s="426"/>
    </row>
    <row r="11" spans="1:4">
      <c r="A11" s="378">
        <v>5</v>
      </c>
      <c r="B11" s="390" t="s">
        <v>608</v>
      </c>
      <c r="C11" s="531">
        <v>2948341.6034999997</v>
      </c>
      <c r="D11" s="426"/>
    </row>
    <row r="12" spans="1:4">
      <c r="A12" s="378">
        <v>6</v>
      </c>
      <c r="B12" s="390" t="s">
        <v>609</v>
      </c>
      <c r="C12" s="531">
        <v>1338778</v>
      </c>
      <c r="D12" s="426"/>
    </row>
    <row r="13" spans="1:4">
      <c r="A13" s="378">
        <v>7</v>
      </c>
      <c r="B13" s="390" t="s">
        <v>610</v>
      </c>
      <c r="C13" s="531">
        <v>4895856.4886220181</v>
      </c>
      <c r="D13" s="426"/>
    </row>
    <row r="14" spans="1:4">
      <c r="A14" s="378">
        <v>8</v>
      </c>
      <c r="B14" s="390" t="s">
        <v>611</v>
      </c>
      <c r="C14" s="531">
        <v>0</v>
      </c>
      <c r="D14" s="532">
        <v>0</v>
      </c>
    </row>
    <row r="15" spans="1:4">
      <c r="A15" s="378">
        <v>9</v>
      </c>
      <c r="B15" s="390" t="s">
        <v>612</v>
      </c>
      <c r="C15" s="531">
        <v>0</v>
      </c>
      <c r="D15" s="532">
        <v>0</v>
      </c>
    </row>
    <row r="16" spans="1:4">
      <c r="A16" s="378">
        <v>10</v>
      </c>
      <c r="B16" s="390" t="s">
        <v>613</v>
      </c>
      <c r="C16" s="531">
        <v>579533.75000000023</v>
      </c>
      <c r="D16" s="426"/>
    </row>
    <row r="17" spans="1:4">
      <c r="A17" s="378">
        <v>11</v>
      </c>
      <c r="B17" s="390" t="s">
        <v>614</v>
      </c>
      <c r="C17" s="531">
        <v>0</v>
      </c>
      <c r="D17" s="532">
        <v>0</v>
      </c>
    </row>
    <row r="18" spans="1:4">
      <c r="A18" s="378">
        <v>12</v>
      </c>
      <c r="B18" s="387" t="s">
        <v>710</v>
      </c>
      <c r="C18" s="531">
        <v>863282.46014400234</v>
      </c>
      <c r="D18" s="426"/>
    </row>
    <row r="19" spans="1:4">
      <c r="A19" s="383">
        <v>13</v>
      </c>
      <c r="B19" s="416" t="s">
        <v>601</v>
      </c>
      <c r="C19" s="530">
        <f>C7+C8+C9-C10</f>
        <v>57961999.948300004</v>
      </c>
      <c r="D19" s="427"/>
    </row>
    <row r="22" spans="1:4">
      <c r="B22" s="373"/>
    </row>
    <row r="23" spans="1:4">
      <c r="B23" s="373"/>
    </row>
    <row r="24" spans="1:4">
      <c r="B24" s="37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D11" sqref="D11"/>
    </sheetView>
  </sheetViews>
  <sheetFormatPr defaultColWidth="9.140625" defaultRowHeight="12.75"/>
  <cols>
    <col min="1" max="1" width="11.85546875" style="381" bestFit="1" customWidth="1"/>
    <col min="2" max="2" width="80.7109375" style="381" customWidth="1"/>
    <col min="3" max="3" width="15.5703125" style="381" customWidth="1"/>
    <col min="4" max="5" width="22.28515625" style="381" customWidth="1"/>
    <col min="6" max="6" width="23.42578125" style="381" customWidth="1"/>
    <col min="7" max="14" width="22.28515625" style="381" customWidth="1"/>
    <col min="15" max="15" width="23.28515625" style="381" bestFit="1" customWidth="1"/>
    <col min="16" max="16" width="21.7109375" style="381" bestFit="1" customWidth="1"/>
    <col min="17" max="19" width="19" style="381" bestFit="1" customWidth="1"/>
    <col min="20" max="20" width="16.140625" style="381" customWidth="1"/>
    <col min="21" max="21" width="21" style="381" customWidth="1"/>
    <col min="22" max="22" width="20" style="381" customWidth="1"/>
    <col min="23" max="16384" width="9.140625" style="381"/>
  </cols>
  <sheetData>
    <row r="1" spans="1:22">
      <c r="A1" s="373" t="s">
        <v>30</v>
      </c>
      <c r="B1" s="381" t="str">
        <f>'16. NSFR'!B1</f>
        <v>Terabank</v>
      </c>
    </row>
    <row r="2" spans="1:22" ht="13.5">
      <c r="A2" s="373" t="s">
        <v>31</v>
      </c>
      <c r="B2" s="406">
        <f>'1. key ratios '!B2</f>
        <v>44561</v>
      </c>
      <c r="C2" s="409"/>
    </row>
    <row r="3" spans="1:22">
      <c r="A3" s="374" t="s">
        <v>615</v>
      </c>
    </row>
    <row r="5" spans="1:22" ht="15" customHeight="1">
      <c r="A5" s="675" t="s">
        <v>540</v>
      </c>
      <c r="B5" s="677"/>
      <c r="C5" s="692" t="s">
        <v>616</v>
      </c>
      <c r="D5" s="693"/>
      <c r="E5" s="693"/>
      <c r="F5" s="693"/>
      <c r="G5" s="693"/>
      <c r="H5" s="693"/>
      <c r="I5" s="693"/>
      <c r="J5" s="693"/>
      <c r="K5" s="693"/>
      <c r="L5" s="693"/>
      <c r="M5" s="693"/>
      <c r="N5" s="693"/>
      <c r="O5" s="693"/>
      <c r="P5" s="693"/>
      <c r="Q5" s="693"/>
      <c r="R5" s="693"/>
      <c r="S5" s="693"/>
      <c r="T5" s="693"/>
      <c r="U5" s="694"/>
      <c r="V5" s="417"/>
    </row>
    <row r="6" spans="1:22">
      <c r="A6" s="690"/>
      <c r="B6" s="691"/>
      <c r="C6" s="695" t="s">
        <v>109</v>
      </c>
      <c r="D6" s="697" t="s">
        <v>617</v>
      </c>
      <c r="E6" s="697"/>
      <c r="F6" s="682"/>
      <c r="G6" s="698" t="s">
        <v>618</v>
      </c>
      <c r="H6" s="699"/>
      <c r="I6" s="699"/>
      <c r="J6" s="699"/>
      <c r="K6" s="700"/>
      <c r="L6" s="405"/>
      <c r="M6" s="701" t="s">
        <v>619</v>
      </c>
      <c r="N6" s="701"/>
      <c r="O6" s="682"/>
      <c r="P6" s="682"/>
      <c r="Q6" s="682"/>
      <c r="R6" s="682"/>
      <c r="S6" s="682"/>
      <c r="T6" s="682"/>
      <c r="U6" s="682"/>
      <c r="V6" s="405"/>
    </row>
    <row r="7" spans="1:22" ht="25.5">
      <c r="A7" s="678"/>
      <c r="B7" s="680"/>
      <c r="C7" s="696"/>
      <c r="D7" s="418"/>
      <c r="E7" s="411" t="s">
        <v>620</v>
      </c>
      <c r="F7" s="411" t="s">
        <v>621</v>
      </c>
      <c r="G7" s="409"/>
      <c r="H7" s="411" t="s">
        <v>620</v>
      </c>
      <c r="I7" s="411" t="s">
        <v>622</v>
      </c>
      <c r="J7" s="411" t="s">
        <v>623</v>
      </c>
      <c r="K7" s="411" t="s">
        <v>624</v>
      </c>
      <c r="L7" s="404"/>
      <c r="M7" s="399" t="s">
        <v>625</v>
      </c>
      <c r="N7" s="411" t="s">
        <v>623</v>
      </c>
      <c r="O7" s="411" t="s">
        <v>626</v>
      </c>
      <c r="P7" s="411" t="s">
        <v>627</v>
      </c>
      <c r="Q7" s="411" t="s">
        <v>628</v>
      </c>
      <c r="R7" s="411" t="s">
        <v>629</v>
      </c>
      <c r="S7" s="411" t="s">
        <v>630</v>
      </c>
      <c r="T7" s="419" t="s">
        <v>631</v>
      </c>
      <c r="U7" s="411" t="s">
        <v>632</v>
      </c>
      <c r="V7" s="417"/>
    </row>
    <row r="8" spans="1:22">
      <c r="A8" s="420">
        <v>1</v>
      </c>
      <c r="B8" s="383" t="s">
        <v>633</v>
      </c>
      <c r="C8" s="530">
        <v>972738346.6400013</v>
      </c>
      <c r="D8" s="531">
        <v>806596989.77000046</v>
      </c>
      <c r="E8" s="531">
        <v>21876229.77</v>
      </c>
      <c r="F8" s="531">
        <v>0</v>
      </c>
      <c r="G8" s="531">
        <v>108179357.23999995</v>
      </c>
      <c r="H8" s="531">
        <v>8876263.4700000007</v>
      </c>
      <c r="I8" s="531">
        <v>2859741.1100000003</v>
      </c>
      <c r="J8" s="531">
        <v>2144714.5500000003</v>
      </c>
      <c r="K8" s="531">
        <v>0</v>
      </c>
      <c r="L8" s="531">
        <v>57961999.63000147</v>
      </c>
      <c r="M8" s="531">
        <v>6077996.6699999999</v>
      </c>
      <c r="N8" s="531">
        <v>1833403.94</v>
      </c>
      <c r="O8" s="531">
        <v>2108892.96</v>
      </c>
      <c r="P8" s="531">
        <v>5196576.0000000019</v>
      </c>
      <c r="Q8" s="531">
        <v>4795336.96</v>
      </c>
      <c r="R8" s="531">
        <v>661442.98</v>
      </c>
      <c r="S8" s="531">
        <v>0</v>
      </c>
      <c r="T8" s="531">
        <v>0</v>
      </c>
      <c r="U8" s="531">
        <v>1033174.2500014971</v>
      </c>
    </row>
    <row r="9" spans="1:22">
      <c r="A9" s="378">
        <v>1.1000000000000001</v>
      </c>
      <c r="B9" s="401" t="s">
        <v>634</v>
      </c>
      <c r="C9" s="533"/>
      <c r="D9" s="531"/>
      <c r="E9" s="531"/>
      <c r="F9" s="531"/>
      <c r="G9" s="531"/>
      <c r="H9" s="531"/>
      <c r="I9" s="531"/>
      <c r="J9" s="531"/>
      <c r="K9" s="531"/>
      <c r="L9" s="531"/>
      <c r="M9" s="531"/>
      <c r="N9" s="531"/>
      <c r="O9" s="531"/>
      <c r="P9" s="531"/>
      <c r="Q9" s="531"/>
      <c r="R9" s="531"/>
      <c r="S9" s="531"/>
      <c r="T9" s="531"/>
      <c r="U9" s="531"/>
    </row>
    <row r="10" spans="1:22">
      <c r="A10" s="378">
        <v>1.2</v>
      </c>
      <c r="B10" s="401" t="s">
        <v>635</v>
      </c>
      <c r="C10" s="533"/>
      <c r="D10" s="531"/>
      <c r="E10" s="531"/>
      <c r="F10" s="531"/>
      <c r="G10" s="531"/>
      <c r="H10" s="531"/>
      <c r="I10" s="531"/>
      <c r="J10" s="531"/>
      <c r="K10" s="531"/>
      <c r="L10" s="531"/>
      <c r="M10" s="531"/>
      <c r="N10" s="531"/>
      <c r="O10" s="531"/>
      <c r="P10" s="531"/>
      <c r="Q10" s="531"/>
      <c r="R10" s="531"/>
      <c r="S10" s="531"/>
      <c r="T10" s="531"/>
      <c r="U10" s="531"/>
    </row>
    <row r="11" spans="1:22">
      <c r="A11" s="378">
        <v>1.3</v>
      </c>
      <c r="B11" s="401" t="s">
        <v>636</v>
      </c>
      <c r="C11" s="533"/>
      <c r="D11" s="531"/>
      <c r="E11" s="531"/>
      <c r="F11" s="531"/>
      <c r="G11" s="531"/>
      <c r="H11" s="531"/>
      <c r="I11" s="531"/>
      <c r="J11" s="531"/>
      <c r="K11" s="531"/>
      <c r="L11" s="531"/>
      <c r="M11" s="531"/>
      <c r="N11" s="531"/>
      <c r="O11" s="531"/>
      <c r="P11" s="531"/>
      <c r="Q11" s="531"/>
      <c r="R11" s="531"/>
      <c r="S11" s="531"/>
      <c r="T11" s="531"/>
      <c r="U11" s="531"/>
    </row>
    <row r="12" spans="1:22">
      <c r="A12" s="378">
        <v>1.4</v>
      </c>
      <c r="B12" s="401" t="s">
        <v>637</v>
      </c>
      <c r="C12" s="533">
        <v>36445715.240000002</v>
      </c>
      <c r="D12" s="531">
        <v>36129705.460000008</v>
      </c>
      <c r="E12" s="531">
        <v>0</v>
      </c>
      <c r="F12" s="531">
        <v>0</v>
      </c>
      <c r="G12" s="531">
        <v>77221.31</v>
      </c>
      <c r="H12" s="531">
        <v>77221.31</v>
      </c>
      <c r="I12" s="531">
        <v>0</v>
      </c>
      <c r="J12" s="531">
        <v>0</v>
      </c>
      <c r="K12" s="531">
        <v>0</v>
      </c>
      <c r="L12" s="531">
        <v>238788.47</v>
      </c>
      <c r="M12" s="531">
        <v>0</v>
      </c>
      <c r="N12" s="531">
        <v>0</v>
      </c>
      <c r="O12" s="531">
        <v>0</v>
      </c>
      <c r="P12" s="531">
        <v>57570.54</v>
      </c>
      <c r="Q12" s="531">
        <v>0</v>
      </c>
      <c r="R12" s="531">
        <v>0</v>
      </c>
      <c r="S12" s="531">
        <v>0</v>
      </c>
      <c r="T12" s="531">
        <v>0</v>
      </c>
      <c r="U12" s="531">
        <v>0</v>
      </c>
    </row>
    <row r="13" spans="1:22">
      <c r="A13" s="378">
        <v>1.5</v>
      </c>
      <c r="B13" s="401" t="s">
        <v>638</v>
      </c>
      <c r="C13" s="533">
        <v>446193267.17999965</v>
      </c>
      <c r="D13" s="531">
        <v>376122501.52999961</v>
      </c>
      <c r="E13" s="531">
        <v>14210482.67</v>
      </c>
      <c r="F13" s="531">
        <v>0</v>
      </c>
      <c r="G13" s="531">
        <v>52718169.339999974</v>
      </c>
      <c r="H13" s="531">
        <v>6681199.4000000013</v>
      </c>
      <c r="I13" s="531">
        <v>2247099.46</v>
      </c>
      <c r="J13" s="531">
        <v>1507401.9200000002</v>
      </c>
      <c r="K13" s="531">
        <v>0</v>
      </c>
      <c r="L13" s="531">
        <v>17352596.309999999</v>
      </c>
      <c r="M13" s="531">
        <v>3803645.26</v>
      </c>
      <c r="N13" s="531">
        <v>166718</v>
      </c>
      <c r="O13" s="531">
        <v>588579.26</v>
      </c>
      <c r="P13" s="531">
        <v>2457473.37</v>
      </c>
      <c r="Q13" s="531">
        <v>963306.46</v>
      </c>
      <c r="R13" s="531">
        <v>448299.80000000005</v>
      </c>
      <c r="S13" s="531">
        <v>0</v>
      </c>
      <c r="T13" s="531">
        <v>0</v>
      </c>
      <c r="U13" s="531">
        <v>107216.15</v>
      </c>
    </row>
    <row r="14" spans="1:22">
      <c r="A14" s="378">
        <v>1.6</v>
      </c>
      <c r="B14" s="401" t="s">
        <v>639</v>
      </c>
      <c r="C14" s="533">
        <v>490099364.2200017</v>
      </c>
      <c r="D14" s="531">
        <v>394344782.78000081</v>
      </c>
      <c r="E14" s="531">
        <v>7665747.0999999996</v>
      </c>
      <c r="F14" s="531">
        <v>0</v>
      </c>
      <c r="G14" s="531">
        <v>55383966.589999974</v>
      </c>
      <c r="H14" s="531">
        <v>2117842.7599999993</v>
      </c>
      <c r="I14" s="531">
        <v>612641.65000000014</v>
      </c>
      <c r="J14" s="531">
        <v>637312.63</v>
      </c>
      <c r="K14" s="531">
        <v>0</v>
      </c>
      <c r="L14" s="531">
        <v>40370614.850001469</v>
      </c>
      <c r="M14" s="531">
        <v>2274351.41</v>
      </c>
      <c r="N14" s="531">
        <v>1666685.94</v>
      </c>
      <c r="O14" s="531">
        <v>1520313.7</v>
      </c>
      <c r="P14" s="531">
        <v>2681532.0900000022</v>
      </c>
      <c r="Q14" s="531">
        <v>3832030.5</v>
      </c>
      <c r="R14" s="531">
        <v>213143.18</v>
      </c>
      <c r="S14" s="531">
        <v>0</v>
      </c>
      <c r="T14" s="531">
        <v>0</v>
      </c>
      <c r="U14" s="531">
        <v>925958.10000149708</v>
      </c>
    </row>
    <row r="15" spans="1:22">
      <c r="A15" s="420">
        <v>2</v>
      </c>
      <c r="B15" s="383" t="s">
        <v>640</v>
      </c>
      <c r="C15" s="530">
        <v>125268448.30000001</v>
      </c>
      <c r="D15" s="531">
        <v>125268448.30000001</v>
      </c>
      <c r="E15" s="531">
        <v>0</v>
      </c>
      <c r="F15" s="531">
        <v>0</v>
      </c>
      <c r="G15" s="531">
        <v>0</v>
      </c>
      <c r="H15" s="531">
        <v>0</v>
      </c>
      <c r="I15" s="531">
        <v>0</v>
      </c>
      <c r="J15" s="531">
        <v>0</v>
      </c>
      <c r="K15" s="531">
        <v>0</v>
      </c>
      <c r="L15" s="531">
        <v>0</v>
      </c>
      <c r="M15" s="531">
        <v>0</v>
      </c>
      <c r="N15" s="531">
        <v>0</v>
      </c>
      <c r="O15" s="531">
        <v>0</v>
      </c>
      <c r="P15" s="531">
        <v>0</v>
      </c>
      <c r="Q15" s="531">
        <v>0</v>
      </c>
      <c r="R15" s="531">
        <v>0</v>
      </c>
      <c r="S15" s="531">
        <v>0</v>
      </c>
      <c r="T15" s="531">
        <v>0</v>
      </c>
      <c r="U15" s="531">
        <v>0</v>
      </c>
    </row>
    <row r="16" spans="1:22">
      <c r="A16" s="378">
        <v>2.1</v>
      </c>
      <c r="B16" s="401" t="s">
        <v>634</v>
      </c>
      <c r="C16" s="533">
        <v>0</v>
      </c>
      <c r="D16" s="531">
        <v>0</v>
      </c>
      <c r="E16" s="531">
        <v>0</v>
      </c>
      <c r="F16" s="531">
        <v>0</v>
      </c>
      <c r="G16" s="531">
        <v>0</v>
      </c>
      <c r="H16" s="531">
        <v>0</v>
      </c>
      <c r="I16" s="531">
        <v>0</v>
      </c>
      <c r="J16" s="531">
        <v>0</v>
      </c>
      <c r="K16" s="531">
        <v>0</v>
      </c>
      <c r="L16" s="531">
        <v>0</v>
      </c>
      <c r="M16" s="531">
        <v>0</v>
      </c>
      <c r="N16" s="531">
        <v>0</v>
      </c>
      <c r="O16" s="531">
        <v>0</v>
      </c>
      <c r="P16" s="531">
        <v>0</v>
      </c>
      <c r="Q16" s="531">
        <v>0</v>
      </c>
      <c r="R16" s="531">
        <v>0</v>
      </c>
      <c r="S16" s="531">
        <v>0</v>
      </c>
      <c r="T16" s="531">
        <v>0</v>
      </c>
      <c r="U16" s="531">
        <v>0</v>
      </c>
    </row>
    <row r="17" spans="1:21">
      <c r="A17" s="378">
        <v>2.2000000000000002</v>
      </c>
      <c r="B17" s="401" t="s">
        <v>635</v>
      </c>
      <c r="C17" s="533">
        <v>91268448.300000012</v>
      </c>
      <c r="D17" s="531">
        <v>91268448.300000012</v>
      </c>
      <c r="E17" s="531">
        <v>0</v>
      </c>
      <c r="F17" s="531">
        <v>0</v>
      </c>
      <c r="G17" s="531">
        <v>0</v>
      </c>
      <c r="H17" s="531">
        <v>0</v>
      </c>
      <c r="I17" s="531">
        <v>0</v>
      </c>
      <c r="J17" s="531">
        <v>0</v>
      </c>
      <c r="K17" s="531">
        <v>0</v>
      </c>
      <c r="L17" s="531">
        <v>0</v>
      </c>
      <c r="M17" s="531">
        <v>0</v>
      </c>
      <c r="N17" s="531">
        <v>0</v>
      </c>
      <c r="O17" s="531">
        <v>0</v>
      </c>
      <c r="P17" s="531">
        <v>0</v>
      </c>
      <c r="Q17" s="531">
        <v>0</v>
      </c>
      <c r="R17" s="531">
        <v>0</v>
      </c>
      <c r="S17" s="531">
        <v>0</v>
      </c>
      <c r="T17" s="531">
        <v>0</v>
      </c>
      <c r="U17" s="531">
        <v>0</v>
      </c>
    </row>
    <row r="18" spans="1:21">
      <c r="A18" s="378">
        <v>2.2999999999999998</v>
      </c>
      <c r="B18" s="401" t="s">
        <v>636</v>
      </c>
      <c r="C18" s="533">
        <v>0</v>
      </c>
      <c r="D18" s="531">
        <v>0</v>
      </c>
      <c r="E18" s="531">
        <v>0</v>
      </c>
      <c r="F18" s="531">
        <v>0</v>
      </c>
      <c r="G18" s="531">
        <v>0</v>
      </c>
      <c r="H18" s="531">
        <v>0</v>
      </c>
      <c r="I18" s="531">
        <v>0</v>
      </c>
      <c r="J18" s="531">
        <v>0</v>
      </c>
      <c r="K18" s="531">
        <v>0</v>
      </c>
      <c r="L18" s="531">
        <v>0</v>
      </c>
      <c r="M18" s="531">
        <v>0</v>
      </c>
      <c r="N18" s="531">
        <v>0</v>
      </c>
      <c r="O18" s="531">
        <v>0</v>
      </c>
      <c r="P18" s="531">
        <v>0</v>
      </c>
      <c r="Q18" s="531">
        <v>0</v>
      </c>
      <c r="R18" s="531">
        <v>0</v>
      </c>
      <c r="S18" s="531">
        <v>0</v>
      </c>
      <c r="T18" s="531">
        <v>0</v>
      </c>
      <c r="U18" s="531">
        <v>0</v>
      </c>
    </row>
    <row r="19" spans="1:21">
      <c r="A19" s="378">
        <v>2.4</v>
      </c>
      <c r="B19" s="401" t="s">
        <v>637</v>
      </c>
      <c r="C19" s="533">
        <v>34000000</v>
      </c>
      <c r="D19" s="531">
        <v>34000000</v>
      </c>
      <c r="E19" s="531">
        <v>0</v>
      </c>
      <c r="F19" s="531">
        <v>0</v>
      </c>
      <c r="G19" s="531">
        <v>0</v>
      </c>
      <c r="H19" s="531">
        <v>0</v>
      </c>
      <c r="I19" s="531">
        <v>0</v>
      </c>
      <c r="J19" s="531">
        <v>0</v>
      </c>
      <c r="K19" s="531">
        <v>0</v>
      </c>
      <c r="L19" s="531">
        <v>0</v>
      </c>
      <c r="M19" s="531">
        <v>0</v>
      </c>
      <c r="N19" s="531">
        <v>0</v>
      </c>
      <c r="O19" s="531">
        <v>0</v>
      </c>
      <c r="P19" s="531">
        <v>0</v>
      </c>
      <c r="Q19" s="531">
        <v>0</v>
      </c>
      <c r="R19" s="531">
        <v>0</v>
      </c>
      <c r="S19" s="531">
        <v>0</v>
      </c>
      <c r="T19" s="531">
        <v>0</v>
      </c>
      <c r="U19" s="531">
        <v>0</v>
      </c>
    </row>
    <row r="20" spans="1:21">
      <c r="A20" s="378">
        <v>2.5</v>
      </c>
      <c r="B20" s="401" t="s">
        <v>638</v>
      </c>
      <c r="C20" s="533">
        <v>0</v>
      </c>
      <c r="D20" s="531">
        <v>0</v>
      </c>
      <c r="E20" s="531">
        <v>0</v>
      </c>
      <c r="F20" s="531">
        <v>0</v>
      </c>
      <c r="G20" s="531">
        <v>0</v>
      </c>
      <c r="H20" s="531">
        <v>0</v>
      </c>
      <c r="I20" s="531">
        <v>0</v>
      </c>
      <c r="J20" s="531">
        <v>0</v>
      </c>
      <c r="K20" s="531">
        <v>0</v>
      </c>
      <c r="L20" s="531">
        <v>0</v>
      </c>
      <c r="M20" s="531">
        <v>0</v>
      </c>
      <c r="N20" s="531">
        <v>0</v>
      </c>
      <c r="O20" s="531">
        <v>0</v>
      </c>
      <c r="P20" s="531">
        <v>0</v>
      </c>
      <c r="Q20" s="531">
        <v>0</v>
      </c>
      <c r="R20" s="531">
        <v>0</v>
      </c>
      <c r="S20" s="531">
        <v>0</v>
      </c>
      <c r="T20" s="531">
        <v>0</v>
      </c>
      <c r="U20" s="531">
        <v>0</v>
      </c>
    </row>
    <row r="21" spans="1:21">
      <c r="A21" s="378">
        <v>2.6</v>
      </c>
      <c r="B21" s="401" t="s">
        <v>639</v>
      </c>
      <c r="C21" s="533">
        <v>0</v>
      </c>
      <c r="D21" s="531">
        <v>0</v>
      </c>
      <c r="E21" s="531">
        <v>0</v>
      </c>
      <c r="F21" s="531">
        <v>0</v>
      </c>
      <c r="G21" s="531">
        <v>0</v>
      </c>
      <c r="H21" s="531">
        <v>0</v>
      </c>
      <c r="I21" s="531">
        <v>0</v>
      </c>
      <c r="J21" s="531">
        <v>0</v>
      </c>
      <c r="K21" s="531">
        <v>0</v>
      </c>
      <c r="L21" s="531">
        <v>0</v>
      </c>
      <c r="M21" s="531">
        <v>0</v>
      </c>
      <c r="N21" s="531">
        <v>0</v>
      </c>
      <c r="O21" s="531">
        <v>0</v>
      </c>
      <c r="P21" s="531">
        <v>0</v>
      </c>
      <c r="Q21" s="531">
        <v>0</v>
      </c>
      <c r="R21" s="531">
        <v>0</v>
      </c>
      <c r="S21" s="531">
        <v>0</v>
      </c>
      <c r="T21" s="531">
        <v>0</v>
      </c>
      <c r="U21" s="531">
        <v>0</v>
      </c>
    </row>
    <row r="22" spans="1:21">
      <c r="A22" s="420">
        <v>3</v>
      </c>
      <c r="B22" s="383" t="s">
        <v>695</v>
      </c>
      <c r="C22" s="530">
        <v>98151166.697800115</v>
      </c>
      <c r="D22" s="531">
        <v>66162917.107800007</v>
      </c>
      <c r="E22" s="531">
        <v>0</v>
      </c>
      <c r="F22" s="605"/>
      <c r="G22" s="531">
        <v>0</v>
      </c>
      <c r="H22" s="605"/>
      <c r="I22" s="605"/>
      <c r="J22" s="605"/>
      <c r="K22" s="605"/>
      <c r="L22" s="531">
        <v>0</v>
      </c>
      <c r="M22" s="605"/>
      <c r="N22" s="605"/>
      <c r="O22" s="605"/>
      <c r="P22" s="605"/>
      <c r="Q22" s="605"/>
      <c r="R22" s="605"/>
      <c r="S22" s="605"/>
      <c r="T22" s="605"/>
      <c r="U22" s="531">
        <v>0</v>
      </c>
    </row>
    <row r="23" spans="1:21">
      <c r="A23" s="378">
        <v>3.1</v>
      </c>
      <c r="B23" s="401" t="s">
        <v>634</v>
      </c>
      <c r="C23" s="533">
        <v>0</v>
      </c>
      <c r="D23" s="531">
        <v>0</v>
      </c>
      <c r="E23" s="531">
        <v>0</v>
      </c>
      <c r="F23" s="605"/>
      <c r="G23" s="531">
        <v>0</v>
      </c>
      <c r="H23" s="605"/>
      <c r="I23" s="605"/>
      <c r="J23" s="605"/>
      <c r="K23" s="605"/>
      <c r="L23" s="531">
        <v>0</v>
      </c>
      <c r="M23" s="605"/>
      <c r="N23" s="605"/>
      <c r="O23" s="605"/>
      <c r="P23" s="605"/>
      <c r="Q23" s="605"/>
      <c r="R23" s="605"/>
      <c r="S23" s="605"/>
      <c r="T23" s="605"/>
      <c r="U23" s="531">
        <v>0</v>
      </c>
    </row>
    <row r="24" spans="1:21">
      <c r="A24" s="378">
        <v>3.2</v>
      </c>
      <c r="B24" s="401" t="s">
        <v>635</v>
      </c>
      <c r="C24" s="533">
        <v>0</v>
      </c>
      <c r="D24" s="531">
        <v>0</v>
      </c>
      <c r="E24" s="531">
        <v>0</v>
      </c>
      <c r="F24" s="605"/>
      <c r="G24" s="531">
        <v>0</v>
      </c>
      <c r="H24" s="605"/>
      <c r="I24" s="605"/>
      <c r="J24" s="605"/>
      <c r="K24" s="605"/>
      <c r="L24" s="531">
        <v>0</v>
      </c>
      <c r="M24" s="605"/>
      <c r="N24" s="605"/>
      <c r="O24" s="605"/>
      <c r="P24" s="605"/>
      <c r="Q24" s="605"/>
      <c r="R24" s="605"/>
      <c r="S24" s="605"/>
      <c r="T24" s="605"/>
      <c r="U24" s="531">
        <v>0</v>
      </c>
    </row>
    <row r="25" spans="1:21">
      <c r="A25" s="378">
        <v>3.3</v>
      </c>
      <c r="B25" s="401" t="s">
        <v>636</v>
      </c>
      <c r="C25" s="533">
        <v>0</v>
      </c>
      <c r="D25" s="531">
        <v>0</v>
      </c>
      <c r="E25" s="531">
        <v>0</v>
      </c>
      <c r="F25" s="605"/>
      <c r="G25" s="531">
        <v>0</v>
      </c>
      <c r="H25" s="605"/>
      <c r="I25" s="605"/>
      <c r="J25" s="605"/>
      <c r="K25" s="605"/>
      <c r="L25" s="531">
        <v>0</v>
      </c>
      <c r="M25" s="605"/>
      <c r="N25" s="605"/>
      <c r="O25" s="605"/>
      <c r="P25" s="605"/>
      <c r="Q25" s="605"/>
      <c r="R25" s="605"/>
      <c r="S25" s="605"/>
      <c r="T25" s="605"/>
      <c r="U25" s="531">
        <v>0</v>
      </c>
    </row>
    <row r="26" spans="1:21">
      <c r="A26" s="378">
        <v>3.4</v>
      </c>
      <c r="B26" s="401" t="s">
        <v>637</v>
      </c>
      <c r="C26" s="533">
        <v>1481400</v>
      </c>
      <c r="D26" s="531">
        <v>1481400</v>
      </c>
      <c r="E26" s="531">
        <v>0</v>
      </c>
      <c r="F26" s="605"/>
      <c r="G26" s="531">
        <v>0</v>
      </c>
      <c r="H26" s="605"/>
      <c r="I26" s="605"/>
      <c r="J26" s="605"/>
      <c r="K26" s="605"/>
      <c r="L26" s="531">
        <v>0</v>
      </c>
      <c r="M26" s="605"/>
      <c r="N26" s="605"/>
      <c r="O26" s="605"/>
      <c r="P26" s="605"/>
      <c r="Q26" s="605"/>
      <c r="R26" s="605"/>
      <c r="S26" s="605"/>
      <c r="T26" s="605"/>
      <c r="U26" s="531">
        <v>0</v>
      </c>
    </row>
    <row r="27" spans="1:21">
      <c r="A27" s="378">
        <v>3.5</v>
      </c>
      <c r="B27" s="401" t="s">
        <v>638</v>
      </c>
      <c r="C27" s="533">
        <v>96669766.697800115</v>
      </c>
      <c r="D27" s="531">
        <v>64681517.107800007</v>
      </c>
      <c r="E27" s="531">
        <v>0</v>
      </c>
      <c r="F27" s="605"/>
      <c r="G27" s="531">
        <v>488200</v>
      </c>
      <c r="H27" s="605"/>
      <c r="I27" s="605"/>
      <c r="J27" s="605"/>
      <c r="K27" s="605"/>
      <c r="L27" s="531">
        <v>11510</v>
      </c>
      <c r="M27" s="605"/>
      <c r="N27" s="605"/>
      <c r="O27" s="605"/>
      <c r="P27" s="605"/>
      <c r="Q27" s="605"/>
      <c r="R27" s="605"/>
      <c r="S27" s="605"/>
      <c r="T27" s="605"/>
      <c r="U27" s="531">
        <v>0</v>
      </c>
    </row>
    <row r="28" spans="1:21">
      <c r="A28" s="378">
        <v>3.6</v>
      </c>
      <c r="B28" s="401" t="s">
        <v>639</v>
      </c>
      <c r="C28" s="533">
        <v>0</v>
      </c>
      <c r="D28" s="531">
        <v>0</v>
      </c>
      <c r="E28" s="531">
        <v>0</v>
      </c>
      <c r="F28" s="605"/>
      <c r="G28" s="531">
        <v>0</v>
      </c>
      <c r="H28" s="605"/>
      <c r="I28" s="605"/>
      <c r="J28" s="605"/>
      <c r="K28" s="605"/>
      <c r="L28" s="531">
        <v>0</v>
      </c>
      <c r="M28" s="605"/>
      <c r="N28" s="605"/>
      <c r="O28" s="605"/>
      <c r="P28" s="605"/>
      <c r="Q28" s="605"/>
      <c r="R28" s="605"/>
      <c r="S28" s="605"/>
      <c r="T28" s="605"/>
      <c r="U28" s="531">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8" sqref="C8:T22"/>
    </sheetView>
  </sheetViews>
  <sheetFormatPr defaultColWidth="9.140625" defaultRowHeight="12.75"/>
  <cols>
    <col min="1" max="1" width="11.85546875" style="381" bestFit="1" customWidth="1"/>
    <col min="2" max="2" width="90.28515625" style="381" bestFit="1" customWidth="1"/>
    <col min="3" max="3" width="19.5703125" style="381" customWidth="1"/>
    <col min="4" max="4" width="21.140625" style="381" customWidth="1"/>
    <col min="5" max="5" width="17.140625" style="381" customWidth="1"/>
    <col min="6" max="6" width="22.28515625" style="381" customWidth="1"/>
    <col min="7" max="7" width="19.28515625" style="381" customWidth="1"/>
    <col min="8" max="8" width="17.140625" style="381" customWidth="1"/>
    <col min="9" max="14" width="22.28515625" style="381" customWidth="1"/>
    <col min="15" max="15" width="23" style="381" customWidth="1"/>
    <col min="16" max="16" width="21.7109375" style="381" bestFit="1" customWidth="1"/>
    <col min="17" max="19" width="19" style="381" bestFit="1" customWidth="1"/>
    <col min="20" max="20" width="14.7109375" style="381" customWidth="1"/>
    <col min="21" max="21" width="20" style="381" customWidth="1"/>
    <col min="22" max="16384" width="9.140625" style="381"/>
  </cols>
  <sheetData>
    <row r="1" spans="1:21">
      <c r="A1" s="373" t="s">
        <v>30</v>
      </c>
      <c r="B1" s="381" t="str">
        <f>'16. NSFR'!B1</f>
        <v>Terabank</v>
      </c>
    </row>
    <row r="2" spans="1:21" ht="13.5">
      <c r="A2" s="373" t="s">
        <v>31</v>
      </c>
      <c r="B2" s="406">
        <f>'1. key ratios '!B2</f>
        <v>44561</v>
      </c>
      <c r="C2" s="406"/>
    </row>
    <row r="3" spans="1:21">
      <c r="A3" s="374" t="s">
        <v>642</v>
      </c>
    </row>
    <row r="5" spans="1:21" ht="13.5" customHeight="1">
      <c r="A5" s="702" t="s">
        <v>643</v>
      </c>
      <c r="B5" s="703"/>
      <c r="C5" s="711" t="s">
        <v>644</v>
      </c>
      <c r="D5" s="712"/>
      <c r="E5" s="712"/>
      <c r="F5" s="712"/>
      <c r="G5" s="712"/>
      <c r="H5" s="712"/>
      <c r="I5" s="712"/>
      <c r="J5" s="712"/>
      <c r="K5" s="712"/>
      <c r="L5" s="712"/>
      <c r="M5" s="712"/>
      <c r="N5" s="712"/>
      <c r="O5" s="712"/>
      <c r="P5" s="712"/>
      <c r="Q5" s="712"/>
      <c r="R5" s="712"/>
      <c r="S5" s="712"/>
      <c r="T5" s="713"/>
      <c r="U5" s="417"/>
    </row>
    <row r="6" spans="1:21">
      <c r="A6" s="704"/>
      <c r="B6" s="705"/>
      <c r="C6" s="695" t="s">
        <v>109</v>
      </c>
      <c r="D6" s="708" t="s">
        <v>645</v>
      </c>
      <c r="E6" s="708"/>
      <c r="F6" s="709"/>
      <c r="G6" s="710" t="s">
        <v>646</v>
      </c>
      <c r="H6" s="708"/>
      <c r="I6" s="708"/>
      <c r="J6" s="708"/>
      <c r="K6" s="709"/>
      <c r="L6" s="698" t="s">
        <v>647</v>
      </c>
      <c r="M6" s="699"/>
      <c r="N6" s="699"/>
      <c r="O6" s="699"/>
      <c r="P6" s="699"/>
      <c r="Q6" s="699"/>
      <c r="R6" s="699"/>
      <c r="S6" s="699"/>
      <c r="T6" s="700"/>
      <c r="U6" s="405"/>
    </row>
    <row r="7" spans="1:21">
      <c r="A7" s="706"/>
      <c r="B7" s="707"/>
      <c r="C7" s="696"/>
      <c r="E7" s="399" t="s">
        <v>620</v>
      </c>
      <c r="F7" s="411" t="s">
        <v>621</v>
      </c>
      <c r="H7" s="399" t="s">
        <v>620</v>
      </c>
      <c r="I7" s="411" t="s">
        <v>622</v>
      </c>
      <c r="J7" s="411" t="s">
        <v>623</v>
      </c>
      <c r="K7" s="411" t="s">
        <v>624</v>
      </c>
      <c r="L7" s="421"/>
      <c r="M7" s="399" t="s">
        <v>625</v>
      </c>
      <c r="N7" s="411" t="s">
        <v>623</v>
      </c>
      <c r="O7" s="411" t="s">
        <v>626</v>
      </c>
      <c r="P7" s="411" t="s">
        <v>627</v>
      </c>
      <c r="Q7" s="411" t="s">
        <v>628</v>
      </c>
      <c r="R7" s="411" t="s">
        <v>629</v>
      </c>
      <c r="S7" s="411" t="s">
        <v>630</v>
      </c>
      <c r="T7" s="419" t="s">
        <v>631</v>
      </c>
      <c r="U7" s="417"/>
    </row>
    <row r="8" spans="1:21">
      <c r="A8" s="421">
        <v>1</v>
      </c>
      <c r="B8" s="416" t="s">
        <v>633</v>
      </c>
      <c r="C8" s="534">
        <v>972738346.64000189</v>
      </c>
      <c r="D8" s="531">
        <v>806596989.7700026</v>
      </c>
      <c r="E8" s="531">
        <v>21876229.769999996</v>
      </c>
      <c r="F8" s="531">
        <v>0</v>
      </c>
      <c r="G8" s="531">
        <v>108179357.24000019</v>
      </c>
      <c r="H8" s="531">
        <v>8876263.4700000044</v>
      </c>
      <c r="I8" s="531">
        <v>2859741.11</v>
      </c>
      <c r="J8" s="531">
        <v>2144714.5500000003</v>
      </c>
      <c r="K8" s="531">
        <v>0</v>
      </c>
      <c r="L8" s="531">
        <v>57961999.629999772</v>
      </c>
      <c r="M8" s="531">
        <v>6077762.6699999999</v>
      </c>
      <c r="N8" s="531">
        <v>1833403.9400000004</v>
      </c>
      <c r="O8" s="531">
        <v>2108892.96</v>
      </c>
      <c r="P8" s="531">
        <v>5196576</v>
      </c>
      <c r="Q8" s="531">
        <v>4795336.96</v>
      </c>
      <c r="R8" s="531">
        <v>661442.98</v>
      </c>
      <c r="S8" s="531">
        <v>0</v>
      </c>
      <c r="T8" s="531">
        <v>0</v>
      </c>
    </row>
    <row r="9" spans="1:21">
      <c r="A9" s="401">
        <v>1.1000000000000001</v>
      </c>
      <c r="B9" s="401" t="s">
        <v>648</v>
      </c>
      <c r="C9" s="533">
        <v>916415525.05999744</v>
      </c>
      <c r="D9" s="531">
        <v>753829056.37999952</v>
      </c>
      <c r="E9" s="531">
        <v>21508792.310000002</v>
      </c>
      <c r="F9" s="531">
        <v>0</v>
      </c>
      <c r="G9" s="531">
        <v>106695137.07000011</v>
      </c>
      <c r="H9" s="531">
        <v>8595635.7800000031</v>
      </c>
      <c r="I9" s="531">
        <v>2755846.2499999995</v>
      </c>
      <c r="J9" s="531">
        <v>2144714.5500000003</v>
      </c>
      <c r="K9" s="531">
        <v>0</v>
      </c>
      <c r="L9" s="531">
        <v>55891331.610000022</v>
      </c>
      <c r="M9" s="531">
        <v>5862260.7199999997</v>
      </c>
      <c r="N9" s="531">
        <v>1639678.2100000002</v>
      </c>
      <c r="O9" s="531">
        <v>1647339.98</v>
      </c>
      <c r="P9" s="531">
        <v>4760663.1800000006</v>
      </c>
      <c r="Q9" s="531">
        <v>4780635.55</v>
      </c>
      <c r="R9" s="531">
        <v>661442.98</v>
      </c>
      <c r="S9" s="531">
        <v>0</v>
      </c>
      <c r="T9" s="531">
        <v>0</v>
      </c>
    </row>
    <row r="10" spans="1:21">
      <c r="A10" s="422" t="s">
        <v>14</v>
      </c>
      <c r="B10" s="422" t="s">
        <v>649</v>
      </c>
      <c r="C10" s="535">
        <v>845484714.4499979</v>
      </c>
      <c r="D10" s="531">
        <v>683756374.50999999</v>
      </c>
      <c r="E10" s="531">
        <v>17317392.410000008</v>
      </c>
      <c r="F10" s="531">
        <v>0</v>
      </c>
      <c r="G10" s="531">
        <v>106525798.57000011</v>
      </c>
      <c r="H10" s="531">
        <v>8518414.4700000025</v>
      </c>
      <c r="I10" s="531">
        <v>2743153.57</v>
      </c>
      <c r="J10" s="531">
        <v>2144714.5500000003</v>
      </c>
      <c r="K10" s="531">
        <v>0</v>
      </c>
      <c r="L10" s="531">
        <v>55202541.370000012</v>
      </c>
      <c r="M10" s="531">
        <v>5832380.8499999996</v>
      </c>
      <c r="N10" s="531">
        <v>1601688.66</v>
      </c>
      <c r="O10" s="531">
        <v>1647339.98</v>
      </c>
      <c r="P10" s="531">
        <v>4760663.1800000006</v>
      </c>
      <c r="Q10" s="531">
        <v>4744023.13</v>
      </c>
      <c r="R10" s="531">
        <v>661442.98</v>
      </c>
      <c r="S10" s="531">
        <v>0</v>
      </c>
      <c r="T10" s="531">
        <v>0</v>
      </c>
    </row>
    <row r="11" spans="1:21">
      <c r="A11" s="391" t="s">
        <v>650</v>
      </c>
      <c r="B11" s="391" t="s">
        <v>651</v>
      </c>
      <c r="C11" s="536">
        <v>518507436.62999982</v>
      </c>
      <c r="D11" s="531">
        <v>422152209.95999968</v>
      </c>
      <c r="E11" s="531">
        <v>12098143.410000002</v>
      </c>
      <c r="F11" s="531">
        <v>0</v>
      </c>
      <c r="G11" s="531">
        <v>67304090.039999962</v>
      </c>
      <c r="H11" s="531">
        <v>3809433.39</v>
      </c>
      <c r="I11" s="531">
        <v>286415.96999999997</v>
      </c>
      <c r="J11" s="531">
        <v>2144714.5500000003</v>
      </c>
      <c r="K11" s="531">
        <v>0</v>
      </c>
      <c r="L11" s="531">
        <v>29051136.630000003</v>
      </c>
      <c r="M11" s="531">
        <v>3250750.7499999995</v>
      </c>
      <c r="N11" s="531">
        <v>1528976.84</v>
      </c>
      <c r="O11" s="531">
        <v>1210386.9300000002</v>
      </c>
      <c r="P11" s="531">
        <v>1057669.8699999999</v>
      </c>
      <c r="Q11" s="531">
        <v>1763994.43</v>
      </c>
      <c r="R11" s="531">
        <v>370106.51</v>
      </c>
      <c r="S11" s="531">
        <v>0</v>
      </c>
      <c r="T11" s="531">
        <v>0</v>
      </c>
    </row>
    <row r="12" spans="1:21">
      <c r="A12" s="391" t="s">
        <v>652</v>
      </c>
      <c r="B12" s="391" t="s">
        <v>653</v>
      </c>
      <c r="C12" s="536">
        <v>175358070.39000002</v>
      </c>
      <c r="D12" s="531">
        <v>137486238.00000015</v>
      </c>
      <c r="E12" s="531">
        <v>1756869.33</v>
      </c>
      <c r="F12" s="531">
        <v>0</v>
      </c>
      <c r="G12" s="531">
        <v>24740500.639999993</v>
      </c>
      <c r="H12" s="531">
        <v>2928143.96</v>
      </c>
      <c r="I12" s="531">
        <v>1740746.29</v>
      </c>
      <c r="J12" s="531">
        <v>0</v>
      </c>
      <c r="K12" s="531">
        <v>0</v>
      </c>
      <c r="L12" s="531">
        <v>13131331.75</v>
      </c>
      <c r="M12" s="531">
        <v>1598798.32</v>
      </c>
      <c r="N12" s="531">
        <v>0</v>
      </c>
      <c r="O12" s="531">
        <v>66820.05</v>
      </c>
      <c r="P12" s="531">
        <v>822880.63</v>
      </c>
      <c r="Q12" s="531">
        <v>1989313.64</v>
      </c>
      <c r="R12" s="531">
        <v>0</v>
      </c>
      <c r="S12" s="531">
        <v>0</v>
      </c>
      <c r="T12" s="531">
        <v>0</v>
      </c>
    </row>
    <row r="13" spans="1:21">
      <c r="A13" s="391" t="s">
        <v>654</v>
      </c>
      <c r="B13" s="391" t="s">
        <v>655</v>
      </c>
      <c r="C13" s="536">
        <v>64723090.120000012</v>
      </c>
      <c r="D13" s="531">
        <v>45955757.459999993</v>
      </c>
      <c r="E13" s="531">
        <v>173799.93</v>
      </c>
      <c r="F13" s="531">
        <v>0</v>
      </c>
      <c r="G13" s="531">
        <v>11444230.700000001</v>
      </c>
      <c r="H13" s="531">
        <v>513616.58</v>
      </c>
      <c r="I13" s="531">
        <v>185267.05</v>
      </c>
      <c r="J13" s="531">
        <v>0</v>
      </c>
      <c r="K13" s="531">
        <v>0</v>
      </c>
      <c r="L13" s="531">
        <v>7323101.9600000009</v>
      </c>
      <c r="M13" s="531">
        <v>895696.97</v>
      </c>
      <c r="N13" s="531">
        <v>25711.82</v>
      </c>
      <c r="O13" s="531">
        <v>0</v>
      </c>
      <c r="P13" s="531">
        <v>1874069.1</v>
      </c>
      <c r="Q13" s="531">
        <v>0</v>
      </c>
      <c r="R13" s="531">
        <v>0</v>
      </c>
      <c r="S13" s="531">
        <v>0</v>
      </c>
      <c r="T13" s="531">
        <v>0</v>
      </c>
    </row>
    <row r="14" spans="1:21">
      <c r="A14" s="391" t="s">
        <v>656</v>
      </c>
      <c r="B14" s="391" t="s">
        <v>657</v>
      </c>
      <c r="C14" s="536">
        <v>86896117.310000017</v>
      </c>
      <c r="D14" s="531">
        <v>78162169.090000004</v>
      </c>
      <c r="E14" s="531">
        <v>3288579.7399999998</v>
      </c>
      <c r="F14" s="531">
        <v>0</v>
      </c>
      <c r="G14" s="531">
        <v>3036977.1900000004</v>
      </c>
      <c r="H14" s="531">
        <v>1267220.54</v>
      </c>
      <c r="I14" s="531">
        <v>530724.26</v>
      </c>
      <c r="J14" s="531">
        <v>0</v>
      </c>
      <c r="K14" s="531">
        <v>0</v>
      </c>
      <c r="L14" s="531">
        <v>5696971.0300000012</v>
      </c>
      <c r="M14" s="531">
        <v>87134.81</v>
      </c>
      <c r="N14" s="531">
        <v>47000</v>
      </c>
      <c r="O14" s="531">
        <v>370133</v>
      </c>
      <c r="P14" s="531">
        <v>1006043.5800000001</v>
      </c>
      <c r="Q14" s="531">
        <v>990715.05999999994</v>
      </c>
      <c r="R14" s="531">
        <v>291336.46999999997</v>
      </c>
      <c r="S14" s="531">
        <v>0</v>
      </c>
      <c r="T14" s="531">
        <v>0</v>
      </c>
    </row>
    <row r="15" spans="1:21">
      <c r="A15" s="392">
        <v>1.2</v>
      </c>
      <c r="B15" s="392" t="s">
        <v>658</v>
      </c>
      <c r="C15" s="537">
        <v>45439438.009999976</v>
      </c>
      <c r="D15" s="531">
        <v>14564018.440000035</v>
      </c>
      <c r="E15" s="531">
        <v>348188.65</v>
      </c>
      <c r="F15" s="531">
        <v>0</v>
      </c>
      <c r="G15" s="531">
        <v>10669514.359999994</v>
      </c>
      <c r="H15" s="531">
        <v>859563.60000000021</v>
      </c>
      <c r="I15" s="531">
        <v>275584.66000000003</v>
      </c>
      <c r="J15" s="531">
        <v>214471.42</v>
      </c>
      <c r="K15" s="531">
        <v>0</v>
      </c>
      <c r="L15" s="531">
        <v>20205905.210000001</v>
      </c>
      <c r="M15" s="531">
        <v>2272678.9900000002</v>
      </c>
      <c r="N15" s="531">
        <v>523934.79</v>
      </c>
      <c r="O15" s="531">
        <v>534659.66999999993</v>
      </c>
      <c r="P15" s="531">
        <v>2501244.6899999995</v>
      </c>
      <c r="Q15" s="531">
        <v>2390317.8699999996</v>
      </c>
      <c r="R15" s="531">
        <v>375152.54000000004</v>
      </c>
      <c r="S15" s="531">
        <v>0</v>
      </c>
      <c r="T15" s="531">
        <v>0</v>
      </c>
    </row>
    <row r="16" spans="1:21">
      <c r="A16" s="401">
        <v>1.3</v>
      </c>
      <c r="B16" s="392" t="s">
        <v>706</v>
      </c>
      <c r="C16" s="606">
        <v>0</v>
      </c>
      <c r="D16" s="606">
        <v>0</v>
      </c>
      <c r="E16" s="606">
        <v>0</v>
      </c>
      <c r="F16" s="606">
        <v>0</v>
      </c>
      <c r="G16" s="606">
        <v>0</v>
      </c>
      <c r="H16" s="606">
        <v>0</v>
      </c>
      <c r="I16" s="606">
        <v>0</v>
      </c>
      <c r="J16" s="606">
        <v>0</v>
      </c>
      <c r="K16" s="606">
        <v>0</v>
      </c>
      <c r="L16" s="606">
        <v>0</v>
      </c>
      <c r="M16" s="606">
        <v>0</v>
      </c>
      <c r="N16" s="606">
        <v>0</v>
      </c>
      <c r="O16" s="606">
        <v>0</v>
      </c>
      <c r="P16" s="606">
        <v>0</v>
      </c>
      <c r="Q16" s="606">
        <v>0</v>
      </c>
      <c r="R16" s="606">
        <v>0</v>
      </c>
      <c r="S16" s="606">
        <v>0</v>
      </c>
      <c r="T16" s="606">
        <v>0</v>
      </c>
    </row>
    <row r="17" spans="1:20">
      <c r="A17" s="395" t="s">
        <v>659</v>
      </c>
      <c r="B17" s="393" t="s">
        <v>660</v>
      </c>
      <c r="C17" s="538">
        <v>904727440.59499872</v>
      </c>
      <c r="D17" s="532">
        <v>741932536.83100104</v>
      </c>
      <c r="E17" s="532">
        <v>21486167.248000003</v>
      </c>
      <c r="F17" s="532">
        <v>0</v>
      </c>
      <c r="G17" s="532">
        <v>106019508.14000012</v>
      </c>
      <c r="H17" s="532">
        <v>8595155.9000000022</v>
      </c>
      <c r="I17" s="532">
        <v>2755846.2499999995</v>
      </c>
      <c r="J17" s="532">
        <v>2144714.5500000003</v>
      </c>
      <c r="K17" s="532">
        <v>0</v>
      </c>
      <c r="L17" s="532">
        <v>56775395.624000013</v>
      </c>
      <c r="M17" s="532">
        <v>7094823.4119999995</v>
      </c>
      <c r="N17" s="532">
        <v>1628683.3080000002</v>
      </c>
      <c r="O17" s="532">
        <v>1647339.98</v>
      </c>
      <c r="P17" s="532">
        <v>4694439.2400000012</v>
      </c>
      <c r="Q17" s="532">
        <v>4780635.55</v>
      </c>
      <c r="R17" s="532">
        <v>661442.98</v>
      </c>
      <c r="S17" s="532">
        <v>0</v>
      </c>
      <c r="T17" s="532">
        <v>0</v>
      </c>
    </row>
    <row r="18" spans="1:20">
      <c r="A18" s="394" t="s">
        <v>661</v>
      </c>
      <c r="B18" s="394" t="s">
        <v>662</v>
      </c>
      <c r="C18" s="539">
        <v>806064707.37999988</v>
      </c>
      <c r="D18" s="532">
        <v>648001785.20999968</v>
      </c>
      <c r="E18" s="532">
        <v>16164596.57</v>
      </c>
      <c r="F18" s="532">
        <v>0</v>
      </c>
      <c r="G18" s="532">
        <v>104168248.59000006</v>
      </c>
      <c r="H18" s="532">
        <v>8220513.8600000022</v>
      </c>
      <c r="I18" s="532">
        <v>2274555.3499999996</v>
      </c>
      <c r="J18" s="532">
        <v>2144714.5500000003</v>
      </c>
      <c r="K18" s="532">
        <v>0</v>
      </c>
      <c r="L18" s="532">
        <v>53894673.579999991</v>
      </c>
      <c r="M18" s="532">
        <v>5810295.6399999997</v>
      </c>
      <c r="N18" s="532">
        <v>1586371.93</v>
      </c>
      <c r="O18" s="532">
        <v>1494038.98</v>
      </c>
      <c r="P18" s="532">
        <v>4409135.6900000004</v>
      </c>
      <c r="Q18" s="532">
        <v>4486052.1399999997</v>
      </c>
      <c r="R18" s="532">
        <v>658183.31000000006</v>
      </c>
      <c r="S18" s="532">
        <v>0</v>
      </c>
      <c r="T18" s="532">
        <v>0</v>
      </c>
    </row>
    <row r="19" spans="1:20">
      <c r="A19" s="395" t="s">
        <v>663</v>
      </c>
      <c r="B19" s="395" t="s">
        <v>664</v>
      </c>
      <c r="C19" s="540">
        <v>832295137.13499868</v>
      </c>
      <c r="D19" s="532">
        <v>688294954.85899901</v>
      </c>
      <c r="E19" s="532">
        <v>14742111.252</v>
      </c>
      <c r="F19" s="532">
        <v>0</v>
      </c>
      <c r="G19" s="532">
        <v>92545597.560000092</v>
      </c>
      <c r="H19" s="532">
        <v>5131268.7</v>
      </c>
      <c r="I19" s="532">
        <v>1715620.7999999998</v>
      </c>
      <c r="J19" s="532">
        <v>3835460.3800000004</v>
      </c>
      <c r="K19" s="532">
        <v>0</v>
      </c>
      <c r="L19" s="532">
        <v>51454584.715999968</v>
      </c>
      <c r="M19" s="532">
        <v>7113050.6280000014</v>
      </c>
      <c r="N19" s="532">
        <v>1685256.852</v>
      </c>
      <c r="O19" s="532">
        <v>1912319.19</v>
      </c>
      <c r="P19" s="532">
        <v>2916766.9099999997</v>
      </c>
      <c r="Q19" s="532">
        <v>3925753.61</v>
      </c>
      <c r="R19" s="532">
        <v>780730.61999999988</v>
      </c>
      <c r="S19" s="532">
        <v>0</v>
      </c>
      <c r="T19" s="532">
        <v>0</v>
      </c>
    </row>
    <row r="20" spans="1:20">
      <c r="A20" s="394" t="s">
        <v>665</v>
      </c>
      <c r="B20" s="394" t="s">
        <v>662</v>
      </c>
      <c r="C20" s="539">
        <v>764121722.39999819</v>
      </c>
      <c r="D20" s="532">
        <v>624940136.64999855</v>
      </c>
      <c r="E20" s="532">
        <v>12891710.240000004</v>
      </c>
      <c r="F20" s="532">
        <v>0</v>
      </c>
      <c r="G20" s="532">
        <v>89371404.920000017</v>
      </c>
      <c r="H20" s="532">
        <v>4449055.3699999992</v>
      </c>
      <c r="I20" s="532">
        <v>1208777.3000000003</v>
      </c>
      <c r="J20" s="532">
        <v>3457553.18</v>
      </c>
      <c r="K20" s="532">
        <v>0</v>
      </c>
      <c r="L20" s="532">
        <v>49810180.829999991</v>
      </c>
      <c r="M20" s="532">
        <v>8151137.1300000008</v>
      </c>
      <c r="N20" s="532">
        <v>1670882.15</v>
      </c>
      <c r="O20" s="532">
        <v>1728601.31</v>
      </c>
      <c r="P20" s="532">
        <v>2407311.6499999994</v>
      </c>
      <c r="Q20" s="532">
        <v>3471158.07</v>
      </c>
      <c r="R20" s="532">
        <v>741861.92999999993</v>
      </c>
      <c r="S20" s="532">
        <v>0</v>
      </c>
      <c r="T20" s="532">
        <v>0</v>
      </c>
    </row>
    <row r="21" spans="1:20">
      <c r="A21" s="396">
        <v>1.4</v>
      </c>
      <c r="B21" s="397" t="s">
        <v>666</v>
      </c>
      <c r="C21" s="541">
        <v>1683112.1100000006</v>
      </c>
      <c r="D21" s="532">
        <v>1598232.1200000006</v>
      </c>
      <c r="E21" s="532">
        <v>33680.380000000005</v>
      </c>
      <c r="F21" s="532">
        <v>0</v>
      </c>
      <c r="G21" s="532">
        <v>65271.83</v>
      </c>
      <c r="H21" s="532">
        <v>0</v>
      </c>
      <c r="I21" s="532">
        <v>0</v>
      </c>
      <c r="J21" s="532">
        <v>0</v>
      </c>
      <c r="K21" s="532">
        <v>0</v>
      </c>
      <c r="L21" s="532">
        <v>19608.16</v>
      </c>
      <c r="M21" s="532">
        <v>0</v>
      </c>
      <c r="N21" s="532">
        <v>0</v>
      </c>
      <c r="O21" s="532">
        <v>0</v>
      </c>
      <c r="P21" s="532">
        <v>0</v>
      </c>
      <c r="Q21" s="532">
        <v>0</v>
      </c>
      <c r="R21" s="532">
        <v>0</v>
      </c>
      <c r="S21" s="532">
        <v>0</v>
      </c>
      <c r="T21" s="532">
        <v>0</v>
      </c>
    </row>
    <row r="22" spans="1:20">
      <c r="A22" s="396">
        <v>1.5</v>
      </c>
      <c r="B22" s="397" t="s">
        <v>667</v>
      </c>
      <c r="C22" s="541">
        <v>0</v>
      </c>
      <c r="D22" s="532">
        <v>0</v>
      </c>
      <c r="E22" s="532">
        <v>0</v>
      </c>
      <c r="F22" s="532">
        <v>0</v>
      </c>
      <c r="G22" s="532">
        <v>0</v>
      </c>
      <c r="H22" s="532">
        <v>0</v>
      </c>
      <c r="I22" s="532">
        <v>0</v>
      </c>
      <c r="J22" s="532">
        <v>0</v>
      </c>
      <c r="K22" s="532">
        <v>0</v>
      </c>
      <c r="L22" s="532">
        <v>0</v>
      </c>
      <c r="M22" s="532">
        <v>0</v>
      </c>
      <c r="N22" s="532">
        <v>0</v>
      </c>
      <c r="O22" s="532">
        <v>0</v>
      </c>
      <c r="P22" s="532">
        <v>0</v>
      </c>
      <c r="Q22" s="532">
        <v>0</v>
      </c>
      <c r="R22" s="532">
        <v>0</v>
      </c>
      <c r="S22" s="532">
        <v>0</v>
      </c>
      <c r="T22" s="532">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C7" sqref="C7:O33"/>
    </sheetView>
  </sheetViews>
  <sheetFormatPr defaultColWidth="9.140625" defaultRowHeight="12.75"/>
  <cols>
    <col min="1" max="1" width="11.85546875" style="381" bestFit="1" customWidth="1"/>
    <col min="2" max="2" width="93.42578125" style="381" customWidth="1"/>
    <col min="3" max="3" width="14.5703125" style="381" customWidth="1"/>
    <col min="4" max="4" width="14.5703125" style="381" bestFit="1" customWidth="1"/>
    <col min="5" max="5" width="13.85546875" style="381" bestFit="1" customWidth="1"/>
    <col min="6" max="6" width="13.7109375" style="417" bestFit="1" customWidth="1"/>
    <col min="7" max="7" width="12.5703125" style="417" bestFit="1" customWidth="1"/>
    <col min="8" max="8" width="12.140625" style="381" bestFit="1" customWidth="1"/>
    <col min="9" max="9" width="12.85546875" style="381" bestFit="1" customWidth="1"/>
    <col min="10" max="11" width="12.5703125" style="417" bestFit="1" customWidth="1"/>
    <col min="12" max="12" width="12.85546875" style="417" bestFit="1" customWidth="1"/>
    <col min="13" max="13" width="12.42578125" style="417" bestFit="1" customWidth="1"/>
    <col min="14" max="14" width="12.140625" style="417" bestFit="1" customWidth="1"/>
    <col min="15" max="15" width="18.85546875" style="381" bestFit="1" customWidth="1"/>
    <col min="16" max="16384" width="9.140625" style="381"/>
  </cols>
  <sheetData>
    <row r="1" spans="1:15">
      <c r="A1" s="373" t="s">
        <v>30</v>
      </c>
      <c r="B1" s="381" t="str">
        <f>'16. NSFR'!B1</f>
        <v>Terabank</v>
      </c>
      <c r="F1" s="381"/>
      <c r="G1" s="381"/>
      <c r="J1" s="381"/>
      <c r="K1" s="381"/>
      <c r="L1" s="381"/>
      <c r="M1" s="381"/>
      <c r="N1" s="381"/>
    </row>
    <row r="2" spans="1:15" ht="13.5">
      <c r="A2" s="373" t="s">
        <v>31</v>
      </c>
      <c r="B2" s="406">
        <f>'1. key ratios '!B2</f>
        <v>44561</v>
      </c>
      <c r="F2" s="381"/>
      <c r="G2" s="381"/>
      <c r="J2" s="381"/>
      <c r="K2" s="381"/>
      <c r="L2" s="381"/>
      <c r="M2" s="381"/>
      <c r="N2" s="381"/>
    </row>
    <row r="3" spans="1:15">
      <c r="A3" s="374" t="s">
        <v>668</v>
      </c>
      <c r="F3" s="381"/>
      <c r="G3" s="381"/>
      <c r="J3" s="381"/>
      <c r="K3" s="381"/>
      <c r="L3" s="381"/>
      <c r="M3" s="381"/>
      <c r="N3" s="381"/>
    </row>
    <row r="4" spans="1:15">
      <c r="F4" s="381"/>
      <c r="G4" s="381"/>
      <c r="J4" s="381"/>
      <c r="K4" s="381"/>
      <c r="L4" s="381"/>
      <c r="M4" s="381"/>
      <c r="N4" s="381"/>
    </row>
    <row r="5" spans="1:15" ht="46.5" customHeight="1">
      <c r="A5" s="669" t="s">
        <v>694</v>
      </c>
      <c r="B5" s="670"/>
      <c r="C5" s="714" t="s">
        <v>669</v>
      </c>
      <c r="D5" s="715"/>
      <c r="E5" s="715"/>
      <c r="F5" s="715"/>
      <c r="G5" s="715"/>
      <c r="H5" s="716"/>
      <c r="I5" s="714" t="s">
        <v>670</v>
      </c>
      <c r="J5" s="717"/>
      <c r="K5" s="717"/>
      <c r="L5" s="717"/>
      <c r="M5" s="717"/>
      <c r="N5" s="718"/>
      <c r="O5" s="719" t="s">
        <v>671</v>
      </c>
    </row>
    <row r="6" spans="1:15" ht="75" customHeight="1">
      <c r="A6" s="673"/>
      <c r="B6" s="674"/>
      <c r="C6" s="398"/>
      <c r="D6" s="399" t="s">
        <v>672</v>
      </c>
      <c r="E6" s="399" t="s">
        <v>673</v>
      </c>
      <c r="F6" s="399" t="s">
        <v>674</v>
      </c>
      <c r="G6" s="399" t="s">
        <v>675</v>
      </c>
      <c r="H6" s="399" t="s">
        <v>676</v>
      </c>
      <c r="I6" s="404"/>
      <c r="J6" s="399" t="s">
        <v>672</v>
      </c>
      <c r="K6" s="399" t="s">
        <v>673</v>
      </c>
      <c r="L6" s="399" t="s">
        <v>674</v>
      </c>
      <c r="M6" s="399" t="s">
        <v>675</v>
      </c>
      <c r="N6" s="399" t="s">
        <v>676</v>
      </c>
      <c r="O6" s="720"/>
    </row>
    <row r="7" spans="1:15">
      <c r="A7" s="378">
        <v>1</v>
      </c>
      <c r="B7" s="382" t="s">
        <v>697</v>
      </c>
      <c r="C7" s="542">
        <v>67525776.380799934</v>
      </c>
      <c r="D7" s="531">
        <v>62662480.541599944</v>
      </c>
      <c r="E7" s="531">
        <v>3139433.8840999994</v>
      </c>
      <c r="F7" s="543">
        <v>904810.3890999998</v>
      </c>
      <c r="G7" s="543">
        <v>620750.74599999981</v>
      </c>
      <c r="H7" s="531">
        <v>198300.82</v>
      </c>
      <c r="I7" s="531">
        <v>2344405.3997999988</v>
      </c>
      <c r="J7" s="543">
        <v>1250342.3224999988</v>
      </c>
      <c r="K7" s="543">
        <v>313943.60869999998</v>
      </c>
      <c r="L7" s="543">
        <v>271443.16370000003</v>
      </c>
      <c r="M7" s="543">
        <v>310375.48489999998</v>
      </c>
      <c r="N7" s="543">
        <v>198300.82</v>
      </c>
      <c r="O7" s="531">
        <v>426352.01572940924</v>
      </c>
    </row>
    <row r="8" spans="1:15">
      <c r="A8" s="378">
        <v>2</v>
      </c>
      <c r="B8" s="382" t="s">
        <v>567</v>
      </c>
      <c r="C8" s="542">
        <v>30595462.244799994</v>
      </c>
      <c r="D8" s="531">
        <v>29143861.101499997</v>
      </c>
      <c r="E8" s="531">
        <v>989754.47509999992</v>
      </c>
      <c r="F8" s="543">
        <v>186105.1925</v>
      </c>
      <c r="G8" s="543">
        <v>238726.36570000002</v>
      </c>
      <c r="H8" s="531">
        <v>37015.11</v>
      </c>
      <c r="I8" s="531">
        <v>892490.15139999974</v>
      </c>
      <c r="J8" s="543">
        <v>581304.81429999985</v>
      </c>
      <c r="K8" s="543">
        <v>98975.459599999987</v>
      </c>
      <c r="L8" s="543">
        <v>55831.569100000001</v>
      </c>
      <c r="M8" s="543">
        <v>119363.19839999999</v>
      </c>
      <c r="N8" s="543">
        <v>37015.11</v>
      </c>
      <c r="O8" s="531">
        <v>87626.837991332257</v>
      </c>
    </row>
    <row r="9" spans="1:15">
      <c r="A9" s="378">
        <v>3</v>
      </c>
      <c r="B9" s="382" t="s">
        <v>568</v>
      </c>
      <c r="C9" s="542">
        <v>20432556.394500002</v>
      </c>
      <c r="D9" s="531">
        <v>20355335.085100003</v>
      </c>
      <c r="E9" s="531">
        <v>77221.309399999998</v>
      </c>
      <c r="F9" s="544">
        <v>0</v>
      </c>
      <c r="G9" s="544">
        <v>0</v>
      </c>
      <c r="H9" s="531">
        <v>0</v>
      </c>
      <c r="I9" s="531">
        <v>414828.83890000009</v>
      </c>
      <c r="J9" s="544">
        <v>407106.7080000001</v>
      </c>
      <c r="K9" s="544">
        <v>7722.1309000000001</v>
      </c>
      <c r="L9" s="544">
        <v>0</v>
      </c>
      <c r="M9" s="544">
        <v>0</v>
      </c>
      <c r="N9" s="544">
        <v>0</v>
      </c>
      <c r="O9" s="531">
        <v>390.52245270650417</v>
      </c>
    </row>
    <row r="10" spans="1:15">
      <c r="A10" s="378">
        <v>4</v>
      </c>
      <c r="B10" s="382" t="s">
        <v>698</v>
      </c>
      <c r="C10" s="542">
        <v>83203951.555399999</v>
      </c>
      <c r="D10" s="531">
        <v>75327909.418599993</v>
      </c>
      <c r="E10" s="531">
        <v>7364900.4739999995</v>
      </c>
      <c r="F10" s="544">
        <v>502268.31279999996</v>
      </c>
      <c r="G10" s="544">
        <v>5230.13</v>
      </c>
      <c r="H10" s="531">
        <v>3643.22</v>
      </c>
      <c r="I10" s="531">
        <v>2364629.1395999999</v>
      </c>
      <c r="J10" s="544">
        <v>1471200.321</v>
      </c>
      <c r="K10" s="544">
        <v>736490.03779999993</v>
      </c>
      <c r="L10" s="544">
        <v>150680.4908</v>
      </c>
      <c r="M10" s="544">
        <v>2615.0700000000002</v>
      </c>
      <c r="N10" s="544">
        <v>3643.22</v>
      </c>
      <c r="O10" s="531">
        <v>31325.211115420418</v>
      </c>
    </row>
    <row r="11" spans="1:15">
      <c r="A11" s="378">
        <v>5</v>
      </c>
      <c r="B11" s="382" t="s">
        <v>569</v>
      </c>
      <c r="C11" s="542">
        <v>84576438.73739998</v>
      </c>
      <c r="D11" s="531">
        <v>56557072.584899999</v>
      </c>
      <c r="E11" s="531">
        <v>20112014.523699999</v>
      </c>
      <c r="F11" s="544">
        <v>6029369.5788000003</v>
      </c>
      <c r="G11" s="544">
        <v>1877982.05</v>
      </c>
      <c r="H11" s="531">
        <v>0</v>
      </c>
      <c r="I11" s="531">
        <v>5890144.8720000004</v>
      </c>
      <c r="J11" s="544">
        <v>1131141.4971</v>
      </c>
      <c r="K11" s="544">
        <v>2011201.4906999997</v>
      </c>
      <c r="L11" s="544">
        <v>1808810.8592000001</v>
      </c>
      <c r="M11" s="544">
        <v>938991.02500000002</v>
      </c>
      <c r="N11" s="544">
        <v>0</v>
      </c>
      <c r="O11" s="531">
        <v>34922.358935733726</v>
      </c>
    </row>
    <row r="12" spans="1:15">
      <c r="A12" s="378">
        <v>6</v>
      </c>
      <c r="B12" s="382" t="s">
        <v>570</v>
      </c>
      <c r="C12" s="542">
        <v>36979519.399399996</v>
      </c>
      <c r="D12" s="531">
        <v>33746111.000600003</v>
      </c>
      <c r="E12" s="531">
        <v>2684237.5948999994</v>
      </c>
      <c r="F12" s="544">
        <v>182525.76</v>
      </c>
      <c r="G12" s="544">
        <v>342863.35389999999</v>
      </c>
      <c r="H12" s="531">
        <v>23781.690000000002</v>
      </c>
      <c r="I12" s="531">
        <v>1193317.1605</v>
      </c>
      <c r="J12" s="544">
        <v>674922.23840000003</v>
      </c>
      <c r="K12" s="544">
        <v>268423.79459999996</v>
      </c>
      <c r="L12" s="544">
        <v>54757.729999999996</v>
      </c>
      <c r="M12" s="544">
        <v>171431.70750000002</v>
      </c>
      <c r="N12" s="544">
        <v>23781.690000000002</v>
      </c>
      <c r="O12" s="531">
        <v>55173.511025647953</v>
      </c>
    </row>
    <row r="13" spans="1:15">
      <c r="A13" s="378">
        <v>7</v>
      </c>
      <c r="B13" s="382" t="s">
        <v>571</v>
      </c>
      <c r="C13" s="542">
        <v>53275353.083999999</v>
      </c>
      <c r="D13" s="531">
        <v>50937987.625399999</v>
      </c>
      <c r="E13" s="531">
        <v>2299375.9086000002</v>
      </c>
      <c r="F13" s="544">
        <v>37989.550000000003</v>
      </c>
      <c r="G13" s="544">
        <v>0</v>
      </c>
      <c r="H13" s="531">
        <v>0</v>
      </c>
      <c r="I13" s="531">
        <v>1260094.2123000002</v>
      </c>
      <c r="J13" s="544">
        <v>1018759.7649000001</v>
      </c>
      <c r="K13" s="544">
        <v>229937.57739999998</v>
      </c>
      <c r="L13" s="544">
        <v>11396.87</v>
      </c>
      <c r="M13" s="544">
        <v>0</v>
      </c>
      <c r="N13" s="544">
        <v>0</v>
      </c>
      <c r="O13" s="531">
        <v>1756.6809745517562</v>
      </c>
    </row>
    <row r="14" spans="1:15">
      <c r="A14" s="378">
        <v>8</v>
      </c>
      <c r="B14" s="382" t="s">
        <v>572</v>
      </c>
      <c r="C14" s="542">
        <v>46499047.200500011</v>
      </c>
      <c r="D14" s="531">
        <v>42934925.70660001</v>
      </c>
      <c r="E14" s="531">
        <v>2173561.0113999997</v>
      </c>
      <c r="F14" s="544">
        <v>1224613.7725</v>
      </c>
      <c r="G14" s="544">
        <v>161529.83000000002</v>
      </c>
      <c r="H14" s="531">
        <v>4416.88</v>
      </c>
      <c r="I14" s="531">
        <v>1528620.5447999998</v>
      </c>
      <c r="J14" s="544">
        <v>858698.51599999983</v>
      </c>
      <c r="K14" s="544">
        <v>217356.12020000003</v>
      </c>
      <c r="L14" s="544">
        <v>367384.10860000004</v>
      </c>
      <c r="M14" s="544">
        <v>80764.92</v>
      </c>
      <c r="N14" s="544">
        <v>4416.88</v>
      </c>
      <c r="O14" s="531">
        <v>12966.598267508682</v>
      </c>
    </row>
    <row r="15" spans="1:15">
      <c r="A15" s="378">
        <v>9</v>
      </c>
      <c r="B15" s="382" t="s">
        <v>573</v>
      </c>
      <c r="C15" s="542">
        <v>31486647.493899997</v>
      </c>
      <c r="D15" s="531">
        <v>28955265.660699997</v>
      </c>
      <c r="E15" s="531">
        <v>2459218.5332000004</v>
      </c>
      <c r="F15" s="544">
        <v>0</v>
      </c>
      <c r="G15" s="544">
        <v>72163.3</v>
      </c>
      <c r="H15" s="531">
        <v>0</v>
      </c>
      <c r="I15" s="531">
        <v>861053.76610000001</v>
      </c>
      <c r="J15" s="544">
        <v>579050.22389999998</v>
      </c>
      <c r="K15" s="544">
        <v>245921.88219999999</v>
      </c>
      <c r="L15" s="544">
        <v>0</v>
      </c>
      <c r="M15" s="544">
        <v>36081.660000000003</v>
      </c>
      <c r="N15" s="544">
        <v>0</v>
      </c>
      <c r="O15" s="531">
        <v>393.90940709502399</v>
      </c>
    </row>
    <row r="16" spans="1:15">
      <c r="A16" s="378">
        <v>10</v>
      </c>
      <c r="B16" s="382" t="s">
        <v>574</v>
      </c>
      <c r="C16" s="542">
        <v>13332052.6384</v>
      </c>
      <c r="D16" s="531">
        <v>9392805.4063999988</v>
      </c>
      <c r="E16" s="531">
        <v>3118257.8530999999</v>
      </c>
      <c r="F16" s="544">
        <v>801226.57889999996</v>
      </c>
      <c r="G16" s="544">
        <v>0</v>
      </c>
      <c r="H16" s="531">
        <v>19762.8</v>
      </c>
      <c r="I16" s="531">
        <v>759812.63880000007</v>
      </c>
      <c r="J16" s="544">
        <v>187856.08100000001</v>
      </c>
      <c r="K16" s="544">
        <v>311825.79029999999</v>
      </c>
      <c r="L16" s="544">
        <v>240367.9675</v>
      </c>
      <c r="M16" s="544">
        <v>0</v>
      </c>
      <c r="N16" s="544">
        <v>19762.8</v>
      </c>
      <c r="O16" s="531">
        <v>207.11739063311899</v>
      </c>
    </row>
    <row r="17" spans="1:15">
      <c r="A17" s="378">
        <v>11</v>
      </c>
      <c r="B17" s="382" t="s">
        <v>575</v>
      </c>
      <c r="C17" s="542">
        <v>7180471.8171999995</v>
      </c>
      <c r="D17" s="531">
        <v>4595500.3836000003</v>
      </c>
      <c r="E17" s="531">
        <v>1630294.4312999998</v>
      </c>
      <c r="F17" s="544">
        <v>181384.0226</v>
      </c>
      <c r="G17" s="544">
        <v>773292.97970000003</v>
      </c>
      <c r="H17" s="531">
        <v>0</v>
      </c>
      <c r="I17" s="531">
        <v>696001.20739999996</v>
      </c>
      <c r="J17" s="544">
        <v>91910.035199999998</v>
      </c>
      <c r="K17" s="544">
        <v>163029.48180000001</v>
      </c>
      <c r="L17" s="544">
        <v>54415.200499999999</v>
      </c>
      <c r="M17" s="544">
        <v>386646.48989999999</v>
      </c>
      <c r="N17" s="544">
        <v>0</v>
      </c>
      <c r="O17" s="531">
        <v>419.08295617294749</v>
      </c>
    </row>
    <row r="18" spans="1:15">
      <c r="A18" s="378">
        <v>12</v>
      </c>
      <c r="B18" s="382" t="s">
        <v>576</v>
      </c>
      <c r="C18" s="542">
        <v>70252218.736699983</v>
      </c>
      <c r="D18" s="531">
        <v>57276046.893199995</v>
      </c>
      <c r="E18" s="531">
        <v>7123117.8617999991</v>
      </c>
      <c r="F18" s="544">
        <v>3404514.4363999995</v>
      </c>
      <c r="G18" s="544">
        <v>2057017.4001</v>
      </c>
      <c r="H18" s="531">
        <v>391522.14520000009</v>
      </c>
      <c r="I18" s="531">
        <v>4186156.0726999999</v>
      </c>
      <c r="J18" s="544">
        <v>1032458.8485</v>
      </c>
      <c r="K18" s="544">
        <v>712311.90480000002</v>
      </c>
      <c r="L18" s="544">
        <v>1021354.3395999999</v>
      </c>
      <c r="M18" s="544">
        <v>1028508.8345999998</v>
      </c>
      <c r="N18" s="544">
        <v>391522.14520000009</v>
      </c>
      <c r="O18" s="531">
        <v>57931.04552277748</v>
      </c>
    </row>
    <row r="19" spans="1:15">
      <c r="A19" s="378">
        <v>13</v>
      </c>
      <c r="B19" s="382" t="s">
        <v>577</v>
      </c>
      <c r="C19" s="542">
        <v>15972376.056999998</v>
      </c>
      <c r="D19" s="531">
        <v>13306027.496100001</v>
      </c>
      <c r="E19" s="531">
        <v>1130103.6954999999</v>
      </c>
      <c r="F19" s="544">
        <v>1027441.0486999999</v>
      </c>
      <c r="G19" s="544">
        <v>492559.77669999999</v>
      </c>
      <c r="H19" s="531">
        <v>16244.04</v>
      </c>
      <c r="I19" s="531">
        <v>949887.2537</v>
      </c>
      <c r="J19" s="544">
        <v>266120.59129999997</v>
      </c>
      <c r="K19" s="544">
        <v>113010.38069999999</v>
      </c>
      <c r="L19" s="544">
        <v>308232.33779999998</v>
      </c>
      <c r="M19" s="544">
        <v>246279.9039</v>
      </c>
      <c r="N19" s="544">
        <v>16244.04</v>
      </c>
      <c r="O19" s="531">
        <v>10336.113415959613</v>
      </c>
    </row>
    <row r="20" spans="1:15">
      <c r="A20" s="378">
        <v>14</v>
      </c>
      <c r="B20" s="382" t="s">
        <v>578</v>
      </c>
      <c r="C20" s="542">
        <v>87165714.949699998</v>
      </c>
      <c r="D20" s="531">
        <v>54199466.463999994</v>
      </c>
      <c r="E20" s="531">
        <v>20718135.426499996</v>
      </c>
      <c r="F20" s="544">
        <v>11373604.4487</v>
      </c>
      <c r="G20" s="544">
        <v>841975.88049999997</v>
      </c>
      <c r="H20" s="531">
        <v>32532.73</v>
      </c>
      <c r="I20" s="531">
        <v>6946483.6102999998</v>
      </c>
      <c r="J20" s="544">
        <v>1009067.8374</v>
      </c>
      <c r="K20" s="544">
        <v>2071813.6988999997</v>
      </c>
      <c r="L20" s="544">
        <v>3412081.3731999998</v>
      </c>
      <c r="M20" s="544">
        <v>420987.97080000001</v>
      </c>
      <c r="N20" s="544">
        <v>32532.73</v>
      </c>
      <c r="O20" s="531">
        <v>18349.114653983503</v>
      </c>
    </row>
    <row r="21" spans="1:15">
      <c r="A21" s="378">
        <v>15</v>
      </c>
      <c r="B21" s="382" t="s">
        <v>579</v>
      </c>
      <c r="C21" s="542">
        <v>30926210.943500005</v>
      </c>
      <c r="D21" s="531">
        <v>15909196.1425</v>
      </c>
      <c r="E21" s="531">
        <v>13872121.968200002</v>
      </c>
      <c r="F21" s="544">
        <v>1134432.5828</v>
      </c>
      <c r="G21" s="544">
        <v>8828.42</v>
      </c>
      <c r="H21" s="531">
        <v>1631.83</v>
      </c>
      <c r="I21" s="531">
        <v>2051772.0613999998</v>
      </c>
      <c r="J21" s="544">
        <v>318184.06709999999</v>
      </c>
      <c r="K21" s="544">
        <v>1387212.1635999999</v>
      </c>
      <c r="L21" s="544">
        <v>340329.79070000001</v>
      </c>
      <c r="M21" s="544">
        <v>4414.21</v>
      </c>
      <c r="N21" s="544">
        <v>1631.83</v>
      </c>
      <c r="O21" s="531">
        <v>6304.4383359097228</v>
      </c>
    </row>
    <row r="22" spans="1:15">
      <c r="A22" s="378">
        <v>16</v>
      </c>
      <c r="B22" s="382" t="s">
        <v>580</v>
      </c>
      <c r="C22" s="542">
        <v>141258.71999999997</v>
      </c>
      <c r="D22" s="531">
        <v>141258.71999999997</v>
      </c>
      <c r="E22" s="531">
        <v>0</v>
      </c>
      <c r="F22" s="544">
        <v>0</v>
      </c>
      <c r="G22" s="544">
        <v>0</v>
      </c>
      <c r="H22" s="531">
        <v>0</v>
      </c>
      <c r="I22" s="531">
        <v>2825.19</v>
      </c>
      <c r="J22" s="544">
        <v>2825.19</v>
      </c>
      <c r="K22" s="544">
        <v>0</v>
      </c>
      <c r="L22" s="544">
        <v>0</v>
      </c>
      <c r="M22" s="544">
        <v>0</v>
      </c>
      <c r="N22" s="544">
        <v>0</v>
      </c>
      <c r="O22" s="531">
        <v>920.15932612883478</v>
      </c>
    </row>
    <row r="23" spans="1:15">
      <c r="A23" s="378">
        <v>17</v>
      </c>
      <c r="B23" s="382" t="s">
        <v>701</v>
      </c>
      <c r="C23" s="542">
        <v>5539620.7967000008</v>
      </c>
      <c r="D23" s="531">
        <v>2381147.5904000001</v>
      </c>
      <c r="E23" s="531">
        <v>1369661.5747000002</v>
      </c>
      <c r="F23" s="544">
        <v>1383980.9616</v>
      </c>
      <c r="G23" s="544">
        <v>404830.67</v>
      </c>
      <c r="H23" s="531">
        <v>0</v>
      </c>
      <c r="I23" s="531">
        <v>802198.74849999999</v>
      </c>
      <c r="J23" s="544">
        <v>47622.946400000001</v>
      </c>
      <c r="K23" s="544">
        <v>136966.16949999999</v>
      </c>
      <c r="L23" s="544">
        <v>415194.29260000004</v>
      </c>
      <c r="M23" s="544">
        <v>202415.34</v>
      </c>
      <c r="N23" s="544">
        <v>0</v>
      </c>
      <c r="O23" s="531">
        <v>1761.1475593284929</v>
      </c>
    </row>
    <row r="24" spans="1:15">
      <c r="A24" s="378">
        <v>18</v>
      </c>
      <c r="B24" s="382" t="s">
        <v>581</v>
      </c>
      <c r="C24" s="542">
        <v>18727128.031199999</v>
      </c>
      <c r="D24" s="531">
        <v>18727128.031199999</v>
      </c>
      <c r="E24" s="531">
        <v>0</v>
      </c>
      <c r="F24" s="544">
        <v>0</v>
      </c>
      <c r="G24" s="544">
        <v>0</v>
      </c>
      <c r="H24" s="531">
        <v>0</v>
      </c>
      <c r="I24" s="531">
        <v>374542.58190000005</v>
      </c>
      <c r="J24" s="544">
        <v>374542.58190000005</v>
      </c>
      <c r="K24" s="544">
        <v>0</v>
      </c>
      <c r="L24" s="544">
        <v>0</v>
      </c>
      <c r="M24" s="544">
        <v>0</v>
      </c>
      <c r="N24" s="544">
        <v>0</v>
      </c>
      <c r="O24" s="531">
        <v>4219.398859096149</v>
      </c>
    </row>
    <row r="25" spans="1:15">
      <c r="A25" s="378">
        <v>19</v>
      </c>
      <c r="B25" s="382" t="s">
        <v>582</v>
      </c>
      <c r="C25" s="542">
        <v>8022727.2449000012</v>
      </c>
      <c r="D25" s="531">
        <v>7900328.1347000003</v>
      </c>
      <c r="E25" s="531">
        <v>98226.99</v>
      </c>
      <c r="F25" s="544">
        <v>0</v>
      </c>
      <c r="G25" s="544">
        <v>17148.840199999999</v>
      </c>
      <c r="H25" s="531">
        <v>7023.28</v>
      </c>
      <c r="I25" s="531">
        <v>183427.0368</v>
      </c>
      <c r="J25" s="544">
        <v>158006.62119999999</v>
      </c>
      <c r="K25" s="544">
        <v>9822.7000000000007</v>
      </c>
      <c r="L25" s="544">
        <v>0</v>
      </c>
      <c r="M25" s="544">
        <v>8574.4356000000007</v>
      </c>
      <c r="N25" s="544">
        <v>7023.28</v>
      </c>
      <c r="O25" s="531">
        <v>13422.714878009514</v>
      </c>
    </row>
    <row r="26" spans="1:15">
      <c r="A26" s="378">
        <v>20</v>
      </c>
      <c r="B26" s="382" t="s">
        <v>700</v>
      </c>
      <c r="C26" s="542">
        <v>27507836.093400002</v>
      </c>
      <c r="D26" s="531">
        <v>25051157.611199997</v>
      </c>
      <c r="E26" s="531">
        <v>1956038.1370000001</v>
      </c>
      <c r="F26" s="544">
        <v>456679.52999999991</v>
      </c>
      <c r="G26" s="544">
        <v>35773.805200000003</v>
      </c>
      <c r="H26" s="531">
        <v>8187.01</v>
      </c>
      <c r="I26" s="531">
        <v>859704.82480000006</v>
      </c>
      <c r="J26" s="544">
        <v>501023.23030000005</v>
      </c>
      <c r="K26" s="544">
        <v>195603.81190000003</v>
      </c>
      <c r="L26" s="544">
        <v>137003.87</v>
      </c>
      <c r="M26" s="544">
        <v>17886.902600000001</v>
      </c>
      <c r="N26" s="544">
        <v>8187.01</v>
      </c>
      <c r="O26" s="531">
        <v>57883.505893555099</v>
      </c>
    </row>
    <row r="27" spans="1:15">
      <c r="A27" s="378">
        <v>21</v>
      </c>
      <c r="B27" s="382" t="s">
        <v>583</v>
      </c>
      <c r="C27" s="542">
        <v>4988893.8011999996</v>
      </c>
      <c r="D27" s="531">
        <v>4686374.9812000003</v>
      </c>
      <c r="E27" s="531">
        <v>224274.02</v>
      </c>
      <c r="F27" s="544">
        <v>28424.66</v>
      </c>
      <c r="G27" s="544">
        <v>49610.27</v>
      </c>
      <c r="H27" s="531">
        <v>209.87</v>
      </c>
      <c r="I27" s="531">
        <v>149697.37959999999</v>
      </c>
      <c r="J27" s="544">
        <v>93727.569600000003</v>
      </c>
      <c r="K27" s="544">
        <v>22427.4</v>
      </c>
      <c r="L27" s="544">
        <v>8527.4000000000015</v>
      </c>
      <c r="M27" s="544">
        <v>24805.14</v>
      </c>
      <c r="N27" s="544">
        <v>209.87</v>
      </c>
      <c r="O27" s="531">
        <v>5956.1030887658035</v>
      </c>
    </row>
    <row r="28" spans="1:15">
      <c r="A28" s="378">
        <v>22</v>
      </c>
      <c r="B28" s="382" t="s">
        <v>584</v>
      </c>
      <c r="C28" s="542">
        <v>1647622.5642999997</v>
      </c>
      <c r="D28" s="531">
        <v>882832.4621</v>
      </c>
      <c r="E28" s="531">
        <v>738431.49379999994</v>
      </c>
      <c r="F28" s="544">
        <v>11743.2184</v>
      </c>
      <c r="G28" s="544">
        <v>0</v>
      </c>
      <c r="H28" s="531">
        <v>14615.39</v>
      </c>
      <c r="I28" s="531">
        <v>109638.12789999999</v>
      </c>
      <c r="J28" s="544">
        <v>17656.620000000003</v>
      </c>
      <c r="K28" s="544">
        <v>73843.155499999993</v>
      </c>
      <c r="L28" s="544">
        <v>3522.9623999999999</v>
      </c>
      <c r="M28" s="544">
        <v>0</v>
      </c>
      <c r="N28" s="544">
        <v>14615.39</v>
      </c>
      <c r="O28" s="531">
        <v>5847.0509091156682</v>
      </c>
    </row>
    <row r="29" spans="1:15">
      <c r="A29" s="378">
        <v>23</v>
      </c>
      <c r="B29" s="382" t="s">
        <v>585</v>
      </c>
      <c r="C29" s="542">
        <v>66726257.495399989</v>
      </c>
      <c r="D29" s="531">
        <v>49806086.22959999</v>
      </c>
      <c r="E29" s="531">
        <v>8181814.8926999997</v>
      </c>
      <c r="F29" s="544">
        <v>5984457.9131999994</v>
      </c>
      <c r="G29" s="544">
        <v>2709116.3199000005</v>
      </c>
      <c r="H29" s="531">
        <v>44782.14</v>
      </c>
      <c r="I29" s="531">
        <v>5008887.3169999998</v>
      </c>
      <c r="J29" s="544">
        <v>996027.91979999992</v>
      </c>
      <c r="K29" s="544">
        <v>818181.66910000006</v>
      </c>
      <c r="L29" s="544">
        <v>1795337.3876</v>
      </c>
      <c r="M29" s="544">
        <v>1354558.2005</v>
      </c>
      <c r="N29" s="544">
        <v>44782.14</v>
      </c>
      <c r="O29" s="531">
        <v>67551.215146445567</v>
      </c>
    </row>
    <row r="30" spans="1:15">
      <c r="A30" s="378">
        <v>24</v>
      </c>
      <c r="B30" s="382" t="s">
        <v>699</v>
      </c>
      <c r="C30" s="542">
        <v>89229762.771700054</v>
      </c>
      <c r="D30" s="531">
        <v>79837720.566200048</v>
      </c>
      <c r="E30" s="531">
        <v>3878674.8363000005</v>
      </c>
      <c r="F30" s="544">
        <v>2066139.8296000001</v>
      </c>
      <c r="G30" s="544">
        <v>3420172.3996000001</v>
      </c>
      <c r="H30" s="531">
        <v>27055.14</v>
      </c>
      <c r="I30" s="531">
        <v>4338242.7277000006</v>
      </c>
      <c r="J30" s="544">
        <v>1593391.8896000008</v>
      </c>
      <c r="K30" s="544">
        <v>387867.45459999994</v>
      </c>
      <c r="L30" s="544">
        <v>619841.9558</v>
      </c>
      <c r="M30" s="544">
        <v>1710086.2877000002</v>
      </c>
      <c r="N30" s="544">
        <v>27055.14</v>
      </c>
      <c r="O30" s="531">
        <v>9440.2911761468404</v>
      </c>
    </row>
    <row r="31" spans="1:15">
      <c r="A31" s="378">
        <v>25</v>
      </c>
      <c r="B31" s="382" t="s">
        <v>586</v>
      </c>
      <c r="C31" s="542">
        <v>70803441.381099969</v>
      </c>
      <c r="D31" s="531">
        <v>61882964.008999981</v>
      </c>
      <c r="E31" s="531">
        <v>2840486.3732999996</v>
      </c>
      <c r="F31" s="544">
        <v>3756077.5698000002</v>
      </c>
      <c r="G31" s="544">
        <v>2121463.409</v>
      </c>
      <c r="H31" s="531">
        <v>202450.02000000014</v>
      </c>
      <c r="I31" s="531">
        <v>3630483.2521999995</v>
      </c>
      <c r="J31" s="544">
        <v>956429.29289999965</v>
      </c>
      <c r="K31" s="544">
        <v>284048.71580000001</v>
      </c>
      <c r="L31" s="544">
        <v>1126823.3529999999</v>
      </c>
      <c r="M31" s="544">
        <v>1060731.8705</v>
      </c>
      <c r="N31" s="544">
        <v>202450.02000000014</v>
      </c>
      <c r="O31" s="531">
        <v>387645.85498856299</v>
      </c>
    </row>
    <row r="32" spans="1:15">
      <c r="A32" s="378">
        <v>26</v>
      </c>
      <c r="B32" s="382" t="s">
        <v>696</v>
      </c>
      <c r="C32" s="542">
        <v>0</v>
      </c>
      <c r="D32" s="531">
        <v>0</v>
      </c>
      <c r="E32" s="531">
        <v>0</v>
      </c>
      <c r="F32" s="544">
        <v>0</v>
      </c>
      <c r="G32" s="544">
        <v>0</v>
      </c>
      <c r="H32" s="531">
        <v>0</v>
      </c>
      <c r="I32" s="531">
        <v>0</v>
      </c>
      <c r="J32" s="544">
        <v>0</v>
      </c>
      <c r="K32" s="544">
        <v>0</v>
      </c>
      <c r="L32" s="544">
        <v>0</v>
      </c>
      <c r="M32" s="544">
        <v>0</v>
      </c>
      <c r="N32" s="544">
        <v>0</v>
      </c>
      <c r="O32" s="531">
        <v>0</v>
      </c>
    </row>
    <row r="33" spans="1:15">
      <c r="A33" s="378">
        <v>27</v>
      </c>
      <c r="B33" s="400" t="s">
        <v>109</v>
      </c>
      <c r="C33" s="545">
        <v>972738346.53309989</v>
      </c>
      <c r="D33" s="531">
        <v>806596989.84640002</v>
      </c>
      <c r="E33" s="531">
        <v>108179357.26859999</v>
      </c>
      <c r="F33" s="544">
        <v>40677789.356399998</v>
      </c>
      <c r="G33" s="544">
        <v>16251035.946500001</v>
      </c>
      <c r="H33" s="531">
        <v>1033174.1152000002</v>
      </c>
      <c r="I33" s="532">
        <v>47799344.116100006</v>
      </c>
      <c r="J33" s="544">
        <v>15619377.728299998</v>
      </c>
      <c r="K33" s="544">
        <v>10817936.5986</v>
      </c>
      <c r="L33" s="544">
        <v>12203337.022100002</v>
      </c>
      <c r="M33" s="544">
        <v>8125518.6518999999</v>
      </c>
      <c r="N33" s="544">
        <v>1033174.1152000002</v>
      </c>
      <c r="O33" s="531">
        <v>1299101.9999999967</v>
      </c>
    </row>
    <row r="35" spans="1:15">
      <c r="B35" s="415"/>
      <c r="C35" s="415"/>
    </row>
    <row r="41" spans="1:15">
      <c r="A41" s="412"/>
      <c r="B41" s="412"/>
      <c r="C41" s="412"/>
    </row>
    <row r="42" spans="1:15">
      <c r="A42" s="412"/>
      <c r="B42" s="412"/>
      <c r="C42" s="4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1" sqref="B1:B2"/>
    </sheetView>
  </sheetViews>
  <sheetFormatPr defaultColWidth="8.7109375" defaultRowHeight="12"/>
  <cols>
    <col min="1" max="1" width="11.85546875" style="423" bestFit="1" customWidth="1"/>
    <col min="2" max="2" width="80.140625" style="423" customWidth="1"/>
    <col min="3" max="3" width="17.140625" style="423" bestFit="1" customWidth="1"/>
    <col min="4" max="4" width="22.42578125" style="423" bestFit="1" customWidth="1"/>
    <col min="5" max="5" width="22.28515625" style="423" bestFit="1" customWidth="1"/>
    <col min="6" max="6" width="20.140625" style="423" bestFit="1" customWidth="1"/>
    <col min="7" max="7" width="20.85546875" style="423" bestFit="1" customWidth="1"/>
    <col min="8" max="8" width="23.42578125" style="423" bestFit="1" customWidth="1"/>
    <col min="9" max="9" width="22.140625" style="423" customWidth="1"/>
    <col min="10" max="10" width="19.140625" style="423" bestFit="1" customWidth="1"/>
    <col min="11" max="11" width="17.85546875" style="423" bestFit="1" customWidth="1"/>
    <col min="12" max="16384" width="8.7109375" style="423"/>
  </cols>
  <sheetData>
    <row r="1" spans="1:11" s="381" customFormat="1" ht="12.75">
      <c r="A1" s="373" t="s">
        <v>30</v>
      </c>
      <c r="B1" s="381" t="str">
        <f>'16. NSFR'!B1</f>
        <v>Terabank</v>
      </c>
    </row>
    <row r="2" spans="1:11" s="381" customFormat="1" ht="13.5">
      <c r="A2" s="373" t="s">
        <v>31</v>
      </c>
      <c r="B2" s="406">
        <f>'1. key ratios '!B2</f>
        <v>44561</v>
      </c>
    </row>
    <row r="3" spans="1:11" s="381" customFormat="1" ht="12.75">
      <c r="A3" s="374" t="s">
        <v>677</v>
      </c>
    </row>
    <row r="4" spans="1:11">
      <c r="C4" s="424" t="s">
        <v>0</v>
      </c>
      <c r="D4" s="424" t="s">
        <v>1</v>
      </c>
      <c r="E4" s="424" t="s">
        <v>2</v>
      </c>
      <c r="F4" s="424" t="s">
        <v>3</v>
      </c>
      <c r="G4" s="424" t="s">
        <v>4</v>
      </c>
      <c r="H4" s="424" t="s">
        <v>5</v>
      </c>
      <c r="I4" s="424" t="s">
        <v>8</v>
      </c>
      <c r="J4" s="424" t="s">
        <v>9</v>
      </c>
      <c r="K4" s="424" t="s">
        <v>10</v>
      </c>
    </row>
    <row r="5" spans="1:11" ht="105" customHeight="1">
      <c r="A5" s="721" t="s">
        <v>678</v>
      </c>
      <c r="B5" s="722"/>
      <c r="C5" s="403" t="s">
        <v>679</v>
      </c>
      <c r="D5" s="403" t="s">
        <v>680</v>
      </c>
      <c r="E5" s="403" t="s">
        <v>681</v>
      </c>
      <c r="F5" s="425" t="s">
        <v>682</v>
      </c>
      <c r="G5" s="403" t="s">
        <v>683</v>
      </c>
      <c r="H5" s="403" t="s">
        <v>684</v>
      </c>
      <c r="I5" s="403" t="s">
        <v>685</v>
      </c>
      <c r="J5" s="403" t="s">
        <v>686</v>
      </c>
      <c r="K5" s="403" t="s">
        <v>687</v>
      </c>
    </row>
    <row r="6" spans="1:11" ht="12.75">
      <c r="A6" s="378">
        <v>1</v>
      </c>
      <c r="B6" s="378" t="s">
        <v>633</v>
      </c>
      <c r="C6" s="531">
        <v>35646238.99000001</v>
      </c>
      <c r="D6" s="531">
        <v>7188207.0249999994</v>
      </c>
      <c r="E6" s="531">
        <v>0</v>
      </c>
      <c r="F6" s="531">
        <v>4492135.21</v>
      </c>
      <c r="G6" s="531">
        <v>806064707.37999988</v>
      </c>
      <c r="H6" s="531">
        <v>0</v>
      </c>
      <c r="I6" s="531">
        <v>51336151.99000001</v>
      </c>
      <c r="J6" s="531">
        <v>0</v>
      </c>
      <c r="K6" s="531">
        <v>68010906.045000911</v>
      </c>
    </row>
    <row r="7" spans="1:11" ht="12.75">
      <c r="A7" s="378">
        <v>2</v>
      </c>
      <c r="B7" s="378" t="s">
        <v>688</v>
      </c>
      <c r="C7" s="531">
        <v>0</v>
      </c>
      <c r="D7" s="531">
        <v>0</v>
      </c>
      <c r="E7" s="531">
        <v>0</v>
      </c>
      <c r="F7" s="531">
        <v>0</v>
      </c>
      <c r="G7" s="531">
        <v>0</v>
      </c>
      <c r="H7" s="531">
        <v>0</v>
      </c>
      <c r="I7" s="531">
        <v>0</v>
      </c>
      <c r="J7" s="531">
        <v>0</v>
      </c>
      <c r="K7" s="531">
        <v>34000000</v>
      </c>
    </row>
    <row r="8" spans="1:11" ht="12.75">
      <c r="A8" s="378">
        <v>3</v>
      </c>
      <c r="B8" s="378" t="s">
        <v>641</v>
      </c>
      <c r="C8" s="531">
        <v>25737845.209999997</v>
      </c>
      <c r="D8" s="531">
        <v>0</v>
      </c>
      <c r="E8" s="531">
        <v>0</v>
      </c>
      <c r="F8" s="531">
        <v>0</v>
      </c>
      <c r="G8" s="531">
        <v>18682725.589999996</v>
      </c>
      <c r="H8" s="531">
        <v>0</v>
      </c>
      <c r="I8" s="531">
        <v>4563705.12</v>
      </c>
      <c r="J8" s="531">
        <v>0</v>
      </c>
      <c r="K8" s="531">
        <v>49166890.77780012</v>
      </c>
    </row>
    <row r="9" spans="1:11" ht="12.75">
      <c r="A9" s="378">
        <v>4</v>
      </c>
      <c r="B9" s="401" t="s">
        <v>689</v>
      </c>
      <c r="C9" s="531">
        <v>21192.179999999997</v>
      </c>
      <c r="D9" s="531">
        <v>1279485.504</v>
      </c>
      <c r="E9" s="531">
        <v>0</v>
      </c>
      <c r="F9" s="531">
        <v>0</v>
      </c>
      <c r="G9" s="531">
        <v>53894673.580000028</v>
      </c>
      <c r="H9" s="531">
        <v>0</v>
      </c>
      <c r="I9" s="531">
        <v>1367798.8</v>
      </c>
      <c r="J9" s="531">
        <v>0</v>
      </c>
      <c r="K9" s="531">
        <v>1398849.8842999786</v>
      </c>
    </row>
    <row r="10" spans="1:11" ht="12.75">
      <c r="A10" s="378">
        <v>5</v>
      </c>
      <c r="B10" s="401" t="s">
        <v>690</v>
      </c>
      <c r="C10" s="531">
        <v>0</v>
      </c>
      <c r="D10" s="531">
        <v>0</v>
      </c>
      <c r="E10" s="531">
        <v>0</v>
      </c>
      <c r="F10" s="531">
        <v>0</v>
      </c>
      <c r="G10" s="531">
        <v>0</v>
      </c>
      <c r="H10" s="531">
        <v>0</v>
      </c>
      <c r="I10" s="531">
        <v>0</v>
      </c>
      <c r="J10" s="531">
        <v>0</v>
      </c>
      <c r="K10" s="531">
        <v>0</v>
      </c>
    </row>
    <row r="11" spans="1:11" ht="12.75">
      <c r="A11" s="378">
        <v>6</v>
      </c>
      <c r="B11" s="401" t="s">
        <v>691</v>
      </c>
      <c r="C11" s="531">
        <v>11510</v>
      </c>
      <c r="D11" s="531">
        <v>0</v>
      </c>
      <c r="E11" s="531">
        <v>0</v>
      </c>
      <c r="F11" s="531">
        <v>0</v>
      </c>
      <c r="G11" s="531">
        <v>0</v>
      </c>
      <c r="H11" s="531">
        <v>0</v>
      </c>
      <c r="I11" s="531">
        <v>0</v>
      </c>
      <c r="J11" s="531">
        <v>0</v>
      </c>
      <c r="K11" s="531">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workbookViewId="0">
      <selection activeCell="A17" sqref="A17"/>
    </sheetView>
  </sheetViews>
  <sheetFormatPr defaultRowHeight="15"/>
  <cols>
    <col min="1" max="1" width="10" bestFit="1" customWidth="1"/>
    <col min="2" max="2" width="71.7109375" customWidth="1"/>
    <col min="3" max="3" width="10.5703125" bestFit="1" customWidth="1"/>
    <col min="4" max="4" width="10.7109375" bestFit="1" customWidth="1"/>
    <col min="5"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373" t="s">
        <v>30</v>
      </c>
      <c r="B1" s="381" t="str">
        <f>'16. NSFR'!B1</f>
        <v>Terabank</v>
      </c>
    </row>
    <row r="2" spans="1:19">
      <c r="A2" s="373" t="s">
        <v>31</v>
      </c>
      <c r="B2" s="406">
        <f>'1. key ratios '!B2</f>
        <v>44561</v>
      </c>
    </row>
    <row r="3" spans="1:19">
      <c r="A3" s="374" t="s">
        <v>745</v>
      </c>
      <c r="B3" s="381"/>
    </row>
    <row r="4" spans="1:19">
      <c r="A4" s="374"/>
      <c r="B4" s="381"/>
    </row>
    <row r="5" spans="1:19">
      <c r="A5" s="724" t="s">
        <v>746</v>
      </c>
      <c r="B5" s="724"/>
      <c r="C5" s="725" t="s">
        <v>747</v>
      </c>
      <c r="D5" s="725"/>
      <c r="E5" s="725"/>
      <c r="F5" s="725"/>
      <c r="G5" s="725"/>
      <c r="H5" s="725"/>
      <c r="I5" s="725" t="s">
        <v>748</v>
      </c>
      <c r="J5" s="725"/>
      <c r="K5" s="725"/>
      <c r="L5" s="725"/>
      <c r="M5" s="725"/>
      <c r="N5" s="726"/>
      <c r="O5" s="723" t="s">
        <v>749</v>
      </c>
      <c r="P5" s="723" t="s">
        <v>750</v>
      </c>
      <c r="Q5" s="723" t="s">
        <v>751</v>
      </c>
      <c r="R5" s="723" t="s">
        <v>752</v>
      </c>
      <c r="S5" s="723" t="s">
        <v>753</v>
      </c>
    </row>
    <row r="6" spans="1:19" ht="24" customHeight="1">
      <c r="A6" s="724"/>
      <c r="B6" s="724"/>
      <c r="C6" s="607"/>
      <c r="D6" s="399" t="s">
        <v>672</v>
      </c>
      <c r="E6" s="399" t="s">
        <v>673</v>
      </c>
      <c r="F6" s="399" t="s">
        <v>674</v>
      </c>
      <c r="G6" s="399" t="s">
        <v>675</v>
      </c>
      <c r="H6" s="399" t="s">
        <v>676</v>
      </c>
      <c r="I6" s="607"/>
      <c r="J6" s="399" t="s">
        <v>672</v>
      </c>
      <c r="K6" s="399" t="s">
        <v>673</v>
      </c>
      <c r="L6" s="399" t="s">
        <v>674</v>
      </c>
      <c r="M6" s="399" t="s">
        <v>675</v>
      </c>
      <c r="N6" s="608" t="s">
        <v>676</v>
      </c>
      <c r="O6" s="723"/>
      <c r="P6" s="723"/>
      <c r="Q6" s="723"/>
      <c r="R6" s="723"/>
      <c r="S6" s="723"/>
    </row>
    <row r="7" spans="1:19">
      <c r="A7" s="609">
        <v>1</v>
      </c>
      <c r="B7" s="610" t="s">
        <v>754</v>
      </c>
      <c r="C7" s="611">
        <v>5289365.3955000006</v>
      </c>
      <c r="D7" s="611">
        <v>5271965.3955000006</v>
      </c>
      <c r="E7" s="611">
        <v>17400</v>
      </c>
      <c r="F7" s="611">
        <v>0</v>
      </c>
      <c r="G7" s="611">
        <v>0</v>
      </c>
      <c r="H7" s="611">
        <v>0</v>
      </c>
      <c r="I7" s="611">
        <v>107179.42229999999</v>
      </c>
      <c r="J7" s="611">
        <v>105439.42229999999</v>
      </c>
      <c r="K7" s="611">
        <v>1740</v>
      </c>
      <c r="L7" s="611">
        <v>0</v>
      </c>
      <c r="M7" s="611">
        <v>0</v>
      </c>
      <c r="N7" s="611">
        <v>0</v>
      </c>
      <c r="O7" s="611">
        <v>424</v>
      </c>
      <c r="P7" s="612">
        <v>0.37959852249183018</v>
      </c>
      <c r="Q7" s="612">
        <v>0.45741119572404315</v>
      </c>
      <c r="R7" s="612">
        <v>0.35639999999999999</v>
      </c>
      <c r="S7" s="611">
        <v>28.9939</v>
      </c>
    </row>
    <row r="8" spans="1:19">
      <c r="A8" s="609">
        <v>2</v>
      </c>
      <c r="B8" s="613" t="s">
        <v>755</v>
      </c>
      <c r="C8" s="611">
        <v>88498090.789800003</v>
      </c>
      <c r="D8" s="611">
        <v>80522115.863099992</v>
      </c>
      <c r="E8" s="611">
        <v>3767987.0073000002</v>
      </c>
      <c r="F8" s="611">
        <v>1967154.6047999999</v>
      </c>
      <c r="G8" s="611">
        <v>1660019.9545999998</v>
      </c>
      <c r="H8" s="611">
        <v>580813.36</v>
      </c>
      <c r="I8" s="611">
        <v>3710546.8271999997</v>
      </c>
      <c r="J8" s="611">
        <v>1332777.8624</v>
      </c>
      <c r="K8" s="611">
        <v>376798.91850000003</v>
      </c>
      <c r="L8" s="611">
        <v>590146.45160000003</v>
      </c>
      <c r="M8" s="611">
        <v>830010.23470000003</v>
      </c>
      <c r="N8" s="611">
        <v>580813.36</v>
      </c>
      <c r="O8" s="611">
        <v>6563</v>
      </c>
      <c r="P8" s="612">
        <v>0.13064131228182124</v>
      </c>
      <c r="Q8" s="612">
        <v>0.16417769301138152</v>
      </c>
      <c r="R8" s="612">
        <v>0.1239</v>
      </c>
      <c r="S8" s="611">
        <v>44.656100000000002</v>
      </c>
    </row>
    <row r="9" spans="1:19">
      <c r="A9" s="609">
        <v>3</v>
      </c>
      <c r="B9" s="613" t="s">
        <v>756</v>
      </c>
      <c r="C9" s="611">
        <v>0</v>
      </c>
      <c r="D9" s="611">
        <v>0</v>
      </c>
      <c r="E9" s="611">
        <v>0</v>
      </c>
      <c r="F9" s="611">
        <v>0</v>
      </c>
      <c r="G9" s="611">
        <v>0</v>
      </c>
      <c r="H9" s="611">
        <v>0</v>
      </c>
      <c r="I9" s="611">
        <v>0</v>
      </c>
      <c r="J9" s="611">
        <v>0</v>
      </c>
      <c r="K9" s="611">
        <v>0</v>
      </c>
      <c r="L9" s="611">
        <v>0</v>
      </c>
      <c r="M9" s="611">
        <v>0</v>
      </c>
      <c r="N9" s="611">
        <v>0</v>
      </c>
      <c r="O9" s="611">
        <v>0</v>
      </c>
      <c r="P9" s="612">
        <v>0</v>
      </c>
      <c r="Q9" s="612">
        <v>0</v>
      </c>
      <c r="R9" s="612">
        <v>0</v>
      </c>
      <c r="S9" s="611">
        <v>0</v>
      </c>
    </row>
    <row r="10" spans="1:19">
      <c r="A10" s="609">
        <v>4</v>
      </c>
      <c r="B10" s="613" t="s">
        <v>757</v>
      </c>
      <c r="C10" s="611">
        <v>6723.55</v>
      </c>
      <c r="D10" s="611">
        <v>6723.55</v>
      </c>
      <c r="E10" s="611">
        <v>0</v>
      </c>
      <c r="F10" s="611">
        <v>0</v>
      </c>
      <c r="G10" s="611">
        <v>0</v>
      </c>
      <c r="H10" s="611">
        <v>0</v>
      </c>
      <c r="I10" s="611">
        <v>134.47</v>
      </c>
      <c r="J10" s="611">
        <v>134.47</v>
      </c>
      <c r="K10" s="611">
        <v>0</v>
      </c>
      <c r="L10" s="611">
        <v>0</v>
      </c>
      <c r="M10" s="611">
        <v>0</v>
      </c>
      <c r="N10" s="611">
        <v>0</v>
      </c>
      <c r="O10" s="611">
        <v>9</v>
      </c>
      <c r="P10" s="612">
        <v>0</v>
      </c>
      <c r="Q10" s="612">
        <v>0.26380789429721307</v>
      </c>
      <c r="R10" s="612">
        <v>0</v>
      </c>
      <c r="S10" s="611">
        <v>14.718400000000001</v>
      </c>
    </row>
    <row r="11" spans="1:19">
      <c r="A11" s="609">
        <v>5</v>
      </c>
      <c r="B11" s="613" t="s">
        <v>758</v>
      </c>
      <c r="C11" s="611">
        <v>2409839.4109</v>
      </c>
      <c r="D11" s="611">
        <v>2160659.6126000001</v>
      </c>
      <c r="E11" s="611">
        <v>106415.75</v>
      </c>
      <c r="F11" s="611">
        <v>30998.2</v>
      </c>
      <c r="G11" s="611">
        <v>17621.38</v>
      </c>
      <c r="H11" s="611">
        <v>94144.468299999993</v>
      </c>
      <c r="I11" s="611">
        <v>165890.62829999998</v>
      </c>
      <c r="J11" s="611">
        <v>42994.31</v>
      </c>
      <c r="K11" s="611">
        <v>10641.65</v>
      </c>
      <c r="L11" s="611">
        <v>9299.4699999999993</v>
      </c>
      <c r="M11" s="611">
        <v>8810.73</v>
      </c>
      <c r="N11" s="611">
        <v>94144.468299999993</v>
      </c>
      <c r="O11" s="611">
        <v>3528</v>
      </c>
      <c r="P11" s="612">
        <v>0.14113940095329455</v>
      </c>
      <c r="Q11" s="612">
        <v>0.14947069560535148</v>
      </c>
      <c r="R11" s="612">
        <v>0.13980000000000001</v>
      </c>
      <c r="S11" s="611">
        <v>28.769100000000002</v>
      </c>
    </row>
    <row r="12" spans="1:19">
      <c r="A12" s="609">
        <v>6</v>
      </c>
      <c r="B12" s="613" t="s">
        <v>759</v>
      </c>
      <c r="C12" s="611">
        <v>2206989.3699999996</v>
      </c>
      <c r="D12" s="611">
        <v>1837094.2026</v>
      </c>
      <c r="E12" s="611">
        <v>268693.30739999999</v>
      </c>
      <c r="F12" s="611">
        <v>40049.230000000003</v>
      </c>
      <c r="G12" s="611">
        <v>46194.78</v>
      </c>
      <c r="H12" s="611">
        <v>14957.85</v>
      </c>
      <c r="I12" s="611">
        <v>113577.2258</v>
      </c>
      <c r="J12" s="611">
        <v>36637.751400000001</v>
      </c>
      <c r="K12" s="611">
        <v>26869.434399999998</v>
      </c>
      <c r="L12" s="611">
        <v>12014.77</v>
      </c>
      <c r="M12" s="611">
        <v>23097.42</v>
      </c>
      <c r="N12" s="611">
        <v>14957.85</v>
      </c>
      <c r="O12" s="611">
        <v>1520</v>
      </c>
      <c r="P12" s="612">
        <v>0.26750618479623584</v>
      </c>
      <c r="Q12" s="612">
        <v>0.33036396953739944</v>
      </c>
      <c r="R12" s="612">
        <v>0.27429999999999999</v>
      </c>
      <c r="S12" s="611">
        <v>36.4191</v>
      </c>
    </row>
    <row r="13" spans="1:19">
      <c r="A13" s="609">
        <v>7</v>
      </c>
      <c r="B13" s="613" t="s">
        <v>760</v>
      </c>
      <c r="C13" s="611">
        <v>101475549.15000001</v>
      </c>
      <c r="D13" s="611">
        <v>93048126.182900012</v>
      </c>
      <c r="E13" s="611">
        <v>3655147.2215</v>
      </c>
      <c r="F13" s="611">
        <v>3610335.9667999996</v>
      </c>
      <c r="G13" s="611">
        <v>1161939.7788</v>
      </c>
      <c r="H13" s="611">
        <v>0</v>
      </c>
      <c r="I13" s="611">
        <v>3890548.1645</v>
      </c>
      <c r="J13" s="611">
        <v>1860962.6906000001</v>
      </c>
      <c r="K13" s="611">
        <v>365514.74179999996</v>
      </c>
      <c r="L13" s="611">
        <v>1083100.7967000001</v>
      </c>
      <c r="M13" s="611">
        <v>580969.93540000007</v>
      </c>
      <c r="N13" s="611">
        <v>0</v>
      </c>
      <c r="O13" s="611">
        <v>1336</v>
      </c>
      <c r="P13" s="612">
        <v>0.10698603658372791</v>
      </c>
      <c r="Q13" s="612">
        <v>0.12802763693940761</v>
      </c>
      <c r="R13" s="612">
        <v>0.1104</v>
      </c>
      <c r="S13" s="611">
        <v>116.1932</v>
      </c>
    </row>
    <row r="14" spans="1:19">
      <c r="A14" s="609">
        <v>7.1</v>
      </c>
      <c r="B14" s="614" t="s">
        <v>761</v>
      </c>
      <c r="C14" s="611">
        <v>73040401.4745</v>
      </c>
      <c r="D14" s="611">
        <v>67654767.989700004</v>
      </c>
      <c r="E14" s="611">
        <v>2138689.8473999999</v>
      </c>
      <c r="F14" s="611">
        <v>2894553.3476999998</v>
      </c>
      <c r="G14" s="611">
        <v>352390.28969999996</v>
      </c>
      <c r="H14" s="611">
        <v>0</v>
      </c>
      <c r="I14" s="611">
        <v>2611525.6706000003</v>
      </c>
      <c r="J14" s="611">
        <v>1353095.4498000001</v>
      </c>
      <c r="K14" s="611">
        <v>213869.01079999999</v>
      </c>
      <c r="L14" s="611">
        <v>868366.0242000001</v>
      </c>
      <c r="M14" s="611">
        <v>176195.18580000001</v>
      </c>
      <c r="N14" s="611">
        <v>0</v>
      </c>
      <c r="O14" s="611">
        <v>872</v>
      </c>
      <c r="P14" s="612">
        <v>0.10114598835335104</v>
      </c>
      <c r="Q14" s="612">
        <v>0.11882000132640978</v>
      </c>
      <c r="R14" s="612">
        <v>0.1077</v>
      </c>
      <c r="S14" s="611">
        <v>118.8115</v>
      </c>
    </row>
    <row r="15" spans="1:19">
      <c r="A15" s="609">
        <v>7.2</v>
      </c>
      <c r="B15" s="614" t="s">
        <v>762</v>
      </c>
      <c r="C15" s="611">
        <v>23500423.433600001</v>
      </c>
      <c r="D15" s="611">
        <v>21200025.044199999</v>
      </c>
      <c r="E15" s="611">
        <v>1401990.6603000001</v>
      </c>
      <c r="F15" s="611">
        <v>715782.61910000001</v>
      </c>
      <c r="G15" s="611">
        <v>182625.11</v>
      </c>
      <c r="H15" s="611">
        <v>0</v>
      </c>
      <c r="I15" s="611">
        <v>870246.94669999997</v>
      </c>
      <c r="J15" s="611">
        <v>424000.54849999998</v>
      </c>
      <c r="K15" s="611">
        <v>140199.06570000001</v>
      </c>
      <c r="L15" s="611">
        <v>214734.77250000002</v>
      </c>
      <c r="M15" s="611">
        <v>91312.56</v>
      </c>
      <c r="N15" s="611">
        <v>0</v>
      </c>
      <c r="O15" s="611">
        <v>375</v>
      </c>
      <c r="P15" s="612">
        <v>0.12418686853200459</v>
      </c>
      <c r="Q15" s="612">
        <v>0.14570387888079725</v>
      </c>
      <c r="R15" s="612">
        <v>0.1167</v>
      </c>
      <c r="S15" s="611">
        <v>102.81</v>
      </c>
    </row>
    <row r="16" spans="1:19">
      <c r="A16" s="609">
        <v>7.3</v>
      </c>
      <c r="B16" s="614" t="s">
        <v>763</v>
      </c>
      <c r="C16" s="611">
        <v>4934724.2419000007</v>
      </c>
      <c r="D16" s="611">
        <v>4193333.1490000002</v>
      </c>
      <c r="E16" s="611">
        <v>114466.7138</v>
      </c>
      <c r="F16" s="611">
        <v>0</v>
      </c>
      <c r="G16" s="611">
        <v>626924.37910000002</v>
      </c>
      <c r="H16" s="611">
        <v>0</v>
      </c>
      <c r="I16" s="611">
        <v>408775.54720000003</v>
      </c>
      <c r="J16" s="611">
        <v>83866.69230000001</v>
      </c>
      <c r="K16" s="611">
        <v>11446.665300000001</v>
      </c>
      <c r="L16" s="611">
        <v>0</v>
      </c>
      <c r="M16" s="611">
        <v>313462.18959999998</v>
      </c>
      <c r="N16" s="611">
        <v>0</v>
      </c>
      <c r="O16" s="611">
        <v>89</v>
      </c>
      <c r="P16" s="612">
        <v>0.11998187962254526</v>
      </c>
      <c r="Q16" s="612">
        <v>0.152400012751849</v>
      </c>
      <c r="R16" s="612">
        <v>0.12039999999999999</v>
      </c>
      <c r="S16" s="611">
        <v>142.2439</v>
      </c>
    </row>
    <row r="17" spans="1:19">
      <c r="A17" s="609">
        <v>8</v>
      </c>
      <c r="B17" s="613" t="s">
        <v>764</v>
      </c>
      <c r="C17" s="611">
        <v>0</v>
      </c>
      <c r="D17" s="611">
        <v>0</v>
      </c>
      <c r="E17" s="611">
        <v>0</v>
      </c>
      <c r="F17" s="611">
        <v>0</v>
      </c>
      <c r="G17" s="611">
        <v>0</v>
      </c>
      <c r="H17" s="611">
        <v>0</v>
      </c>
      <c r="I17" s="611">
        <v>0</v>
      </c>
      <c r="J17" s="611">
        <v>0</v>
      </c>
      <c r="K17" s="611">
        <v>0</v>
      </c>
      <c r="L17" s="611">
        <v>0</v>
      </c>
      <c r="M17" s="611">
        <v>0</v>
      </c>
      <c r="N17" s="611">
        <v>0</v>
      </c>
      <c r="O17" s="611">
        <v>0</v>
      </c>
      <c r="P17" s="612">
        <v>0</v>
      </c>
      <c r="Q17" s="612">
        <v>0</v>
      </c>
      <c r="R17" s="612">
        <v>0</v>
      </c>
      <c r="S17" s="611">
        <v>0</v>
      </c>
    </row>
    <row r="18" spans="1:19">
      <c r="A18" s="615">
        <v>9</v>
      </c>
      <c r="B18" s="616" t="s">
        <v>765</v>
      </c>
      <c r="C18" s="611">
        <v>235652.39</v>
      </c>
      <c r="D18" s="611">
        <v>235652.39</v>
      </c>
      <c r="E18" s="611">
        <v>0</v>
      </c>
      <c r="F18" s="611">
        <v>0</v>
      </c>
      <c r="G18" s="611">
        <v>0</v>
      </c>
      <c r="H18" s="611">
        <v>0</v>
      </c>
      <c r="I18" s="611">
        <v>4713.05</v>
      </c>
      <c r="J18" s="611">
        <v>4713.05</v>
      </c>
      <c r="K18" s="611">
        <v>0</v>
      </c>
      <c r="L18" s="611">
        <v>0</v>
      </c>
      <c r="M18" s="611">
        <v>0</v>
      </c>
      <c r="N18" s="611">
        <v>0</v>
      </c>
      <c r="O18" s="611">
        <v>33</v>
      </c>
      <c r="P18" s="612">
        <v>0.10884208560655584</v>
      </c>
      <c r="Q18" s="612">
        <v>0.10884208560655584</v>
      </c>
      <c r="R18" s="612">
        <v>0.1132</v>
      </c>
      <c r="S18" s="611">
        <v>73.635800000000003</v>
      </c>
    </row>
    <row r="19" spans="1:19">
      <c r="A19" s="609">
        <v>10</v>
      </c>
      <c r="B19" s="619" t="s">
        <v>766</v>
      </c>
      <c r="C19" s="617">
        <v>200122210.0562</v>
      </c>
      <c r="D19" s="617">
        <v>183082337.19669998</v>
      </c>
      <c r="E19" s="617">
        <v>7815643.2862</v>
      </c>
      <c r="F19" s="617">
        <v>5648538.0015999991</v>
      </c>
      <c r="G19" s="617">
        <v>2885775.8933999995</v>
      </c>
      <c r="H19" s="617">
        <v>689915.67829999991</v>
      </c>
      <c r="I19" s="617">
        <v>7992589.7880999995</v>
      </c>
      <c r="J19" s="617">
        <v>3383659.5566999996</v>
      </c>
      <c r="K19" s="617">
        <v>781564.74470000004</v>
      </c>
      <c r="L19" s="617">
        <v>1694561.4883000001</v>
      </c>
      <c r="M19" s="617">
        <v>1442888.3201000001</v>
      </c>
      <c r="N19" s="617">
        <v>689915.67829999991</v>
      </c>
      <c r="O19" s="617">
        <v>13413</v>
      </c>
      <c r="P19" s="618">
        <v>0.16926215490532517</v>
      </c>
      <c r="Q19" s="618">
        <v>0.20028763328601676</v>
      </c>
      <c r="R19" s="618">
        <v>0.12503306094475164</v>
      </c>
      <c r="S19" s="617">
        <v>79.261102809268678</v>
      </c>
    </row>
    <row r="20" spans="1:19">
      <c r="A20" s="609">
        <v>10.1</v>
      </c>
      <c r="B20" s="620"/>
      <c r="C20" s="611">
        <v>0</v>
      </c>
      <c r="D20" s="611">
        <v>0</v>
      </c>
      <c r="E20" s="611">
        <v>0</v>
      </c>
      <c r="F20" s="611">
        <v>0</v>
      </c>
      <c r="G20" s="611">
        <v>0</v>
      </c>
      <c r="H20" s="611">
        <v>0</v>
      </c>
      <c r="I20" s="611">
        <v>0</v>
      </c>
      <c r="J20" s="611">
        <v>0</v>
      </c>
      <c r="K20" s="611">
        <v>0</v>
      </c>
      <c r="L20" s="611">
        <v>0</v>
      </c>
      <c r="M20" s="611">
        <v>0</v>
      </c>
      <c r="N20" s="611">
        <v>0</v>
      </c>
      <c r="O20" s="611">
        <v>0</v>
      </c>
      <c r="P20" s="612">
        <v>0</v>
      </c>
      <c r="Q20" s="612">
        <v>0</v>
      </c>
      <c r="R20" s="612">
        <v>0</v>
      </c>
      <c r="S20" s="611">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38">
        <f>'1. key ratios '!B2</f>
        <v>44561</v>
      </c>
    </row>
    <row r="3" spans="1:8">
      <c r="A3" s="2"/>
    </row>
    <row r="4" spans="1:8" ht="15" thickBot="1">
      <c r="A4" s="3" t="s">
        <v>32</v>
      </c>
      <c r="B4" s="13" t="s">
        <v>33</v>
      </c>
      <c r="C4" s="3"/>
      <c r="D4" s="14"/>
      <c r="E4" s="14"/>
      <c r="F4" s="15"/>
      <c r="G4" s="15"/>
      <c r="H4" s="16" t="s">
        <v>73</v>
      </c>
    </row>
    <row r="5" spans="1:8">
      <c r="A5" s="17"/>
      <c r="B5" s="18"/>
      <c r="C5" s="623" t="s">
        <v>68</v>
      </c>
      <c r="D5" s="624"/>
      <c r="E5" s="625"/>
      <c r="F5" s="623" t="s">
        <v>72</v>
      </c>
      <c r="G5" s="624"/>
      <c r="H5" s="626"/>
    </row>
    <row r="6" spans="1:8">
      <c r="A6" s="19" t="s">
        <v>6</v>
      </c>
      <c r="B6" s="20" t="s">
        <v>34</v>
      </c>
      <c r="C6" s="21" t="s">
        <v>69</v>
      </c>
      <c r="D6" s="21" t="s">
        <v>70</v>
      </c>
      <c r="E6" s="21" t="s">
        <v>71</v>
      </c>
      <c r="F6" s="21" t="s">
        <v>69</v>
      </c>
      <c r="G6" s="21" t="s">
        <v>70</v>
      </c>
      <c r="H6" s="22" t="s">
        <v>71</v>
      </c>
    </row>
    <row r="7" spans="1:8" ht="15.75">
      <c r="A7" s="19">
        <v>1</v>
      </c>
      <c r="B7" s="23" t="s">
        <v>35</v>
      </c>
      <c r="C7" s="433">
        <v>13973379.049999995</v>
      </c>
      <c r="D7" s="433">
        <v>20310312.34</v>
      </c>
      <c r="E7" s="434">
        <f>C7+D7</f>
        <v>34283691.389999993</v>
      </c>
      <c r="F7" s="563">
        <v>16410602.930000003</v>
      </c>
      <c r="G7" s="449">
        <v>27362369.219999999</v>
      </c>
      <c r="H7" s="435">
        <f>F7+G7</f>
        <v>43772972.150000006</v>
      </c>
    </row>
    <row r="8" spans="1:8" ht="15.75">
      <c r="A8" s="19">
        <v>2</v>
      </c>
      <c r="B8" s="23" t="s">
        <v>36</v>
      </c>
      <c r="C8" s="433">
        <v>21270443.460000001</v>
      </c>
      <c r="D8" s="433">
        <v>148013878.81999999</v>
      </c>
      <c r="E8" s="434">
        <f t="shared" ref="E8:E20" si="0">C8+D8</f>
        <v>169284322.28</v>
      </c>
      <c r="F8" s="563">
        <v>16673106.18</v>
      </c>
      <c r="G8" s="449">
        <v>150957176.19</v>
      </c>
      <c r="H8" s="435">
        <f t="shared" ref="H8:H40" si="1">F8+G8</f>
        <v>167630282.37</v>
      </c>
    </row>
    <row r="9" spans="1:8" ht="15.75">
      <c r="A9" s="19">
        <v>3</v>
      </c>
      <c r="B9" s="23" t="s">
        <v>37</v>
      </c>
      <c r="C9" s="433">
        <v>181621.38</v>
      </c>
      <c r="D9" s="433">
        <v>27589534.109999992</v>
      </c>
      <c r="E9" s="434">
        <f t="shared" si="0"/>
        <v>27771155.489999991</v>
      </c>
      <c r="F9" s="563">
        <v>128806.55</v>
      </c>
      <c r="G9" s="449">
        <v>25588509.780000001</v>
      </c>
      <c r="H9" s="435">
        <f t="shared" si="1"/>
        <v>25717316.330000002</v>
      </c>
    </row>
    <row r="10" spans="1:8" ht="15.75">
      <c r="A10" s="19">
        <v>4</v>
      </c>
      <c r="B10" s="23" t="s">
        <v>38</v>
      </c>
      <c r="C10" s="433">
        <v>0</v>
      </c>
      <c r="D10" s="433">
        <v>0</v>
      </c>
      <c r="E10" s="434">
        <f t="shared" si="0"/>
        <v>0</v>
      </c>
      <c r="F10" s="563">
        <v>0</v>
      </c>
      <c r="G10" s="449">
        <v>0</v>
      </c>
      <c r="H10" s="435">
        <f t="shared" si="1"/>
        <v>0</v>
      </c>
    </row>
    <row r="11" spans="1:8" ht="15.75">
      <c r="A11" s="19">
        <v>5</v>
      </c>
      <c r="B11" s="23" t="s">
        <v>39</v>
      </c>
      <c r="C11" s="433">
        <v>125268448.30000001</v>
      </c>
      <c r="D11" s="433">
        <v>0</v>
      </c>
      <c r="E11" s="434">
        <f t="shared" si="0"/>
        <v>125268448.30000001</v>
      </c>
      <c r="F11" s="563">
        <v>86034475.840000004</v>
      </c>
      <c r="G11" s="449">
        <v>0</v>
      </c>
      <c r="H11" s="435">
        <f t="shared" si="1"/>
        <v>86034475.840000004</v>
      </c>
    </row>
    <row r="12" spans="1:8" ht="15.75">
      <c r="A12" s="19">
        <v>6.1</v>
      </c>
      <c r="B12" s="24" t="s">
        <v>40</v>
      </c>
      <c r="C12" s="433">
        <v>439375169.17000103</v>
      </c>
      <c r="D12" s="433">
        <v>533363177.46999985</v>
      </c>
      <c r="E12" s="434">
        <f t="shared" si="0"/>
        <v>972738346.64000082</v>
      </c>
      <c r="F12" s="563">
        <v>344378752.22000217</v>
      </c>
      <c r="G12" s="449">
        <v>582962220.08999991</v>
      </c>
      <c r="H12" s="435">
        <f t="shared" si="1"/>
        <v>927340972.31000209</v>
      </c>
    </row>
    <row r="13" spans="1:8" ht="15.75">
      <c r="A13" s="19">
        <v>6.2</v>
      </c>
      <c r="B13" s="24" t="s">
        <v>41</v>
      </c>
      <c r="C13" s="433">
        <v>17954998.750000238</v>
      </c>
      <c r="D13" s="433">
        <v>31143445.489999987</v>
      </c>
      <c r="E13" s="434">
        <f t="shared" si="0"/>
        <v>49098444.240000226</v>
      </c>
      <c r="F13" s="563">
        <v>18068635.930000551</v>
      </c>
      <c r="G13" s="449">
        <v>36750850.449999996</v>
      </c>
      <c r="H13" s="435">
        <f t="shared" si="1"/>
        <v>54819486.380000547</v>
      </c>
    </row>
    <row r="14" spans="1:8" ht="15.75">
      <c r="A14" s="19">
        <v>6</v>
      </c>
      <c r="B14" s="23" t="s">
        <v>42</v>
      </c>
      <c r="C14" s="434">
        <f>C12-C13</f>
        <v>421420170.42000079</v>
      </c>
      <c r="D14" s="434">
        <f>D12-D13</f>
        <v>502219731.97999984</v>
      </c>
      <c r="E14" s="434">
        <f t="shared" si="0"/>
        <v>923639902.40000057</v>
      </c>
      <c r="F14" s="434">
        <f>F12-F13</f>
        <v>326310116.29000163</v>
      </c>
      <c r="G14" s="434">
        <f>G12-G13</f>
        <v>546211369.63999987</v>
      </c>
      <c r="H14" s="435">
        <f t="shared" si="1"/>
        <v>872521485.9300015</v>
      </c>
    </row>
    <row r="15" spans="1:8" ht="15.75">
      <c r="A15" s="19">
        <v>7</v>
      </c>
      <c r="B15" s="23" t="s">
        <v>43</v>
      </c>
      <c r="C15" s="433">
        <v>6174846.1899999781</v>
      </c>
      <c r="D15" s="433">
        <v>6772223.1499999966</v>
      </c>
      <c r="E15" s="434">
        <f t="shared" si="0"/>
        <v>12947069.339999974</v>
      </c>
      <c r="F15" s="563">
        <v>5525332.6399999969</v>
      </c>
      <c r="G15" s="449">
        <v>6129155.6299999971</v>
      </c>
      <c r="H15" s="435">
        <f t="shared" si="1"/>
        <v>11654488.269999994</v>
      </c>
    </row>
    <row r="16" spans="1:8" ht="15.75">
      <c r="A16" s="19">
        <v>8</v>
      </c>
      <c r="B16" s="23" t="s">
        <v>199</v>
      </c>
      <c r="C16" s="433">
        <v>3324611.5599999987</v>
      </c>
      <c r="D16" s="433">
        <v>0</v>
      </c>
      <c r="E16" s="434">
        <f t="shared" si="0"/>
        <v>3324611.5599999987</v>
      </c>
      <c r="F16" s="563">
        <v>2925491.7600000296</v>
      </c>
      <c r="G16" s="449">
        <v>0</v>
      </c>
      <c r="H16" s="435">
        <f t="shared" si="1"/>
        <v>2925491.7600000296</v>
      </c>
    </row>
    <row r="17" spans="1:8" ht="15.75">
      <c r="A17" s="19">
        <v>9</v>
      </c>
      <c r="B17" s="23" t="s">
        <v>44</v>
      </c>
      <c r="C17" s="433">
        <v>0</v>
      </c>
      <c r="D17" s="433">
        <v>0</v>
      </c>
      <c r="E17" s="434">
        <f t="shared" si="0"/>
        <v>0</v>
      </c>
      <c r="F17" s="563">
        <v>0</v>
      </c>
      <c r="G17" s="449">
        <v>0</v>
      </c>
      <c r="H17" s="435">
        <f t="shared" si="1"/>
        <v>0</v>
      </c>
    </row>
    <row r="18" spans="1:8" ht="15.75">
      <c r="A18" s="19">
        <v>10</v>
      </c>
      <c r="B18" s="23" t="s">
        <v>45</v>
      </c>
      <c r="C18" s="433">
        <v>46782317.159999982</v>
      </c>
      <c r="D18" s="433">
        <v>0</v>
      </c>
      <c r="E18" s="434">
        <f t="shared" si="0"/>
        <v>46782317.159999982</v>
      </c>
      <c r="F18" s="563">
        <v>46763488.780000001</v>
      </c>
      <c r="G18" s="449">
        <v>0</v>
      </c>
      <c r="H18" s="435">
        <f t="shared" si="1"/>
        <v>46763488.780000001</v>
      </c>
    </row>
    <row r="19" spans="1:8" ht="15.75">
      <c r="A19" s="19">
        <v>11</v>
      </c>
      <c r="B19" s="23" t="s">
        <v>46</v>
      </c>
      <c r="C19" s="433">
        <v>6761073.2130000005</v>
      </c>
      <c r="D19" s="433">
        <v>1238514.7999999998</v>
      </c>
      <c r="E19" s="434">
        <f t="shared" si="0"/>
        <v>7999588.0130000003</v>
      </c>
      <c r="F19" s="563">
        <v>6417213.4799999995</v>
      </c>
      <c r="G19" s="449">
        <v>284123.5400000001</v>
      </c>
      <c r="H19" s="435">
        <f t="shared" si="1"/>
        <v>6701337.0199999996</v>
      </c>
    </row>
    <row r="20" spans="1:8" ht="15.75">
      <c r="A20" s="19">
        <v>12</v>
      </c>
      <c r="B20" s="26" t="s">
        <v>47</v>
      </c>
      <c r="C20" s="434">
        <f>SUM(C7:C11)+SUM(C14:C19)</f>
        <v>645156910.73300076</v>
      </c>
      <c r="D20" s="434">
        <f>SUM(D7:D11)+SUM(D14:D19)</f>
        <v>706144195.19999981</v>
      </c>
      <c r="E20" s="434">
        <f t="shared" si="0"/>
        <v>1351301105.9330006</v>
      </c>
      <c r="F20" s="434">
        <f>SUM(F7:F11)+SUM(F14:F19)</f>
        <v>507188634.45000172</v>
      </c>
      <c r="G20" s="434">
        <f>SUM(G7:G11)+SUM(G14:G19)</f>
        <v>756532703.99999976</v>
      </c>
      <c r="H20" s="435">
        <f t="shared" si="1"/>
        <v>1263721338.4500015</v>
      </c>
    </row>
    <row r="21" spans="1:8" ht="15.75">
      <c r="A21" s="19"/>
      <c r="B21" s="20" t="s">
        <v>48</v>
      </c>
      <c r="C21" s="436"/>
      <c r="D21" s="436"/>
      <c r="E21" s="436"/>
      <c r="F21" s="564"/>
      <c r="G21" s="565"/>
      <c r="H21" s="437"/>
    </row>
    <row r="22" spans="1:8" ht="15.75">
      <c r="A22" s="19">
        <v>13</v>
      </c>
      <c r="B22" s="23" t="s">
        <v>49</v>
      </c>
      <c r="C22" s="433">
        <v>2571.98</v>
      </c>
      <c r="D22" s="433">
        <v>11272035.07</v>
      </c>
      <c r="E22" s="434">
        <f>C22+D22</f>
        <v>11274607.050000001</v>
      </c>
      <c r="F22" s="563">
        <v>1648.52</v>
      </c>
      <c r="G22" s="449">
        <v>10927221.25</v>
      </c>
      <c r="H22" s="435">
        <f t="shared" si="1"/>
        <v>10928869.77</v>
      </c>
    </row>
    <row r="23" spans="1:8" ht="15.75">
      <c r="A23" s="19">
        <v>14</v>
      </c>
      <c r="B23" s="23" t="s">
        <v>50</v>
      </c>
      <c r="C23" s="433">
        <v>73118260.510000005</v>
      </c>
      <c r="D23" s="433">
        <v>160457853.31003541</v>
      </c>
      <c r="E23" s="434">
        <f t="shared" ref="E23:E40" si="2">C23+D23</f>
        <v>233576113.8200354</v>
      </c>
      <c r="F23" s="563">
        <v>68346518.53999719</v>
      </c>
      <c r="G23" s="449">
        <v>153450950.12999952</v>
      </c>
      <c r="H23" s="435">
        <f t="shared" si="1"/>
        <v>221797468.66999671</v>
      </c>
    </row>
    <row r="24" spans="1:8" ht="15.75">
      <c r="A24" s="19">
        <v>15</v>
      </c>
      <c r="B24" s="23" t="s">
        <v>51</v>
      </c>
      <c r="C24" s="433">
        <v>82697277.729999974</v>
      </c>
      <c r="D24" s="433">
        <v>169586896.36000013</v>
      </c>
      <c r="E24" s="434">
        <f t="shared" si="2"/>
        <v>252284174.09000009</v>
      </c>
      <c r="F24" s="563">
        <v>69326662.749999985</v>
      </c>
      <c r="G24" s="449">
        <v>173476722.85999995</v>
      </c>
      <c r="H24" s="435">
        <f t="shared" si="1"/>
        <v>242803385.60999995</v>
      </c>
    </row>
    <row r="25" spans="1:8" ht="15.75">
      <c r="A25" s="19">
        <v>16</v>
      </c>
      <c r="B25" s="23" t="s">
        <v>52</v>
      </c>
      <c r="C25" s="433">
        <v>149054762.73999998</v>
      </c>
      <c r="D25" s="433">
        <v>249385577.38999927</v>
      </c>
      <c r="E25" s="434">
        <f t="shared" si="2"/>
        <v>398440340.12999928</v>
      </c>
      <c r="F25" s="563">
        <v>143409198.02000004</v>
      </c>
      <c r="G25" s="449">
        <v>250932831.4799999</v>
      </c>
      <c r="H25" s="435">
        <f t="shared" si="1"/>
        <v>394342029.49999994</v>
      </c>
    </row>
    <row r="26" spans="1:8" ht="15.75">
      <c r="A26" s="19">
        <v>17</v>
      </c>
      <c r="B26" s="23" t="s">
        <v>53</v>
      </c>
      <c r="C26" s="436">
        <v>0</v>
      </c>
      <c r="D26" s="436">
        <v>0</v>
      </c>
      <c r="E26" s="434">
        <f t="shared" si="2"/>
        <v>0</v>
      </c>
      <c r="F26" s="564">
        <v>0</v>
      </c>
      <c r="G26" s="565">
        <v>0</v>
      </c>
      <c r="H26" s="435">
        <f t="shared" si="1"/>
        <v>0</v>
      </c>
    </row>
    <row r="27" spans="1:8" ht="15.75">
      <c r="A27" s="19">
        <v>18</v>
      </c>
      <c r="B27" s="23" t="s">
        <v>54</v>
      </c>
      <c r="C27" s="433">
        <v>163722000</v>
      </c>
      <c r="D27" s="433">
        <v>47763840</v>
      </c>
      <c r="E27" s="434">
        <f t="shared" si="2"/>
        <v>211485840</v>
      </c>
      <c r="F27" s="563">
        <v>94532999.999999985</v>
      </c>
      <c r="G27" s="449">
        <v>83883060</v>
      </c>
      <c r="H27" s="435">
        <f t="shared" si="1"/>
        <v>178416060</v>
      </c>
    </row>
    <row r="28" spans="1:8" ht="15.75">
      <c r="A28" s="19">
        <v>19</v>
      </c>
      <c r="B28" s="23" t="s">
        <v>55</v>
      </c>
      <c r="C28" s="433">
        <v>3161545.46</v>
      </c>
      <c r="D28" s="433">
        <v>2400452.8300000024</v>
      </c>
      <c r="E28" s="434">
        <f t="shared" si="2"/>
        <v>5561998.2900000028</v>
      </c>
      <c r="F28" s="563">
        <v>2435904.62</v>
      </c>
      <c r="G28" s="449">
        <v>3366611.3199999942</v>
      </c>
      <c r="H28" s="435">
        <f t="shared" si="1"/>
        <v>5802515.9399999939</v>
      </c>
    </row>
    <row r="29" spans="1:8" ht="15.75">
      <c r="A29" s="19">
        <v>20</v>
      </c>
      <c r="B29" s="23" t="s">
        <v>56</v>
      </c>
      <c r="C29" s="433">
        <v>13875748.120000003</v>
      </c>
      <c r="D29" s="433">
        <v>11472221.060000001</v>
      </c>
      <c r="E29" s="434">
        <f t="shared" si="2"/>
        <v>25347969.180000003</v>
      </c>
      <c r="F29" s="563">
        <v>10481171.060000006</v>
      </c>
      <c r="G29" s="449">
        <v>12421691.089999996</v>
      </c>
      <c r="H29" s="435">
        <f t="shared" si="1"/>
        <v>22902862.150000002</v>
      </c>
    </row>
    <row r="30" spans="1:8" ht="15.75">
      <c r="A30" s="19">
        <v>21</v>
      </c>
      <c r="B30" s="23" t="s">
        <v>57</v>
      </c>
      <c r="C30" s="433">
        <v>0</v>
      </c>
      <c r="D30" s="433">
        <v>57830969.719999999</v>
      </c>
      <c r="E30" s="434">
        <f t="shared" si="2"/>
        <v>57830969.719999999</v>
      </c>
      <c r="F30" s="563">
        <v>0</v>
      </c>
      <c r="G30" s="449">
        <v>61233508.149999999</v>
      </c>
      <c r="H30" s="435">
        <f t="shared" si="1"/>
        <v>61233508.149999999</v>
      </c>
    </row>
    <row r="31" spans="1:8" ht="15.75">
      <c r="A31" s="19">
        <v>22</v>
      </c>
      <c r="B31" s="26" t="s">
        <v>58</v>
      </c>
      <c r="C31" s="434">
        <f>SUM(C22:C30)</f>
        <v>485632166.5399999</v>
      </c>
      <c r="D31" s="434">
        <f>SUM(D22:D30)</f>
        <v>710169845.74003482</v>
      </c>
      <c r="E31" s="434">
        <f>C31+D31</f>
        <v>1195802012.2800348</v>
      </c>
      <c r="F31" s="434">
        <f>SUM(F22:F30)</f>
        <v>388534103.50999719</v>
      </c>
      <c r="G31" s="434">
        <f>SUM(G22:G30)</f>
        <v>749692596.27999938</v>
      </c>
      <c r="H31" s="435">
        <f t="shared" si="1"/>
        <v>1138226699.7899966</v>
      </c>
    </row>
    <row r="32" spans="1:8" ht="15.75">
      <c r="A32" s="19"/>
      <c r="B32" s="20" t="s">
        <v>59</v>
      </c>
      <c r="C32" s="436"/>
      <c r="D32" s="436"/>
      <c r="E32" s="433"/>
      <c r="F32" s="564"/>
      <c r="G32" s="565"/>
      <c r="H32" s="437"/>
    </row>
    <row r="33" spans="1:8" ht="15.75">
      <c r="A33" s="19">
        <v>23</v>
      </c>
      <c r="B33" s="23" t="s">
        <v>60</v>
      </c>
      <c r="C33" s="433">
        <v>121372000</v>
      </c>
      <c r="D33" s="436">
        <v>0</v>
      </c>
      <c r="E33" s="434">
        <f t="shared" si="2"/>
        <v>121372000</v>
      </c>
      <c r="F33" s="563">
        <v>121372000</v>
      </c>
      <c r="G33" s="565">
        <v>0</v>
      </c>
      <c r="H33" s="435">
        <f t="shared" si="1"/>
        <v>121372000</v>
      </c>
    </row>
    <row r="34" spans="1:8" ht="15.75">
      <c r="A34" s="19">
        <v>24</v>
      </c>
      <c r="B34" s="23" t="s">
        <v>61</v>
      </c>
      <c r="C34" s="433">
        <v>0</v>
      </c>
      <c r="D34" s="436">
        <v>0</v>
      </c>
      <c r="E34" s="434">
        <f t="shared" si="2"/>
        <v>0</v>
      </c>
      <c r="F34" s="563">
        <v>0</v>
      </c>
      <c r="G34" s="565">
        <v>0</v>
      </c>
      <c r="H34" s="435">
        <f t="shared" si="1"/>
        <v>0</v>
      </c>
    </row>
    <row r="35" spans="1:8" ht="15.75">
      <c r="A35" s="19">
        <v>25</v>
      </c>
      <c r="B35" s="25" t="s">
        <v>62</v>
      </c>
      <c r="C35" s="433">
        <v>0</v>
      </c>
      <c r="D35" s="436">
        <v>0</v>
      </c>
      <c r="E35" s="434">
        <f t="shared" si="2"/>
        <v>0</v>
      </c>
      <c r="F35" s="563">
        <v>0</v>
      </c>
      <c r="G35" s="565">
        <v>0</v>
      </c>
      <c r="H35" s="435">
        <f t="shared" si="1"/>
        <v>0</v>
      </c>
    </row>
    <row r="36" spans="1:8" ht="15.75">
      <c r="A36" s="19">
        <v>26</v>
      </c>
      <c r="B36" s="23" t="s">
        <v>63</v>
      </c>
      <c r="C36" s="433">
        <v>0</v>
      </c>
      <c r="D36" s="436">
        <v>0</v>
      </c>
      <c r="E36" s="434">
        <f t="shared" si="2"/>
        <v>0</v>
      </c>
      <c r="F36" s="563">
        <v>0</v>
      </c>
      <c r="G36" s="565">
        <v>0</v>
      </c>
      <c r="H36" s="435">
        <f t="shared" si="1"/>
        <v>0</v>
      </c>
    </row>
    <row r="37" spans="1:8" ht="15.75">
      <c r="A37" s="19">
        <v>27</v>
      </c>
      <c r="B37" s="23" t="s">
        <v>64</v>
      </c>
      <c r="C37" s="433">
        <v>0</v>
      </c>
      <c r="D37" s="436">
        <v>0</v>
      </c>
      <c r="E37" s="434">
        <f t="shared" si="2"/>
        <v>0</v>
      </c>
      <c r="F37" s="563">
        <v>0</v>
      </c>
      <c r="G37" s="565">
        <v>0</v>
      </c>
      <c r="H37" s="435">
        <f t="shared" si="1"/>
        <v>0</v>
      </c>
    </row>
    <row r="38" spans="1:8" ht="15.75">
      <c r="A38" s="19">
        <v>28</v>
      </c>
      <c r="B38" s="23" t="s">
        <v>65</v>
      </c>
      <c r="C38" s="433">
        <v>34127093.610000037</v>
      </c>
      <c r="D38" s="436">
        <v>0</v>
      </c>
      <c r="E38" s="434">
        <f t="shared" si="2"/>
        <v>34127093.610000037</v>
      </c>
      <c r="F38" s="563">
        <v>4122637.9500000095</v>
      </c>
      <c r="G38" s="565">
        <v>0</v>
      </c>
      <c r="H38" s="435">
        <f t="shared" si="1"/>
        <v>4122637.9500000095</v>
      </c>
    </row>
    <row r="39" spans="1:8" ht="15.75">
      <c r="A39" s="19">
        <v>29</v>
      </c>
      <c r="B39" s="23" t="s">
        <v>66</v>
      </c>
      <c r="C39" s="433">
        <v>0</v>
      </c>
      <c r="D39" s="436">
        <v>0</v>
      </c>
      <c r="E39" s="434">
        <f t="shared" si="2"/>
        <v>0</v>
      </c>
      <c r="F39" s="563">
        <v>0</v>
      </c>
      <c r="G39" s="565">
        <v>0</v>
      </c>
      <c r="H39" s="435">
        <f t="shared" si="1"/>
        <v>0</v>
      </c>
    </row>
    <row r="40" spans="1:8" ht="15.75">
      <c r="A40" s="19">
        <v>30</v>
      </c>
      <c r="B40" s="212" t="s">
        <v>266</v>
      </c>
      <c r="C40" s="433">
        <v>155499093.61000004</v>
      </c>
      <c r="D40" s="436">
        <v>0</v>
      </c>
      <c r="E40" s="434">
        <f t="shared" si="2"/>
        <v>155499093.61000004</v>
      </c>
      <c r="F40" s="563">
        <v>125494637.95</v>
      </c>
      <c r="G40" s="565">
        <v>0</v>
      </c>
      <c r="H40" s="435">
        <f t="shared" si="1"/>
        <v>125494637.95</v>
      </c>
    </row>
    <row r="41" spans="1:8" ht="16.5" thickBot="1">
      <c r="A41" s="27">
        <v>31</v>
      </c>
      <c r="B41" s="28" t="s">
        <v>67</v>
      </c>
      <c r="C41" s="438">
        <f>C31+C40</f>
        <v>641131260.14999998</v>
      </c>
      <c r="D41" s="438">
        <f>D31+D40</f>
        <v>710169845.74003482</v>
      </c>
      <c r="E41" s="438">
        <f>C41+D41</f>
        <v>1351301105.8900347</v>
      </c>
      <c r="F41" s="438">
        <f>F31+F40</f>
        <v>514028741.45999718</v>
      </c>
      <c r="G41" s="438">
        <f>G31+G40</f>
        <v>749692596.27999938</v>
      </c>
      <c r="H41" s="439">
        <f>F41+G41</f>
        <v>1263721337.7399964</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row>
    <row r="2" spans="1:8">
      <c r="A2" s="2" t="s">
        <v>31</v>
      </c>
      <c r="B2" s="338">
        <f>'2.RC'!B2</f>
        <v>44561</v>
      </c>
    </row>
    <row r="3" spans="1:8">
      <c r="A3" s="2"/>
      <c r="B3" s="3"/>
      <c r="C3" s="3"/>
    </row>
    <row r="4" spans="1:8" ht="13.5" thickBot="1">
      <c r="A4" s="3" t="s">
        <v>195</v>
      </c>
      <c r="B4" s="175" t="s">
        <v>22</v>
      </c>
      <c r="C4" s="3"/>
      <c r="D4" s="14"/>
      <c r="E4" s="14"/>
      <c r="F4" s="15"/>
      <c r="G4" s="15"/>
      <c r="H4" s="31" t="s">
        <v>73</v>
      </c>
    </row>
    <row r="5" spans="1:8">
      <c r="A5" s="32" t="s">
        <v>6</v>
      </c>
      <c r="B5" s="33"/>
      <c r="C5" s="623" t="s">
        <v>68</v>
      </c>
      <c r="D5" s="624"/>
      <c r="E5" s="625"/>
      <c r="F5" s="623" t="s">
        <v>72</v>
      </c>
      <c r="G5" s="624"/>
      <c r="H5" s="626"/>
    </row>
    <row r="6" spans="1:8">
      <c r="A6" s="34" t="s">
        <v>6</v>
      </c>
      <c r="B6" s="35"/>
      <c r="C6" s="21" t="s">
        <v>69</v>
      </c>
      <c r="D6" s="21" t="s">
        <v>70</v>
      </c>
      <c r="E6" s="21" t="s">
        <v>71</v>
      </c>
      <c r="F6" s="21" t="s">
        <v>69</v>
      </c>
      <c r="G6" s="21" t="s">
        <v>70</v>
      </c>
      <c r="H6" s="22" t="s">
        <v>71</v>
      </c>
    </row>
    <row r="7" spans="1:8">
      <c r="A7" s="19"/>
      <c r="B7" s="175" t="s">
        <v>194</v>
      </c>
      <c r="C7" s="36"/>
      <c r="D7" s="36"/>
      <c r="E7" s="36"/>
      <c r="F7" s="36"/>
      <c r="G7" s="36"/>
      <c r="H7" s="37"/>
    </row>
    <row r="8" spans="1:8" ht="15">
      <c r="A8" s="19">
        <v>1</v>
      </c>
      <c r="B8" s="38" t="s">
        <v>193</v>
      </c>
      <c r="C8" s="440">
        <v>1347619.4</v>
      </c>
      <c r="D8" s="440">
        <v>-548893.2699999999</v>
      </c>
      <c r="E8" s="434">
        <f>C8+D8</f>
        <v>798726.13</v>
      </c>
      <c r="F8" s="440">
        <v>1038194.5700000001</v>
      </c>
      <c r="G8" s="440">
        <v>-121981.84000000001</v>
      </c>
      <c r="H8" s="441">
        <f>F8+G8</f>
        <v>916212.7300000001</v>
      </c>
    </row>
    <row r="9" spans="1:8" ht="15">
      <c r="A9" s="19">
        <v>2</v>
      </c>
      <c r="B9" s="38" t="s">
        <v>192</v>
      </c>
      <c r="C9" s="442">
        <f>SUM(C10:C18)</f>
        <v>52160041.700000018</v>
      </c>
      <c r="D9" s="442">
        <f>SUM(D10:D18)</f>
        <v>40823464.850000009</v>
      </c>
      <c r="E9" s="434">
        <f t="shared" ref="E9:E67" si="0">C9+D9</f>
        <v>92983506.550000027</v>
      </c>
      <c r="F9" s="442">
        <f>SUM(F10:F18)</f>
        <v>38303496.000000007</v>
      </c>
      <c r="G9" s="442">
        <f>SUM(G10:G18)</f>
        <v>38828251.090000004</v>
      </c>
      <c r="H9" s="441">
        <f t="shared" ref="H9:H67" si="1">F9+G9</f>
        <v>77131747.090000004</v>
      </c>
    </row>
    <row r="10" spans="1:8" ht="15">
      <c r="A10" s="19">
        <v>2.1</v>
      </c>
      <c r="B10" s="39" t="s">
        <v>191</v>
      </c>
      <c r="C10" s="440">
        <v>0</v>
      </c>
      <c r="D10" s="440">
        <v>0</v>
      </c>
      <c r="E10" s="434">
        <f t="shared" si="0"/>
        <v>0</v>
      </c>
      <c r="F10" s="440">
        <v>0</v>
      </c>
      <c r="G10" s="440">
        <v>0</v>
      </c>
      <c r="H10" s="441">
        <f t="shared" si="1"/>
        <v>0</v>
      </c>
    </row>
    <row r="11" spans="1:8" ht="15">
      <c r="A11" s="19">
        <v>2.2000000000000002</v>
      </c>
      <c r="B11" s="39" t="s">
        <v>190</v>
      </c>
      <c r="C11" s="440">
        <v>12076938.76</v>
      </c>
      <c r="D11" s="440">
        <v>14531626.450000003</v>
      </c>
      <c r="E11" s="434">
        <f t="shared" si="0"/>
        <v>26608565.210000001</v>
      </c>
      <c r="F11" s="440">
        <v>7744120.7800000003</v>
      </c>
      <c r="G11" s="440">
        <v>14600375.479999999</v>
      </c>
      <c r="H11" s="441">
        <f t="shared" si="1"/>
        <v>22344496.259999998</v>
      </c>
    </row>
    <row r="12" spans="1:8" ht="15">
      <c r="A12" s="19">
        <v>2.2999999999999998</v>
      </c>
      <c r="B12" s="39" t="s">
        <v>189</v>
      </c>
      <c r="C12" s="440">
        <v>0</v>
      </c>
      <c r="D12" s="440">
        <v>1067796.4099999999</v>
      </c>
      <c r="E12" s="434">
        <f t="shared" si="0"/>
        <v>1067796.4099999999</v>
      </c>
      <c r="F12" s="440">
        <v>0</v>
      </c>
      <c r="G12" s="440">
        <v>1836821.07</v>
      </c>
      <c r="H12" s="441">
        <f t="shared" si="1"/>
        <v>1836821.07</v>
      </c>
    </row>
    <row r="13" spans="1:8" ht="15">
      <c r="A13" s="19">
        <v>2.4</v>
      </c>
      <c r="B13" s="39" t="s">
        <v>188</v>
      </c>
      <c r="C13" s="440">
        <v>851340.30999999994</v>
      </c>
      <c r="D13" s="440">
        <v>151330.16</v>
      </c>
      <c r="E13" s="434">
        <f t="shared" si="0"/>
        <v>1002670.47</v>
      </c>
      <c r="F13" s="440">
        <v>455282.06</v>
      </c>
      <c r="G13" s="440">
        <v>226304.34000000003</v>
      </c>
      <c r="H13" s="441">
        <f t="shared" si="1"/>
        <v>681586.4</v>
      </c>
    </row>
    <row r="14" spans="1:8" ht="15">
      <c r="A14" s="19">
        <v>2.5</v>
      </c>
      <c r="B14" s="39" t="s">
        <v>187</v>
      </c>
      <c r="C14" s="440">
        <v>1018771.91</v>
      </c>
      <c r="D14" s="440">
        <v>6392957.6799999997</v>
      </c>
      <c r="E14" s="434">
        <f t="shared" si="0"/>
        <v>7411729.5899999999</v>
      </c>
      <c r="F14" s="440">
        <v>511546.81999999989</v>
      </c>
      <c r="G14" s="440">
        <v>4196125.9399999995</v>
      </c>
      <c r="H14" s="441">
        <f t="shared" si="1"/>
        <v>4707672.76</v>
      </c>
    </row>
    <row r="15" spans="1:8" ht="15">
      <c r="A15" s="19">
        <v>2.6</v>
      </c>
      <c r="B15" s="39" t="s">
        <v>186</v>
      </c>
      <c r="C15" s="440">
        <v>20934.5</v>
      </c>
      <c r="D15" s="440">
        <v>23661.37</v>
      </c>
      <c r="E15" s="434">
        <f t="shared" si="0"/>
        <v>44595.869999999995</v>
      </c>
      <c r="F15" s="440">
        <v>25455.969999999998</v>
      </c>
      <c r="G15" s="440">
        <v>26185.27</v>
      </c>
      <c r="H15" s="441">
        <f t="shared" si="1"/>
        <v>51641.24</v>
      </c>
    </row>
    <row r="16" spans="1:8" ht="15">
      <c r="A16" s="19">
        <v>2.7</v>
      </c>
      <c r="B16" s="39" t="s">
        <v>185</v>
      </c>
      <c r="C16" s="440">
        <v>9331.2900000000009</v>
      </c>
      <c r="D16" s="440">
        <v>0</v>
      </c>
      <c r="E16" s="434">
        <f t="shared" si="0"/>
        <v>9331.2900000000009</v>
      </c>
      <c r="F16" s="440">
        <v>5649.07</v>
      </c>
      <c r="G16" s="440">
        <v>0</v>
      </c>
      <c r="H16" s="441">
        <f t="shared" si="1"/>
        <v>5649.07</v>
      </c>
    </row>
    <row r="17" spans="1:8" ht="15">
      <c r="A17" s="19">
        <v>2.8</v>
      </c>
      <c r="B17" s="39" t="s">
        <v>184</v>
      </c>
      <c r="C17" s="440">
        <v>32698597.980000012</v>
      </c>
      <c r="D17" s="440">
        <v>17522407.120000001</v>
      </c>
      <c r="E17" s="434">
        <f t="shared" si="0"/>
        <v>50221005.100000009</v>
      </c>
      <c r="F17" s="440">
        <v>25562560.610000007</v>
      </c>
      <c r="G17" s="440">
        <v>16434336.130000003</v>
      </c>
      <c r="H17" s="441">
        <f t="shared" si="1"/>
        <v>41996896.74000001</v>
      </c>
    </row>
    <row r="18" spans="1:8" ht="15">
      <c r="A18" s="19">
        <v>2.9</v>
      </c>
      <c r="B18" s="39" t="s">
        <v>183</v>
      </c>
      <c r="C18" s="440">
        <v>5484126.9500000011</v>
      </c>
      <c r="D18" s="440">
        <v>1133685.6600000001</v>
      </c>
      <c r="E18" s="434">
        <f t="shared" si="0"/>
        <v>6617812.6100000013</v>
      </c>
      <c r="F18" s="440">
        <v>3998880.6900000009</v>
      </c>
      <c r="G18" s="440">
        <v>1508102.86</v>
      </c>
      <c r="H18" s="441">
        <f t="shared" si="1"/>
        <v>5506983.5500000007</v>
      </c>
    </row>
    <row r="19" spans="1:8" ht="15">
      <c r="A19" s="19">
        <v>3</v>
      </c>
      <c r="B19" s="38" t="s">
        <v>182</v>
      </c>
      <c r="C19" s="440">
        <v>1226324.5599999996</v>
      </c>
      <c r="D19" s="440">
        <v>1712543.61</v>
      </c>
      <c r="E19" s="434">
        <f t="shared" si="0"/>
        <v>2938868.17</v>
      </c>
      <c r="F19" s="440">
        <v>1039599.8300000003</v>
      </c>
      <c r="G19" s="440">
        <v>1038658.6400000001</v>
      </c>
      <c r="H19" s="441">
        <f t="shared" si="1"/>
        <v>2078258.4700000004</v>
      </c>
    </row>
    <row r="20" spans="1:8" ht="15">
      <c r="A20" s="19">
        <v>4</v>
      </c>
      <c r="B20" s="38" t="s">
        <v>181</v>
      </c>
      <c r="C20" s="440">
        <v>9605438.2800000012</v>
      </c>
      <c r="D20" s="440">
        <v>0</v>
      </c>
      <c r="E20" s="434">
        <f t="shared" si="0"/>
        <v>9605438.2800000012</v>
      </c>
      <c r="F20" s="440">
        <v>6532041.2999999998</v>
      </c>
      <c r="G20" s="440">
        <v>0</v>
      </c>
      <c r="H20" s="441">
        <f t="shared" si="1"/>
        <v>6532041.2999999998</v>
      </c>
    </row>
    <row r="21" spans="1:8" ht="15">
      <c r="A21" s="19">
        <v>5</v>
      </c>
      <c r="B21" s="38" t="s">
        <v>180</v>
      </c>
      <c r="C21" s="440">
        <v>866363.75000000012</v>
      </c>
      <c r="D21" s="440">
        <v>484461.46</v>
      </c>
      <c r="E21" s="434">
        <f t="shared" si="0"/>
        <v>1350825.2100000002</v>
      </c>
      <c r="F21" s="440">
        <v>597962.83999999985</v>
      </c>
      <c r="G21" s="440">
        <v>420194.66000000003</v>
      </c>
      <c r="H21" s="441">
        <f>F21+G21</f>
        <v>1018157.4999999999</v>
      </c>
    </row>
    <row r="22" spans="1:8" ht="15">
      <c r="A22" s="19">
        <v>6</v>
      </c>
      <c r="B22" s="40" t="s">
        <v>179</v>
      </c>
      <c r="C22" s="442">
        <f>C8+C9+C19+C20+C21</f>
        <v>65205787.69000002</v>
      </c>
      <c r="D22" s="442">
        <f>D8+D9+D19+D20+D21</f>
        <v>42471576.650000006</v>
      </c>
      <c r="E22" s="434">
        <f>C22+D22</f>
        <v>107677364.34000003</v>
      </c>
      <c r="F22" s="442">
        <f>F8+F9+F19+F20+F21</f>
        <v>47511294.540000007</v>
      </c>
      <c r="G22" s="442">
        <f>G8+G9+G19+G20+G21</f>
        <v>40165122.549999997</v>
      </c>
      <c r="H22" s="441">
        <f>F22+G22</f>
        <v>87676417.090000004</v>
      </c>
    </row>
    <row r="23" spans="1:8" ht="15">
      <c r="A23" s="19"/>
      <c r="B23" s="175" t="s">
        <v>178</v>
      </c>
      <c r="C23" s="440"/>
      <c r="D23" s="440"/>
      <c r="E23" s="433"/>
      <c r="F23" s="440"/>
      <c r="G23" s="440"/>
      <c r="H23" s="443"/>
    </row>
    <row r="24" spans="1:8" ht="15">
      <c r="A24" s="19">
        <v>7</v>
      </c>
      <c r="B24" s="38" t="s">
        <v>177</v>
      </c>
      <c r="C24" s="440">
        <v>7477466.7199999997</v>
      </c>
      <c r="D24" s="440">
        <v>3077734.98</v>
      </c>
      <c r="E24" s="434">
        <f t="shared" si="0"/>
        <v>10555201.699999999</v>
      </c>
      <c r="F24" s="440">
        <v>5486656.0199999996</v>
      </c>
      <c r="G24" s="440">
        <v>2732076.8899999997</v>
      </c>
      <c r="H24" s="441">
        <f t="shared" si="1"/>
        <v>8218732.9099999992</v>
      </c>
    </row>
    <row r="25" spans="1:8" ht="15">
      <c r="A25" s="19">
        <v>8</v>
      </c>
      <c r="B25" s="38" t="s">
        <v>176</v>
      </c>
      <c r="C25" s="440">
        <v>14822642.720000001</v>
      </c>
      <c r="D25" s="440">
        <v>9315302.3200000003</v>
      </c>
      <c r="E25" s="434">
        <f t="shared" si="0"/>
        <v>24137945.039999999</v>
      </c>
      <c r="F25" s="440">
        <v>13275104.209999999</v>
      </c>
      <c r="G25" s="440">
        <v>9744996.5500000007</v>
      </c>
      <c r="H25" s="441">
        <f t="shared" si="1"/>
        <v>23020100.759999998</v>
      </c>
    </row>
    <row r="26" spans="1:8" ht="15">
      <c r="A26" s="19">
        <v>9</v>
      </c>
      <c r="B26" s="38" t="s">
        <v>175</v>
      </c>
      <c r="C26" s="440">
        <v>11593.15</v>
      </c>
      <c r="D26" s="440">
        <v>73475.05</v>
      </c>
      <c r="E26" s="434">
        <f t="shared" si="0"/>
        <v>85068.2</v>
      </c>
      <c r="F26" s="440">
        <v>9513.4</v>
      </c>
      <c r="G26" s="440">
        <v>84056.25</v>
      </c>
      <c r="H26" s="441">
        <f t="shared" si="1"/>
        <v>93569.65</v>
      </c>
    </row>
    <row r="27" spans="1:8" ht="15">
      <c r="A27" s="19">
        <v>10</v>
      </c>
      <c r="B27" s="38" t="s">
        <v>174</v>
      </c>
      <c r="C27" s="440">
        <v>0</v>
      </c>
      <c r="D27" s="440">
        <v>0</v>
      </c>
      <c r="E27" s="434">
        <f t="shared" si="0"/>
        <v>0</v>
      </c>
      <c r="F27" s="440">
        <v>0</v>
      </c>
      <c r="G27" s="440">
        <v>0</v>
      </c>
      <c r="H27" s="441">
        <f t="shared" si="1"/>
        <v>0</v>
      </c>
    </row>
    <row r="28" spans="1:8" ht="15">
      <c r="A28" s="19">
        <v>11</v>
      </c>
      <c r="B28" s="38" t="s">
        <v>173</v>
      </c>
      <c r="C28" s="440">
        <v>15017144.300000001</v>
      </c>
      <c r="D28" s="440">
        <v>6942419.3700000001</v>
      </c>
      <c r="E28" s="434">
        <f t="shared" si="0"/>
        <v>21959563.670000002</v>
      </c>
      <c r="F28" s="440">
        <v>8220193.1400000006</v>
      </c>
      <c r="G28" s="440">
        <v>7068871.9000000004</v>
      </c>
      <c r="H28" s="441">
        <f t="shared" si="1"/>
        <v>15289065.040000001</v>
      </c>
    </row>
    <row r="29" spans="1:8" ht="15">
      <c r="A29" s="19">
        <v>12</v>
      </c>
      <c r="B29" s="38" t="s">
        <v>172</v>
      </c>
      <c r="C29" s="440">
        <v>0</v>
      </c>
      <c r="D29" s="440">
        <v>0</v>
      </c>
      <c r="E29" s="434">
        <f t="shared" si="0"/>
        <v>0</v>
      </c>
      <c r="F29" s="440">
        <v>0</v>
      </c>
      <c r="G29" s="440">
        <v>0</v>
      </c>
      <c r="H29" s="441">
        <f t="shared" si="1"/>
        <v>0</v>
      </c>
    </row>
    <row r="30" spans="1:8" ht="15">
      <c r="A30" s="19">
        <v>13</v>
      </c>
      <c r="B30" s="41" t="s">
        <v>171</v>
      </c>
      <c r="C30" s="442">
        <f>SUM(C24:C29)</f>
        <v>37328846.890000001</v>
      </c>
      <c r="D30" s="442">
        <f>SUM(D24:D29)</f>
        <v>19408931.720000003</v>
      </c>
      <c r="E30" s="434">
        <f t="shared" si="0"/>
        <v>56737778.609999999</v>
      </c>
      <c r="F30" s="442">
        <f>SUM(F24:F29)</f>
        <v>26991466.769999996</v>
      </c>
      <c r="G30" s="442">
        <f>SUM(G24:G29)</f>
        <v>19630001.590000004</v>
      </c>
      <c r="H30" s="441">
        <f t="shared" si="1"/>
        <v>46621468.359999999</v>
      </c>
    </row>
    <row r="31" spans="1:8" ht="15">
      <c r="A31" s="19">
        <v>14</v>
      </c>
      <c r="B31" s="41" t="s">
        <v>170</v>
      </c>
      <c r="C31" s="442">
        <f>C22-C30</f>
        <v>27876940.800000019</v>
      </c>
      <c r="D31" s="442">
        <f>D22-D30</f>
        <v>23062644.930000003</v>
      </c>
      <c r="E31" s="434">
        <f t="shared" si="0"/>
        <v>50939585.730000019</v>
      </c>
      <c r="F31" s="442">
        <f>F22-F30</f>
        <v>20519827.770000011</v>
      </c>
      <c r="G31" s="442">
        <f>G22-G30</f>
        <v>20535120.959999993</v>
      </c>
      <c r="H31" s="441">
        <f t="shared" si="1"/>
        <v>41054948.730000004</v>
      </c>
    </row>
    <row r="32" spans="1:8">
      <c r="A32" s="19"/>
      <c r="B32" s="42"/>
      <c r="C32" s="444"/>
      <c r="D32" s="444"/>
      <c r="E32" s="444"/>
      <c r="F32" s="444"/>
      <c r="G32" s="444"/>
      <c r="H32" s="445"/>
    </row>
    <row r="33" spans="1:8" ht="15">
      <c r="A33" s="19"/>
      <c r="B33" s="42" t="s">
        <v>169</v>
      </c>
      <c r="C33" s="440">
        <v>0</v>
      </c>
      <c r="D33" s="440">
        <v>0</v>
      </c>
      <c r="E33" s="433"/>
      <c r="F33" s="440"/>
      <c r="G33" s="440"/>
      <c r="H33" s="443"/>
    </row>
    <row r="34" spans="1:8" ht="15">
      <c r="A34" s="19">
        <v>15</v>
      </c>
      <c r="B34" s="43" t="s">
        <v>168</v>
      </c>
      <c r="C34" s="442">
        <f>C35-C36</f>
        <v>2710383.3999999994</v>
      </c>
      <c r="D34" s="442">
        <f>D35-D36</f>
        <v>815034.14999999991</v>
      </c>
      <c r="E34" s="434">
        <f t="shared" si="0"/>
        <v>3525417.5499999993</v>
      </c>
      <c r="F34" s="442">
        <f>F35-F36</f>
        <v>2290830.7500000009</v>
      </c>
      <c r="G34" s="442">
        <f>G35-G36</f>
        <v>545085.73000000045</v>
      </c>
      <c r="H34" s="441">
        <f t="shared" si="1"/>
        <v>2835916.4800000014</v>
      </c>
    </row>
    <row r="35" spans="1:8" ht="15">
      <c r="A35" s="19">
        <v>15.1</v>
      </c>
      <c r="B35" s="39" t="s">
        <v>167</v>
      </c>
      <c r="C35" s="440">
        <v>4999286.6099999994</v>
      </c>
      <c r="D35" s="440">
        <v>2755732.21</v>
      </c>
      <c r="E35" s="434">
        <f t="shared" si="0"/>
        <v>7755018.8199999994</v>
      </c>
      <c r="F35" s="440">
        <v>4379573.2400000012</v>
      </c>
      <c r="G35" s="440">
        <v>2725729.9800000004</v>
      </c>
      <c r="H35" s="441">
        <f t="shared" si="1"/>
        <v>7105303.2200000016</v>
      </c>
    </row>
    <row r="36" spans="1:8" ht="15">
      <c r="A36" s="19">
        <v>15.2</v>
      </c>
      <c r="B36" s="39" t="s">
        <v>166</v>
      </c>
      <c r="C36" s="440">
        <v>2288903.21</v>
      </c>
      <c r="D36" s="440">
        <v>1940698.06</v>
      </c>
      <c r="E36" s="434">
        <f t="shared" si="0"/>
        <v>4229601.2699999996</v>
      </c>
      <c r="F36" s="440">
        <v>2088742.4900000002</v>
      </c>
      <c r="G36" s="440">
        <v>2180644.25</v>
      </c>
      <c r="H36" s="441">
        <f t="shared" si="1"/>
        <v>4269386.74</v>
      </c>
    </row>
    <row r="37" spans="1:8" ht="15">
      <c r="A37" s="19">
        <v>16</v>
      </c>
      <c r="B37" s="38" t="s">
        <v>165</v>
      </c>
      <c r="C37" s="440">
        <v>0</v>
      </c>
      <c r="D37" s="440">
        <v>0</v>
      </c>
      <c r="E37" s="434">
        <f t="shared" si="0"/>
        <v>0</v>
      </c>
      <c r="F37" s="440">
        <v>0</v>
      </c>
      <c r="G37" s="440">
        <v>0</v>
      </c>
      <c r="H37" s="441">
        <f t="shared" si="1"/>
        <v>0</v>
      </c>
    </row>
    <row r="38" spans="1:8" ht="15">
      <c r="A38" s="19">
        <v>17</v>
      </c>
      <c r="B38" s="38" t="s">
        <v>164</v>
      </c>
      <c r="C38" s="440">
        <v>0</v>
      </c>
      <c r="D38" s="440">
        <v>0</v>
      </c>
      <c r="E38" s="434">
        <f t="shared" si="0"/>
        <v>0</v>
      </c>
      <c r="F38" s="440">
        <v>0</v>
      </c>
      <c r="G38" s="440">
        <v>0</v>
      </c>
      <c r="H38" s="441">
        <f t="shared" si="1"/>
        <v>0</v>
      </c>
    </row>
    <row r="39" spans="1:8" ht="15">
      <c r="A39" s="19">
        <v>18</v>
      </c>
      <c r="B39" s="38" t="s">
        <v>163</v>
      </c>
      <c r="C39" s="440">
        <v>0</v>
      </c>
      <c r="D39" s="440">
        <v>0</v>
      </c>
      <c r="E39" s="434">
        <f t="shared" si="0"/>
        <v>0</v>
      </c>
      <c r="F39" s="440">
        <v>0</v>
      </c>
      <c r="G39" s="440">
        <v>0</v>
      </c>
      <c r="H39" s="441">
        <f t="shared" si="1"/>
        <v>0</v>
      </c>
    </row>
    <row r="40" spans="1:8" ht="15">
      <c r="A40" s="19">
        <v>19</v>
      </c>
      <c r="B40" s="38" t="s">
        <v>162</v>
      </c>
      <c r="C40" s="440">
        <v>8757198.5200000051</v>
      </c>
      <c r="D40" s="440">
        <v>0</v>
      </c>
      <c r="E40" s="434">
        <f t="shared" si="0"/>
        <v>8757198.5200000051</v>
      </c>
      <c r="F40" s="440">
        <v>-2161396.9799999995</v>
      </c>
      <c r="G40" s="440">
        <v>0</v>
      </c>
      <c r="H40" s="441">
        <f t="shared" si="1"/>
        <v>-2161396.9799999995</v>
      </c>
    </row>
    <row r="41" spans="1:8" ht="15">
      <c r="A41" s="19">
        <v>20</v>
      </c>
      <c r="B41" s="38" t="s">
        <v>161</v>
      </c>
      <c r="C41" s="440">
        <v>-7663159.3999999985</v>
      </c>
      <c r="D41" s="440">
        <v>0</v>
      </c>
      <c r="E41" s="434">
        <f t="shared" si="0"/>
        <v>-7663159.3999999985</v>
      </c>
      <c r="F41" s="440">
        <v>9406301.9600000083</v>
      </c>
      <c r="G41" s="440">
        <v>0</v>
      </c>
      <c r="H41" s="441">
        <f t="shared" si="1"/>
        <v>9406301.9600000083</v>
      </c>
    </row>
    <row r="42" spans="1:8" ht="15">
      <c r="A42" s="19">
        <v>21</v>
      </c>
      <c r="B42" s="38" t="s">
        <v>160</v>
      </c>
      <c r="C42" s="440">
        <v>237425.81</v>
      </c>
      <c r="D42" s="440">
        <v>0</v>
      </c>
      <c r="E42" s="434">
        <f t="shared" si="0"/>
        <v>237425.81</v>
      </c>
      <c r="F42" s="440">
        <v>212939.41</v>
      </c>
      <c r="G42" s="440">
        <v>0</v>
      </c>
      <c r="H42" s="441">
        <f t="shared" si="1"/>
        <v>212939.41</v>
      </c>
    </row>
    <row r="43" spans="1:8" ht="15">
      <c r="A43" s="19">
        <v>22</v>
      </c>
      <c r="B43" s="38" t="s">
        <v>159</v>
      </c>
      <c r="C43" s="440">
        <v>418.4</v>
      </c>
      <c r="D43" s="440">
        <v>4220.25</v>
      </c>
      <c r="E43" s="434">
        <f t="shared" si="0"/>
        <v>4638.6499999999996</v>
      </c>
      <c r="F43" s="440">
        <v>1306</v>
      </c>
      <c r="G43" s="440">
        <v>1598.69</v>
      </c>
      <c r="H43" s="441">
        <f t="shared" si="1"/>
        <v>2904.69</v>
      </c>
    </row>
    <row r="44" spans="1:8" ht="15">
      <c r="A44" s="19">
        <v>23</v>
      </c>
      <c r="B44" s="38" t="s">
        <v>158</v>
      </c>
      <c r="C44" s="440">
        <v>29230.680000000004</v>
      </c>
      <c r="D44" s="440">
        <v>71285.94</v>
      </c>
      <c r="E44" s="434">
        <f t="shared" si="0"/>
        <v>100516.62000000001</v>
      </c>
      <c r="F44" s="440">
        <v>24115.950000000004</v>
      </c>
      <c r="G44" s="440">
        <v>455.65999999999997</v>
      </c>
      <c r="H44" s="441">
        <f t="shared" si="1"/>
        <v>24571.610000000004</v>
      </c>
    </row>
    <row r="45" spans="1:8" ht="15">
      <c r="A45" s="19">
        <v>24</v>
      </c>
      <c r="B45" s="41" t="s">
        <v>273</v>
      </c>
      <c r="C45" s="442">
        <f>C34+C37+C38+C39+C40+C41+C42+C43+C44</f>
        <v>4071497.4100000071</v>
      </c>
      <c r="D45" s="442">
        <f>D34+D37+D38+D39+D40+D41+D42+D43+D44</f>
        <v>890540.33999999985</v>
      </c>
      <c r="E45" s="434">
        <f t="shared" si="0"/>
        <v>4962037.7500000075</v>
      </c>
      <c r="F45" s="442">
        <f>F34+F37+F38+F39+F40+F41+F42+F43+F44</f>
        <v>9774097.0900000092</v>
      </c>
      <c r="G45" s="442">
        <f>G34+G37+G38+G39+G40+G41+G42+G43+G44</f>
        <v>547140.08000000042</v>
      </c>
      <c r="H45" s="441">
        <f t="shared" si="1"/>
        <v>10321237.170000009</v>
      </c>
    </row>
    <row r="46" spans="1:8">
      <c r="A46" s="19"/>
      <c r="B46" s="175" t="s">
        <v>157</v>
      </c>
      <c r="C46" s="440"/>
      <c r="D46" s="440"/>
      <c r="E46" s="440"/>
      <c r="F46" s="440"/>
      <c r="G46" s="440"/>
      <c r="H46" s="446"/>
    </row>
    <row r="47" spans="1:8" ht="15">
      <c r="A47" s="19">
        <v>25</v>
      </c>
      <c r="B47" s="38" t="s">
        <v>156</v>
      </c>
      <c r="C47" s="440">
        <v>879900.87</v>
      </c>
      <c r="D47" s="440">
        <v>488670.96999999991</v>
      </c>
      <c r="E47" s="434">
        <f t="shared" si="0"/>
        <v>1368571.8399999999</v>
      </c>
      <c r="F47" s="440">
        <v>694943.35</v>
      </c>
      <c r="G47" s="440">
        <v>527373.26</v>
      </c>
      <c r="H47" s="441">
        <f t="shared" si="1"/>
        <v>1222316.6099999999</v>
      </c>
    </row>
    <row r="48" spans="1:8" ht="15">
      <c r="A48" s="19">
        <v>26</v>
      </c>
      <c r="B48" s="38" t="s">
        <v>155</v>
      </c>
      <c r="C48" s="440">
        <v>1826237.9</v>
      </c>
      <c r="D48" s="440">
        <v>148676.35999999999</v>
      </c>
      <c r="E48" s="434">
        <f t="shared" si="0"/>
        <v>1974914.2599999998</v>
      </c>
      <c r="F48" s="440">
        <v>1804955.5099999998</v>
      </c>
      <c r="G48" s="440">
        <v>15837.590000000002</v>
      </c>
      <c r="H48" s="441">
        <f t="shared" si="1"/>
        <v>1820793.0999999999</v>
      </c>
    </row>
    <row r="49" spans="1:8" ht="15">
      <c r="A49" s="19">
        <v>27</v>
      </c>
      <c r="B49" s="38" t="s">
        <v>154</v>
      </c>
      <c r="C49" s="440">
        <v>15666648.569999987</v>
      </c>
      <c r="D49" s="440">
        <v>0</v>
      </c>
      <c r="E49" s="434">
        <f t="shared" si="0"/>
        <v>15666648.569999987</v>
      </c>
      <c r="F49" s="440">
        <v>13823454.319999991</v>
      </c>
      <c r="G49" s="440">
        <v>0</v>
      </c>
      <c r="H49" s="441">
        <f t="shared" si="1"/>
        <v>13823454.319999991</v>
      </c>
    </row>
    <row r="50" spans="1:8" ht="15">
      <c r="A50" s="19">
        <v>28</v>
      </c>
      <c r="B50" s="38" t="s">
        <v>153</v>
      </c>
      <c r="C50" s="440">
        <v>0</v>
      </c>
      <c r="D50" s="440">
        <v>0</v>
      </c>
      <c r="E50" s="434">
        <f t="shared" si="0"/>
        <v>0</v>
      </c>
      <c r="F50" s="440">
        <v>0</v>
      </c>
      <c r="G50" s="440">
        <v>0</v>
      </c>
      <c r="H50" s="441">
        <f t="shared" si="1"/>
        <v>0</v>
      </c>
    </row>
    <row r="51" spans="1:8" ht="15">
      <c r="A51" s="19">
        <v>29</v>
      </c>
      <c r="B51" s="38" t="s">
        <v>152</v>
      </c>
      <c r="C51" s="440">
        <v>5223869.9799999995</v>
      </c>
      <c r="D51" s="440">
        <v>0</v>
      </c>
      <c r="E51" s="434">
        <f t="shared" si="0"/>
        <v>5223869.9799999995</v>
      </c>
      <c r="F51" s="440">
        <v>5210381.7499999991</v>
      </c>
      <c r="G51" s="440">
        <v>0</v>
      </c>
      <c r="H51" s="441">
        <f t="shared" si="1"/>
        <v>5210381.7499999991</v>
      </c>
    </row>
    <row r="52" spans="1:8" ht="15">
      <c r="A52" s="19">
        <v>30</v>
      </c>
      <c r="B52" s="38" t="s">
        <v>151</v>
      </c>
      <c r="C52" s="440">
        <v>7800291.499999987</v>
      </c>
      <c r="D52" s="440">
        <v>14922.78</v>
      </c>
      <c r="E52" s="434">
        <f t="shared" si="0"/>
        <v>7815214.2799999872</v>
      </c>
      <c r="F52" s="440">
        <v>5720750.540000001</v>
      </c>
      <c r="G52" s="440">
        <v>0</v>
      </c>
      <c r="H52" s="441">
        <f t="shared" si="1"/>
        <v>5720750.540000001</v>
      </c>
    </row>
    <row r="53" spans="1:8" ht="15">
      <c r="A53" s="19">
        <v>31</v>
      </c>
      <c r="B53" s="41" t="s">
        <v>274</v>
      </c>
      <c r="C53" s="442">
        <f>C47+C48+C49+C50+C51+C52</f>
        <v>31396948.819999978</v>
      </c>
      <c r="D53" s="442">
        <f>D47+D48+D49+D50+D51+D52</f>
        <v>652270.10999999987</v>
      </c>
      <c r="E53" s="434">
        <f t="shared" si="0"/>
        <v>32049218.929999977</v>
      </c>
      <c r="F53" s="442">
        <f>F47+F48+F49+F50+F51+F52</f>
        <v>27254485.469999991</v>
      </c>
      <c r="G53" s="442">
        <f>G47+G48+G49+G50+G51+G52</f>
        <v>543210.85</v>
      </c>
      <c r="H53" s="441">
        <f t="shared" si="1"/>
        <v>27797696.319999993</v>
      </c>
    </row>
    <row r="54" spans="1:8" ht="15">
      <c r="A54" s="19">
        <v>32</v>
      </c>
      <c r="B54" s="41" t="s">
        <v>275</v>
      </c>
      <c r="C54" s="442">
        <f>C45-C53</f>
        <v>-27325451.40999997</v>
      </c>
      <c r="D54" s="442">
        <f>D45-D53</f>
        <v>238270.22999999998</v>
      </c>
      <c r="E54" s="434">
        <f t="shared" si="0"/>
        <v>-27087181.17999997</v>
      </c>
      <c r="F54" s="442">
        <f>F45-F53</f>
        <v>-17480388.37999998</v>
      </c>
      <c r="G54" s="442">
        <f>G45-G53</f>
        <v>3929.230000000447</v>
      </c>
      <c r="H54" s="441">
        <f t="shared" si="1"/>
        <v>-17476459.14999998</v>
      </c>
    </row>
    <row r="55" spans="1:8">
      <c r="A55" s="19"/>
      <c r="B55" s="42"/>
      <c r="C55" s="444"/>
      <c r="D55" s="444"/>
      <c r="E55" s="444"/>
      <c r="F55" s="444"/>
      <c r="G55" s="444"/>
      <c r="H55" s="445"/>
    </row>
    <row r="56" spans="1:8" ht="15">
      <c r="A56" s="19">
        <v>33</v>
      </c>
      <c r="B56" s="41" t="s">
        <v>150</v>
      </c>
      <c r="C56" s="442">
        <f>C31+C54</f>
        <v>551489.39000004902</v>
      </c>
      <c r="D56" s="442">
        <f>D31+D54</f>
        <v>23300915.160000004</v>
      </c>
      <c r="E56" s="434">
        <f t="shared" si="0"/>
        <v>23852404.550000053</v>
      </c>
      <c r="F56" s="442">
        <f>F31+F54</f>
        <v>3039439.3900000304</v>
      </c>
      <c r="G56" s="442">
        <f>G31+G54</f>
        <v>20539050.189999994</v>
      </c>
      <c r="H56" s="441">
        <f t="shared" si="1"/>
        <v>23578489.580000024</v>
      </c>
    </row>
    <row r="57" spans="1:8">
      <c r="A57" s="19"/>
      <c r="B57" s="42"/>
      <c r="C57" s="444"/>
      <c r="D57" s="444"/>
      <c r="E57" s="444"/>
      <c r="F57" s="444"/>
      <c r="G57" s="444"/>
      <c r="H57" s="445"/>
    </row>
    <row r="58" spans="1:8" ht="15">
      <c r="A58" s="19">
        <v>34</v>
      </c>
      <c r="B58" s="38" t="s">
        <v>149</v>
      </c>
      <c r="C58" s="440">
        <v>-4425506.0399999991</v>
      </c>
      <c r="D58" s="440" t="s">
        <v>743</v>
      </c>
      <c r="E58" s="434">
        <v>-4425506.0399999991</v>
      </c>
      <c r="F58" s="440">
        <v>20979530.859999996</v>
      </c>
      <c r="G58" s="440" t="s">
        <v>743</v>
      </c>
      <c r="H58" s="441">
        <v>20979530.859999996</v>
      </c>
    </row>
    <row r="59" spans="1:8" s="176" customFormat="1" ht="15">
      <c r="A59" s="19">
        <v>35</v>
      </c>
      <c r="B59" s="38" t="s">
        <v>148</v>
      </c>
      <c r="C59" s="566">
        <v>-38155.35</v>
      </c>
      <c r="D59" s="566" t="s">
        <v>743</v>
      </c>
      <c r="E59" s="434">
        <v>-38155.35</v>
      </c>
      <c r="F59" s="567">
        <v>385.73</v>
      </c>
      <c r="G59" s="567" t="s">
        <v>743</v>
      </c>
      <c r="H59" s="568">
        <v>385.73</v>
      </c>
    </row>
    <row r="60" spans="1:8" ht="15">
      <c r="A60" s="19">
        <v>36</v>
      </c>
      <c r="B60" s="38" t="s">
        <v>147</v>
      </c>
      <c r="C60" s="440">
        <v>-3849584.71</v>
      </c>
      <c r="D60" s="440" t="s">
        <v>743</v>
      </c>
      <c r="E60" s="434">
        <v>-3849584.71</v>
      </c>
      <c r="F60" s="440">
        <v>16429521.74</v>
      </c>
      <c r="G60" s="440" t="s">
        <v>743</v>
      </c>
      <c r="H60" s="441">
        <v>16429521.74</v>
      </c>
    </row>
    <row r="61" spans="1:8" ht="15">
      <c r="A61" s="19">
        <v>37</v>
      </c>
      <c r="B61" s="41" t="s">
        <v>146</v>
      </c>
      <c r="C61" s="442">
        <f>C58+C59+C60</f>
        <v>-8313246.0999999987</v>
      </c>
      <c r="D61" s="442">
        <v>0</v>
      </c>
      <c r="E61" s="434">
        <f t="shared" si="0"/>
        <v>-8313246.0999999987</v>
      </c>
      <c r="F61" s="442">
        <f>F58+F59+F60</f>
        <v>37409438.329999998</v>
      </c>
      <c r="G61" s="442">
        <v>0</v>
      </c>
      <c r="H61" s="441">
        <f t="shared" si="1"/>
        <v>37409438.329999998</v>
      </c>
    </row>
    <row r="62" spans="1:8">
      <c r="A62" s="19"/>
      <c r="B62" s="44"/>
      <c r="C62" s="440"/>
      <c r="D62" s="440"/>
      <c r="E62" s="440"/>
      <c r="F62" s="440"/>
      <c r="G62" s="440"/>
      <c r="H62" s="446"/>
    </row>
    <row r="63" spans="1:8" ht="15">
      <c r="A63" s="19">
        <v>38</v>
      </c>
      <c r="B63" s="45" t="s">
        <v>145</v>
      </c>
      <c r="C63" s="442">
        <f>C56-C61</f>
        <v>8864735.4900000468</v>
      </c>
      <c r="D63" s="442">
        <f>D56-D61</f>
        <v>23300915.160000004</v>
      </c>
      <c r="E63" s="434">
        <f t="shared" si="0"/>
        <v>32165650.650000051</v>
      </c>
      <c r="F63" s="442">
        <f>F56-F61</f>
        <v>-34369998.939999968</v>
      </c>
      <c r="G63" s="442">
        <f>G56-G61</f>
        <v>20539050.189999994</v>
      </c>
      <c r="H63" s="441">
        <f t="shared" si="1"/>
        <v>-13830948.749999974</v>
      </c>
    </row>
    <row r="64" spans="1:8" ht="15">
      <c r="A64" s="34">
        <v>39</v>
      </c>
      <c r="B64" s="38" t="s">
        <v>144</v>
      </c>
      <c r="C64" s="569">
        <v>2161195</v>
      </c>
      <c r="D64" s="569">
        <v>0</v>
      </c>
      <c r="E64" s="434">
        <f t="shared" si="0"/>
        <v>2161195</v>
      </c>
      <c r="F64" s="569">
        <v>0</v>
      </c>
      <c r="G64" s="569">
        <v>0</v>
      </c>
      <c r="H64" s="441">
        <f t="shared" si="1"/>
        <v>0</v>
      </c>
    </row>
    <row r="65" spans="1:8" ht="15">
      <c r="A65" s="19">
        <v>40</v>
      </c>
      <c r="B65" s="41" t="s">
        <v>143</v>
      </c>
      <c r="C65" s="442">
        <f>C63-C64</f>
        <v>6703540.4900000468</v>
      </c>
      <c r="D65" s="442">
        <f>D63-D64</f>
        <v>23300915.160000004</v>
      </c>
      <c r="E65" s="434">
        <f t="shared" si="0"/>
        <v>30004455.650000051</v>
      </c>
      <c r="F65" s="442">
        <f>F63-F64</f>
        <v>-34369998.939999968</v>
      </c>
      <c r="G65" s="442">
        <f>G63-G64</f>
        <v>20539050.189999994</v>
      </c>
      <c r="H65" s="441">
        <f t="shared" si="1"/>
        <v>-13830948.749999974</v>
      </c>
    </row>
    <row r="66" spans="1:8" ht="15">
      <c r="A66" s="34">
        <v>41</v>
      </c>
      <c r="B66" s="38" t="s">
        <v>142</v>
      </c>
      <c r="C66" s="569">
        <v>0</v>
      </c>
      <c r="D66" s="569">
        <v>0</v>
      </c>
      <c r="E66" s="434">
        <f t="shared" si="0"/>
        <v>0</v>
      </c>
      <c r="F66" s="569">
        <v>0</v>
      </c>
      <c r="G66" s="569">
        <v>0</v>
      </c>
      <c r="H66" s="441">
        <f t="shared" si="1"/>
        <v>0</v>
      </c>
    </row>
    <row r="67" spans="1:8" ht="15.75" thickBot="1">
      <c r="A67" s="46">
        <v>42</v>
      </c>
      <c r="B67" s="47" t="s">
        <v>141</v>
      </c>
      <c r="C67" s="447">
        <f>C65+C66</f>
        <v>6703540.4900000468</v>
      </c>
      <c r="D67" s="447">
        <f>D65+D66</f>
        <v>23300915.160000004</v>
      </c>
      <c r="E67" s="438">
        <f t="shared" si="0"/>
        <v>30004455.650000051</v>
      </c>
      <c r="F67" s="447">
        <f>F65+F66</f>
        <v>-34369998.939999968</v>
      </c>
      <c r="G67" s="447">
        <f>G65+G66</f>
        <v>20539050.189999994</v>
      </c>
      <c r="H67" s="448">
        <f t="shared" si="1"/>
        <v>-13830948.749999974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38">
        <f>'1. key ratios '!B2</f>
        <v>44561</v>
      </c>
    </row>
    <row r="3" spans="1:8">
      <c r="A3" s="4"/>
    </row>
    <row r="4" spans="1:8" ht="15" thickBot="1">
      <c r="A4" s="4" t="s">
        <v>74</v>
      </c>
      <c r="B4" s="4"/>
      <c r="C4" s="159"/>
      <c r="D4" s="159"/>
      <c r="E4" s="159"/>
      <c r="F4" s="159"/>
      <c r="G4" s="159"/>
      <c r="H4" s="160" t="s">
        <v>73</v>
      </c>
    </row>
    <row r="5" spans="1:8">
      <c r="A5" s="627" t="s">
        <v>6</v>
      </c>
      <c r="B5" s="629" t="s">
        <v>340</v>
      </c>
      <c r="C5" s="623" t="s">
        <v>68</v>
      </c>
      <c r="D5" s="624"/>
      <c r="E5" s="625"/>
      <c r="F5" s="623" t="s">
        <v>72</v>
      </c>
      <c r="G5" s="624"/>
      <c r="H5" s="626"/>
    </row>
    <row r="6" spans="1:8">
      <c r="A6" s="628"/>
      <c r="B6" s="630"/>
      <c r="C6" s="21" t="s">
        <v>287</v>
      </c>
      <c r="D6" s="21" t="s">
        <v>122</v>
      </c>
      <c r="E6" s="21" t="s">
        <v>109</v>
      </c>
      <c r="F6" s="21" t="s">
        <v>287</v>
      </c>
      <c r="G6" s="21" t="s">
        <v>122</v>
      </c>
      <c r="H6" s="22" t="s">
        <v>109</v>
      </c>
    </row>
    <row r="7" spans="1:8" ht="15.75">
      <c r="A7" s="74">
        <v>1</v>
      </c>
      <c r="B7" s="161" t="s">
        <v>374</v>
      </c>
      <c r="C7" s="449">
        <v>62522194.069999948</v>
      </c>
      <c r="D7" s="449">
        <v>35628972.630000003</v>
      </c>
      <c r="E7" s="450">
        <f>C7+D7</f>
        <v>98151166.699999958</v>
      </c>
      <c r="F7" s="449">
        <v>38156090.449999966</v>
      </c>
      <c r="G7" s="449">
        <v>39077665.179399997</v>
      </c>
      <c r="H7" s="435">
        <f t="shared" ref="H7:H53" si="0">F7+G7</f>
        <v>77233755.629399955</v>
      </c>
    </row>
    <row r="8" spans="1:8" ht="15.75">
      <c r="A8" s="74">
        <v>1.1000000000000001</v>
      </c>
      <c r="B8" s="201" t="s">
        <v>305</v>
      </c>
      <c r="C8" s="449">
        <v>44005476.310000002</v>
      </c>
      <c r="D8" s="449">
        <v>22657150.800000001</v>
      </c>
      <c r="E8" s="450">
        <f t="shared" ref="E8:E53" si="1">C8+D8</f>
        <v>66662627.109999999</v>
      </c>
      <c r="F8" s="449">
        <v>23240972.93</v>
      </c>
      <c r="G8" s="449">
        <v>21704449.7894</v>
      </c>
      <c r="H8" s="435">
        <f t="shared" si="0"/>
        <v>44945422.719400004</v>
      </c>
    </row>
    <row r="9" spans="1:8" ht="15.75">
      <c r="A9" s="74">
        <v>1.2</v>
      </c>
      <c r="B9" s="201" t="s">
        <v>306</v>
      </c>
      <c r="C9" s="449">
        <v>0</v>
      </c>
      <c r="D9" s="449">
        <v>0</v>
      </c>
      <c r="E9" s="450">
        <f t="shared" si="1"/>
        <v>0</v>
      </c>
      <c r="F9" s="449">
        <v>0</v>
      </c>
      <c r="G9" s="449">
        <v>0</v>
      </c>
      <c r="H9" s="435">
        <f t="shared" si="0"/>
        <v>0</v>
      </c>
    </row>
    <row r="10" spans="1:8" ht="15.75">
      <c r="A10" s="74">
        <v>1.3</v>
      </c>
      <c r="B10" s="201" t="s">
        <v>307</v>
      </c>
      <c r="C10" s="449">
        <v>18516717.759999946</v>
      </c>
      <c r="D10" s="449">
        <v>12971821.83</v>
      </c>
      <c r="E10" s="450">
        <f t="shared" si="1"/>
        <v>31488539.589999944</v>
      </c>
      <c r="F10" s="449">
        <v>13275117.519999966</v>
      </c>
      <c r="G10" s="449">
        <v>11726389.379999999</v>
      </c>
      <c r="H10" s="435">
        <f t="shared" si="0"/>
        <v>25001506.899999965</v>
      </c>
    </row>
    <row r="11" spans="1:8" ht="15.75">
      <c r="A11" s="74">
        <v>1.4</v>
      </c>
      <c r="B11" s="201" t="s">
        <v>288</v>
      </c>
      <c r="C11" s="449">
        <v>0</v>
      </c>
      <c r="D11" s="449">
        <v>0</v>
      </c>
      <c r="E11" s="450">
        <f t="shared" si="1"/>
        <v>0</v>
      </c>
      <c r="F11" s="449">
        <v>0</v>
      </c>
      <c r="G11" s="449">
        <v>0</v>
      </c>
      <c r="H11" s="435">
        <f t="shared" si="0"/>
        <v>0</v>
      </c>
    </row>
    <row r="12" spans="1:8" ht="29.25" customHeight="1">
      <c r="A12" s="74">
        <v>2</v>
      </c>
      <c r="B12" s="163" t="s">
        <v>309</v>
      </c>
      <c r="C12" s="449">
        <v>0</v>
      </c>
      <c r="D12" s="449">
        <v>0</v>
      </c>
      <c r="E12" s="450">
        <f t="shared" si="1"/>
        <v>0</v>
      </c>
      <c r="F12" s="449">
        <v>0</v>
      </c>
      <c r="G12" s="449">
        <v>0</v>
      </c>
      <c r="H12" s="435">
        <f t="shared" si="0"/>
        <v>0</v>
      </c>
    </row>
    <row r="13" spans="1:8" ht="19.899999999999999" customHeight="1">
      <c r="A13" s="74">
        <v>3</v>
      </c>
      <c r="B13" s="163" t="s">
        <v>308</v>
      </c>
      <c r="C13" s="449">
        <v>127544000</v>
      </c>
      <c r="D13" s="449">
        <v>0</v>
      </c>
      <c r="E13" s="450">
        <f t="shared" si="1"/>
        <v>127544000</v>
      </c>
      <c r="F13" s="449">
        <v>83614000</v>
      </c>
      <c r="G13" s="449">
        <v>0</v>
      </c>
      <c r="H13" s="435">
        <f t="shared" si="0"/>
        <v>83614000</v>
      </c>
    </row>
    <row r="14" spans="1:8" ht="15.75">
      <c r="A14" s="74">
        <v>3.1</v>
      </c>
      <c r="B14" s="202" t="s">
        <v>289</v>
      </c>
      <c r="C14" s="449">
        <v>127544000</v>
      </c>
      <c r="D14" s="449">
        <v>0</v>
      </c>
      <c r="E14" s="450">
        <f t="shared" si="1"/>
        <v>127544000</v>
      </c>
      <c r="F14" s="449">
        <v>83614000</v>
      </c>
      <c r="G14" s="449">
        <v>0</v>
      </c>
      <c r="H14" s="435">
        <f t="shared" si="0"/>
        <v>83614000</v>
      </c>
    </row>
    <row r="15" spans="1:8" ht="15.75">
      <c r="A15" s="74">
        <v>3.2</v>
      </c>
      <c r="B15" s="202" t="s">
        <v>290</v>
      </c>
      <c r="C15" s="449">
        <v>0</v>
      </c>
      <c r="D15" s="449">
        <v>0</v>
      </c>
      <c r="E15" s="450">
        <f t="shared" si="1"/>
        <v>0</v>
      </c>
      <c r="F15" s="449">
        <v>0</v>
      </c>
      <c r="G15" s="449">
        <v>0</v>
      </c>
      <c r="H15" s="435">
        <f t="shared" si="0"/>
        <v>0</v>
      </c>
    </row>
    <row r="16" spans="1:8" ht="15.75">
      <c r="A16" s="74">
        <v>4</v>
      </c>
      <c r="B16" s="205" t="s">
        <v>319</v>
      </c>
      <c r="C16" s="449">
        <v>272113544.53000009</v>
      </c>
      <c r="D16" s="449">
        <v>405843740.41000015</v>
      </c>
      <c r="E16" s="450">
        <f t="shared" si="1"/>
        <v>677957284.9400003</v>
      </c>
      <c r="F16" s="449">
        <v>205335589.33000049</v>
      </c>
      <c r="G16" s="449">
        <v>430153948.5200004</v>
      </c>
      <c r="H16" s="435">
        <f t="shared" si="0"/>
        <v>635489537.85000086</v>
      </c>
    </row>
    <row r="17" spans="1:8" ht="15.75">
      <c r="A17" s="74">
        <v>4.0999999999999996</v>
      </c>
      <c r="B17" s="202" t="s">
        <v>310</v>
      </c>
      <c r="C17" s="449">
        <v>263458314.07000008</v>
      </c>
      <c r="D17" s="449">
        <v>405665032.13200015</v>
      </c>
      <c r="E17" s="450">
        <f t="shared" si="1"/>
        <v>669123346.20200026</v>
      </c>
      <c r="F17" s="449">
        <v>201609747.4800005</v>
      </c>
      <c r="G17" s="449">
        <v>430153948.5200004</v>
      </c>
      <c r="H17" s="435">
        <f t="shared" si="0"/>
        <v>631763696.00000095</v>
      </c>
    </row>
    <row r="18" spans="1:8" ht="15.75">
      <c r="A18" s="74">
        <v>4.2</v>
      </c>
      <c r="B18" s="202" t="s">
        <v>304</v>
      </c>
      <c r="C18" s="449">
        <v>8655230.4600000009</v>
      </c>
      <c r="D18" s="449">
        <v>178708.27800000002</v>
      </c>
      <c r="E18" s="450">
        <f t="shared" si="1"/>
        <v>8833938.7380000018</v>
      </c>
      <c r="F18" s="449">
        <v>3725841.8499999996</v>
      </c>
      <c r="G18" s="449">
        <v>0</v>
      </c>
      <c r="H18" s="435">
        <f t="shared" si="0"/>
        <v>3725841.8499999996</v>
      </c>
    </row>
    <row r="19" spans="1:8" ht="15.75">
      <c r="A19" s="74">
        <v>5</v>
      </c>
      <c r="B19" s="163" t="s">
        <v>318</v>
      </c>
      <c r="C19" s="449">
        <v>861251062.86000001</v>
      </c>
      <c r="D19" s="449">
        <v>958989015.80999994</v>
      </c>
      <c r="E19" s="450">
        <f t="shared" si="1"/>
        <v>1820240078.6700001</v>
      </c>
      <c r="F19" s="449">
        <v>816948022.3599999</v>
      </c>
      <c r="G19" s="449">
        <v>1019951590.8900001</v>
      </c>
      <c r="H19" s="435">
        <f t="shared" si="0"/>
        <v>1836899613.25</v>
      </c>
    </row>
    <row r="20" spans="1:8" ht="15.75">
      <c r="A20" s="74">
        <v>5.0999999999999996</v>
      </c>
      <c r="B20" s="203" t="s">
        <v>293</v>
      </c>
      <c r="C20" s="449">
        <v>26006468.259999998</v>
      </c>
      <c r="D20" s="449">
        <v>43548588.25</v>
      </c>
      <c r="E20" s="450">
        <f t="shared" si="1"/>
        <v>69555056.50999999</v>
      </c>
      <c r="F20" s="449">
        <v>25007974.639999997</v>
      </c>
      <c r="G20" s="449">
        <v>42637980.390000008</v>
      </c>
      <c r="H20" s="435">
        <f t="shared" si="0"/>
        <v>67645955.030000001</v>
      </c>
    </row>
    <row r="21" spans="1:8" ht="15.75">
      <c r="A21" s="74">
        <v>5.2</v>
      </c>
      <c r="B21" s="203" t="s">
        <v>292</v>
      </c>
      <c r="C21" s="449">
        <v>9981736.2800000012</v>
      </c>
      <c r="D21" s="449">
        <v>3411073.31</v>
      </c>
      <c r="E21" s="450">
        <f t="shared" si="1"/>
        <v>13392809.590000002</v>
      </c>
      <c r="F21" s="449">
        <v>43337194.74000001</v>
      </c>
      <c r="G21" s="449">
        <v>9771742.6500000004</v>
      </c>
      <c r="H21" s="435">
        <f t="shared" si="0"/>
        <v>53108937.390000008</v>
      </c>
    </row>
    <row r="22" spans="1:8" ht="15.75">
      <c r="A22" s="74">
        <v>5.3</v>
      </c>
      <c r="B22" s="203" t="s">
        <v>291</v>
      </c>
      <c r="C22" s="449">
        <v>723293321.94000006</v>
      </c>
      <c r="D22" s="449">
        <v>891566489.2299999</v>
      </c>
      <c r="E22" s="450">
        <f t="shared" si="1"/>
        <v>1614859811.1700001</v>
      </c>
      <c r="F22" s="449">
        <v>644977306.42999995</v>
      </c>
      <c r="G22" s="449">
        <v>944483453.16000009</v>
      </c>
      <c r="H22" s="435">
        <f t="shared" si="0"/>
        <v>1589460759.5900002</v>
      </c>
    </row>
    <row r="23" spans="1:8" ht="15.75">
      <c r="A23" s="74" t="s">
        <v>15</v>
      </c>
      <c r="B23" s="164" t="s">
        <v>75</v>
      </c>
      <c r="C23" s="449">
        <v>390319324.36000001</v>
      </c>
      <c r="D23" s="449">
        <v>341358970.64999998</v>
      </c>
      <c r="E23" s="450">
        <f t="shared" si="1"/>
        <v>731678295.00999999</v>
      </c>
      <c r="F23" s="449">
        <v>382166364.40999991</v>
      </c>
      <c r="G23" s="449">
        <v>381489999.05000007</v>
      </c>
      <c r="H23" s="435">
        <f t="shared" si="0"/>
        <v>763656363.46000004</v>
      </c>
    </row>
    <row r="24" spans="1:8" ht="15.75">
      <c r="A24" s="74" t="s">
        <v>16</v>
      </c>
      <c r="B24" s="164" t="s">
        <v>76</v>
      </c>
      <c r="C24" s="449">
        <v>182992308.62000009</v>
      </c>
      <c r="D24" s="449">
        <v>317059846.04000008</v>
      </c>
      <c r="E24" s="450">
        <f t="shared" si="1"/>
        <v>500052154.66000021</v>
      </c>
      <c r="F24" s="449">
        <v>150339379.96000013</v>
      </c>
      <c r="G24" s="449">
        <v>335864617.00000018</v>
      </c>
      <c r="H24" s="435">
        <f t="shared" si="0"/>
        <v>486203996.96000028</v>
      </c>
    </row>
    <row r="25" spans="1:8" ht="15.75">
      <c r="A25" s="74" t="s">
        <v>17</v>
      </c>
      <c r="B25" s="164" t="s">
        <v>77</v>
      </c>
      <c r="C25" s="449">
        <v>18178275.790000003</v>
      </c>
      <c r="D25" s="449">
        <v>22981833.819999993</v>
      </c>
      <c r="E25" s="450">
        <f t="shared" si="1"/>
        <v>41160109.609999999</v>
      </c>
      <c r="F25" s="449">
        <v>19146954.809999991</v>
      </c>
      <c r="G25" s="449">
        <v>21396776.169999998</v>
      </c>
      <c r="H25" s="435">
        <f t="shared" si="0"/>
        <v>40543730.979999989</v>
      </c>
    </row>
    <row r="26" spans="1:8" ht="15.75">
      <c r="A26" s="74" t="s">
        <v>18</v>
      </c>
      <c r="B26" s="164" t="s">
        <v>78</v>
      </c>
      <c r="C26" s="449">
        <v>98924538.51000002</v>
      </c>
      <c r="D26" s="449">
        <v>106893684.29999998</v>
      </c>
      <c r="E26" s="450">
        <f t="shared" si="1"/>
        <v>205818222.81</v>
      </c>
      <c r="F26" s="449">
        <v>73678101.389999971</v>
      </c>
      <c r="G26" s="449">
        <v>86758736.939999998</v>
      </c>
      <c r="H26" s="435">
        <f t="shared" si="0"/>
        <v>160436838.32999998</v>
      </c>
    </row>
    <row r="27" spans="1:8" ht="15.75">
      <c r="A27" s="74" t="s">
        <v>19</v>
      </c>
      <c r="B27" s="164" t="s">
        <v>79</v>
      </c>
      <c r="C27" s="449">
        <v>32878874.660000004</v>
      </c>
      <c r="D27" s="449">
        <v>103272154.41999999</v>
      </c>
      <c r="E27" s="450">
        <f t="shared" si="1"/>
        <v>136151029.07999998</v>
      </c>
      <c r="F27" s="449">
        <v>19646505.859999999</v>
      </c>
      <c r="G27" s="449">
        <v>118973323.99999999</v>
      </c>
      <c r="H27" s="435">
        <f t="shared" si="0"/>
        <v>138619829.85999998</v>
      </c>
    </row>
    <row r="28" spans="1:8" ht="15.75">
      <c r="A28" s="74">
        <v>5.4</v>
      </c>
      <c r="B28" s="203" t="s">
        <v>294</v>
      </c>
      <c r="C28" s="449">
        <v>28759514.379999999</v>
      </c>
      <c r="D28" s="449">
        <v>10816610.959999995</v>
      </c>
      <c r="E28" s="450">
        <f t="shared" si="1"/>
        <v>39576125.339999996</v>
      </c>
      <c r="F28" s="449">
        <v>18215392.460000001</v>
      </c>
      <c r="G28" s="449">
        <v>10847138.650000002</v>
      </c>
      <c r="H28" s="435">
        <f t="shared" si="0"/>
        <v>29062531.110000003</v>
      </c>
    </row>
    <row r="29" spans="1:8" ht="15.75">
      <c r="A29" s="74">
        <v>5.5</v>
      </c>
      <c r="B29" s="203" t="s">
        <v>295</v>
      </c>
      <c r="C29" s="449">
        <v>0</v>
      </c>
      <c r="D29" s="449">
        <v>0</v>
      </c>
      <c r="E29" s="450">
        <f t="shared" si="1"/>
        <v>0</v>
      </c>
      <c r="F29" s="449">
        <v>0</v>
      </c>
      <c r="G29" s="449">
        <v>0</v>
      </c>
      <c r="H29" s="435">
        <f t="shared" si="0"/>
        <v>0</v>
      </c>
    </row>
    <row r="30" spans="1:8" ht="15.75">
      <c r="A30" s="74">
        <v>5.6</v>
      </c>
      <c r="B30" s="203" t="s">
        <v>296</v>
      </c>
      <c r="C30" s="449">
        <v>0</v>
      </c>
      <c r="D30" s="449">
        <v>0</v>
      </c>
      <c r="E30" s="450">
        <f t="shared" si="1"/>
        <v>0</v>
      </c>
      <c r="F30" s="449">
        <v>0</v>
      </c>
      <c r="G30" s="449">
        <v>0</v>
      </c>
      <c r="H30" s="435">
        <f t="shared" si="0"/>
        <v>0</v>
      </c>
    </row>
    <row r="31" spans="1:8" ht="15.75">
      <c r="A31" s="74">
        <v>5.7</v>
      </c>
      <c r="B31" s="203" t="s">
        <v>79</v>
      </c>
      <c r="C31" s="449">
        <v>73210022.000000015</v>
      </c>
      <c r="D31" s="449">
        <v>9646254.0600000005</v>
      </c>
      <c r="E31" s="450">
        <f t="shared" si="1"/>
        <v>82856276.060000017</v>
      </c>
      <c r="F31" s="449">
        <v>85410154.089999989</v>
      </c>
      <c r="G31" s="449">
        <v>12211276.039999995</v>
      </c>
      <c r="H31" s="435">
        <f t="shared" si="0"/>
        <v>97621430.12999998</v>
      </c>
    </row>
    <row r="32" spans="1:8" ht="15.75">
      <c r="A32" s="74">
        <v>6</v>
      </c>
      <c r="B32" s="163" t="s">
        <v>324</v>
      </c>
      <c r="C32" s="449">
        <v>7898633.5</v>
      </c>
      <c r="D32" s="449">
        <v>126973324.8</v>
      </c>
      <c r="E32" s="450">
        <f t="shared" si="1"/>
        <v>134871958.30000001</v>
      </c>
      <c r="F32" s="449">
        <v>11774034.5</v>
      </c>
      <c r="G32" s="449">
        <v>143917325.16</v>
      </c>
      <c r="H32" s="435">
        <f t="shared" si="0"/>
        <v>155691359.66</v>
      </c>
    </row>
    <row r="33" spans="1:8" ht="15.75">
      <c r="A33" s="74">
        <v>6.1</v>
      </c>
      <c r="B33" s="204" t="s">
        <v>314</v>
      </c>
      <c r="C33" s="449">
        <v>0</v>
      </c>
      <c r="D33" s="449">
        <v>67405324.799999997</v>
      </c>
      <c r="E33" s="450">
        <f t="shared" si="1"/>
        <v>67405324.799999997</v>
      </c>
      <c r="F33" s="449">
        <v>11774034.5</v>
      </c>
      <c r="G33" s="449">
        <v>65871455.759999998</v>
      </c>
      <c r="H33" s="435">
        <f t="shared" si="0"/>
        <v>77645490.25999999</v>
      </c>
    </row>
    <row r="34" spans="1:8" ht="15.75">
      <c r="A34" s="74">
        <v>6.2</v>
      </c>
      <c r="B34" s="204" t="s">
        <v>315</v>
      </c>
      <c r="C34" s="449">
        <v>7898633.5</v>
      </c>
      <c r="D34" s="449">
        <v>59568000</v>
      </c>
      <c r="E34" s="450">
        <f t="shared" si="1"/>
        <v>67466633.5</v>
      </c>
      <c r="F34" s="449">
        <v>0</v>
      </c>
      <c r="G34" s="449">
        <v>78045869.400000006</v>
      </c>
      <c r="H34" s="435">
        <f t="shared" si="0"/>
        <v>78045869.400000006</v>
      </c>
    </row>
    <row r="35" spans="1:8" ht="15.75">
      <c r="A35" s="74">
        <v>6.3</v>
      </c>
      <c r="B35" s="204" t="s">
        <v>311</v>
      </c>
      <c r="C35" s="449">
        <v>0</v>
      </c>
      <c r="D35" s="449">
        <v>0</v>
      </c>
      <c r="E35" s="450">
        <f t="shared" si="1"/>
        <v>0</v>
      </c>
      <c r="F35" s="449">
        <v>0</v>
      </c>
      <c r="G35" s="449">
        <v>0</v>
      </c>
      <c r="H35" s="435">
        <f t="shared" si="0"/>
        <v>0</v>
      </c>
    </row>
    <row r="36" spans="1:8" ht="15.75">
      <c r="A36" s="74">
        <v>6.4</v>
      </c>
      <c r="B36" s="204" t="s">
        <v>312</v>
      </c>
      <c r="C36" s="449">
        <v>0</v>
      </c>
      <c r="D36" s="449">
        <v>0</v>
      </c>
      <c r="E36" s="450">
        <f t="shared" si="1"/>
        <v>0</v>
      </c>
      <c r="F36" s="449">
        <v>0</v>
      </c>
      <c r="G36" s="449">
        <v>0</v>
      </c>
      <c r="H36" s="435">
        <f t="shared" si="0"/>
        <v>0</v>
      </c>
    </row>
    <row r="37" spans="1:8" ht="15.75">
      <c r="A37" s="74">
        <v>6.5</v>
      </c>
      <c r="B37" s="204" t="s">
        <v>313</v>
      </c>
      <c r="C37" s="449">
        <v>0</v>
      </c>
      <c r="D37" s="449">
        <v>0</v>
      </c>
      <c r="E37" s="450">
        <f t="shared" si="1"/>
        <v>0</v>
      </c>
      <c r="F37" s="449">
        <v>0</v>
      </c>
      <c r="G37" s="449">
        <v>0</v>
      </c>
      <c r="H37" s="435">
        <f t="shared" si="0"/>
        <v>0</v>
      </c>
    </row>
    <row r="38" spans="1:8" ht="15.75">
      <c r="A38" s="74">
        <v>6.6</v>
      </c>
      <c r="B38" s="204" t="s">
        <v>316</v>
      </c>
      <c r="C38" s="449">
        <v>0</v>
      </c>
      <c r="D38" s="449">
        <v>0</v>
      </c>
      <c r="E38" s="450">
        <f t="shared" si="1"/>
        <v>0</v>
      </c>
      <c r="F38" s="449">
        <v>0</v>
      </c>
      <c r="G38" s="449">
        <v>0</v>
      </c>
      <c r="H38" s="435">
        <f t="shared" si="0"/>
        <v>0</v>
      </c>
    </row>
    <row r="39" spans="1:8" ht="15.75">
      <c r="A39" s="74">
        <v>6.7</v>
      </c>
      <c r="B39" s="204" t="s">
        <v>317</v>
      </c>
      <c r="C39" s="449">
        <v>0</v>
      </c>
      <c r="D39" s="449">
        <v>0</v>
      </c>
      <c r="E39" s="450">
        <f t="shared" si="1"/>
        <v>0</v>
      </c>
      <c r="F39" s="449">
        <v>0</v>
      </c>
      <c r="G39" s="449">
        <v>0</v>
      </c>
      <c r="H39" s="435">
        <f t="shared" si="0"/>
        <v>0</v>
      </c>
    </row>
    <row r="40" spans="1:8" ht="15.75">
      <c r="A40" s="74">
        <v>7</v>
      </c>
      <c r="B40" s="163" t="s">
        <v>320</v>
      </c>
      <c r="C40" s="449">
        <v>0</v>
      </c>
      <c r="D40" s="449">
        <v>0</v>
      </c>
      <c r="E40" s="450">
        <f t="shared" si="1"/>
        <v>0</v>
      </c>
      <c r="F40" s="449">
        <v>0</v>
      </c>
      <c r="G40" s="449">
        <v>0</v>
      </c>
      <c r="H40" s="435">
        <f t="shared" si="0"/>
        <v>0</v>
      </c>
    </row>
    <row r="41" spans="1:8" ht="15.75">
      <c r="A41" s="74">
        <v>7.1</v>
      </c>
      <c r="B41" s="162" t="s">
        <v>321</v>
      </c>
      <c r="C41" s="449">
        <v>495585.25000000023</v>
      </c>
      <c r="D41" s="449">
        <v>83948.5</v>
      </c>
      <c r="E41" s="450">
        <f t="shared" si="1"/>
        <v>579533.75000000023</v>
      </c>
      <c r="F41" s="449">
        <v>1252867.6500000006</v>
      </c>
      <c r="G41" s="449">
        <v>14122.345300000001</v>
      </c>
      <c r="H41" s="435">
        <f t="shared" si="0"/>
        <v>1266989.9953000005</v>
      </c>
    </row>
    <row r="42" spans="1:8" ht="25.5">
      <c r="A42" s="74">
        <v>7.2</v>
      </c>
      <c r="B42" s="162" t="s">
        <v>322</v>
      </c>
      <c r="C42" s="449">
        <v>735997.42999999993</v>
      </c>
      <c r="D42" s="449">
        <v>1017710.1499999997</v>
      </c>
      <c r="E42" s="450">
        <f t="shared" si="1"/>
        <v>1753707.5799999996</v>
      </c>
      <c r="F42" s="449">
        <v>999296.26000000071</v>
      </c>
      <c r="G42" s="449">
        <v>1132247.8729000003</v>
      </c>
      <c r="H42" s="435">
        <f t="shared" si="0"/>
        <v>2131544.132900001</v>
      </c>
    </row>
    <row r="43" spans="1:8" ht="25.5">
      <c r="A43" s="74">
        <v>7.3</v>
      </c>
      <c r="B43" s="162" t="s">
        <v>325</v>
      </c>
      <c r="C43" s="449">
        <v>5311570.1200000141</v>
      </c>
      <c r="D43" s="449">
        <v>18763091.190000009</v>
      </c>
      <c r="E43" s="450">
        <f t="shared" si="1"/>
        <v>24074661.310000025</v>
      </c>
      <c r="F43" s="449">
        <v>6199777.3766000057</v>
      </c>
      <c r="G43" s="449">
        <v>15283751.5798</v>
      </c>
      <c r="H43" s="435">
        <f t="shared" si="0"/>
        <v>21483528.956400007</v>
      </c>
    </row>
    <row r="44" spans="1:8" ht="25.5">
      <c r="A44" s="74">
        <v>7.4</v>
      </c>
      <c r="B44" s="162" t="s">
        <v>326</v>
      </c>
      <c r="C44" s="449">
        <v>8689184.0700000115</v>
      </c>
      <c r="D44" s="449">
        <v>43292239.579999998</v>
      </c>
      <c r="E44" s="450">
        <f t="shared" si="1"/>
        <v>51981423.650000006</v>
      </c>
      <c r="F44" s="449">
        <v>42691613.589999951</v>
      </c>
      <c r="G44" s="449">
        <v>75943013.245099992</v>
      </c>
      <c r="H44" s="435">
        <f t="shared" si="0"/>
        <v>118634626.83509994</v>
      </c>
    </row>
    <row r="45" spans="1:8" ht="15.75">
      <c r="A45" s="74">
        <v>8</v>
      </c>
      <c r="B45" s="163" t="s">
        <v>303</v>
      </c>
      <c r="C45" s="449">
        <v>0</v>
      </c>
      <c r="D45" s="449">
        <v>0</v>
      </c>
      <c r="E45" s="450">
        <f t="shared" si="1"/>
        <v>0</v>
      </c>
      <c r="F45" s="449">
        <v>0</v>
      </c>
      <c r="G45" s="449">
        <v>0</v>
      </c>
      <c r="H45" s="435">
        <f t="shared" si="0"/>
        <v>0</v>
      </c>
    </row>
    <row r="46" spans="1:8" ht="15.75">
      <c r="A46" s="74">
        <v>8.1</v>
      </c>
      <c r="B46" s="202" t="s">
        <v>327</v>
      </c>
      <c r="C46" s="449">
        <v>0</v>
      </c>
      <c r="D46" s="449">
        <v>0</v>
      </c>
      <c r="E46" s="450">
        <f t="shared" si="1"/>
        <v>0</v>
      </c>
      <c r="F46" s="449">
        <v>0</v>
      </c>
      <c r="G46" s="449">
        <v>0</v>
      </c>
      <c r="H46" s="435">
        <f t="shared" si="0"/>
        <v>0</v>
      </c>
    </row>
    <row r="47" spans="1:8" ht="15.75">
      <c r="A47" s="74">
        <v>8.1999999999999993</v>
      </c>
      <c r="B47" s="202" t="s">
        <v>328</v>
      </c>
      <c r="C47" s="449">
        <v>0</v>
      </c>
      <c r="D47" s="449">
        <v>0</v>
      </c>
      <c r="E47" s="450">
        <f t="shared" si="1"/>
        <v>0</v>
      </c>
      <c r="F47" s="449">
        <v>0</v>
      </c>
      <c r="G47" s="449">
        <v>0</v>
      </c>
      <c r="H47" s="435">
        <f t="shared" si="0"/>
        <v>0</v>
      </c>
    </row>
    <row r="48" spans="1:8" ht="15.75">
      <c r="A48" s="74">
        <v>8.3000000000000007</v>
      </c>
      <c r="B48" s="202" t="s">
        <v>329</v>
      </c>
      <c r="C48" s="449">
        <v>0</v>
      </c>
      <c r="D48" s="449">
        <v>0</v>
      </c>
      <c r="E48" s="450">
        <f t="shared" si="1"/>
        <v>0</v>
      </c>
      <c r="F48" s="449">
        <v>0</v>
      </c>
      <c r="G48" s="449">
        <v>0</v>
      </c>
      <c r="H48" s="435">
        <f t="shared" si="0"/>
        <v>0</v>
      </c>
    </row>
    <row r="49" spans="1:8" ht="15.75">
      <c r="A49" s="74">
        <v>8.4</v>
      </c>
      <c r="B49" s="202" t="s">
        <v>330</v>
      </c>
      <c r="C49" s="449">
        <v>0</v>
      </c>
      <c r="D49" s="449">
        <v>0</v>
      </c>
      <c r="E49" s="450">
        <f t="shared" si="1"/>
        <v>0</v>
      </c>
      <c r="F49" s="449">
        <v>0</v>
      </c>
      <c r="G49" s="449">
        <v>0</v>
      </c>
      <c r="H49" s="435">
        <f t="shared" si="0"/>
        <v>0</v>
      </c>
    </row>
    <row r="50" spans="1:8" ht="15.75">
      <c r="A50" s="74">
        <v>8.5</v>
      </c>
      <c r="B50" s="202" t="s">
        <v>331</v>
      </c>
      <c r="C50" s="449">
        <v>0</v>
      </c>
      <c r="D50" s="449">
        <v>0</v>
      </c>
      <c r="E50" s="450">
        <f t="shared" si="1"/>
        <v>0</v>
      </c>
      <c r="F50" s="449">
        <v>0</v>
      </c>
      <c r="G50" s="449">
        <v>0</v>
      </c>
      <c r="H50" s="435">
        <f t="shared" si="0"/>
        <v>0</v>
      </c>
    </row>
    <row r="51" spans="1:8" ht="15.75">
      <c r="A51" s="74">
        <v>8.6</v>
      </c>
      <c r="B51" s="202" t="s">
        <v>332</v>
      </c>
      <c r="C51" s="449">
        <v>0</v>
      </c>
      <c r="D51" s="449">
        <v>0</v>
      </c>
      <c r="E51" s="450">
        <f t="shared" si="1"/>
        <v>0</v>
      </c>
      <c r="F51" s="449">
        <v>0</v>
      </c>
      <c r="G51" s="449">
        <v>0</v>
      </c>
      <c r="H51" s="435">
        <f t="shared" si="0"/>
        <v>0</v>
      </c>
    </row>
    <row r="52" spans="1:8" ht="15.75">
      <c r="A52" s="74">
        <v>8.6999999999999993</v>
      </c>
      <c r="B52" s="202" t="s">
        <v>333</v>
      </c>
      <c r="C52" s="449">
        <v>0</v>
      </c>
      <c r="D52" s="449">
        <v>0</v>
      </c>
      <c r="E52" s="450">
        <f t="shared" si="1"/>
        <v>0</v>
      </c>
      <c r="F52" s="449">
        <v>0</v>
      </c>
      <c r="G52" s="449">
        <v>0</v>
      </c>
      <c r="H52" s="435">
        <f t="shared" si="0"/>
        <v>0</v>
      </c>
    </row>
    <row r="53" spans="1:8" ht="16.5" thickBot="1">
      <c r="A53" s="165">
        <v>9</v>
      </c>
      <c r="B53" s="166" t="s">
        <v>323</v>
      </c>
      <c r="C53" s="451">
        <v>0</v>
      </c>
      <c r="D53" s="451">
        <v>0</v>
      </c>
      <c r="E53" s="452">
        <f t="shared" si="1"/>
        <v>0</v>
      </c>
      <c r="F53" s="451">
        <v>0</v>
      </c>
      <c r="G53" s="451">
        <v>0</v>
      </c>
      <c r="H53" s="43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5" sqref="C5:G13"/>
    </sheetView>
  </sheetViews>
  <sheetFormatPr defaultColWidth="9.140625" defaultRowHeight="12.75"/>
  <cols>
    <col min="1" max="1" width="9.5703125" style="4" bestFit="1" customWidth="1"/>
    <col min="2" max="2" width="93.5703125" style="4" customWidth="1"/>
    <col min="3" max="4" width="10.7109375" style="4" customWidth="1"/>
    <col min="5" max="6" width="10.85546875" style="30" bestFit="1" customWidth="1"/>
    <col min="7" max="11" width="9.7109375" style="30" customWidth="1"/>
    <col min="12" max="16384" width="9.140625" style="30"/>
  </cols>
  <sheetData>
    <row r="1" spans="1:7">
      <c r="A1" s="2" t="s">
        <v>30</v>
      </c>
      <c r="B1" s="3" t="str">
        <f>'Info '!C2</f>
        <v>Terabank</v>
      </c>
      <c r="C1" s="3"/>
    </row>
    <row r="2" spans="1:7">
      <c r="A2" s="2" t="s">
        <v>31</v>
      </c>
      <c r="B2" s="338">
        <f>'4. Off-Balance'!B2</f>
        <v>44561</v>
      </c>
      <c r="C2" s="3"/>
    </row>
    <row r="3" spans="1:7">
      <c r="A3" s="2"/>
      <c r="B3" s="3"/>
      <c r="C3" s="3"/>
    </row>
    <row r="4" spans="1:7" ht="15" customHeight="1" thickBot="1">
      <c r="A4" s="4" t="s">
        <v>198</v>
      </c>
      <c r="B4" s="124" t="s">
        <v>297</v>
      </c>
      <c r="C4" s="48" t="s">
        <v>73</v>
      </c>
    </row>
    <row r="5" spans="1:7" ht="15" customHeight="1">
      <c r="A5" s="189" t="s">
        <v>6</v>
      </c>
      <c r="B5" s="190"/>
      <c r="C5" s="336" t="str">
        <f>INT((MONTH($B$2))/3)&amp;"Q"&amp;"-"&amp;YEAR($B$2)</f>
        <v>4Q-2021</v>
      </c>
      <c r="D5" s="336" t="str">
        <f>IF(INT(MONTH($B$2))=3, "4"&amp;"Q"&amp;"-"&amp;YEAR($B$2)-1, IF(INT(MONTH($B$2))=6, "1"&amp;"Q"&amp;"-"&amp;YEAR($B$2), IF(INT(MONTH($B$2))=9, "2"&amp;"Q"&amp;"-"&amp;YEAR($B$2),IF(INT(MONTH($B$2))=12, "3"&amp;"Q"&amp;"-"&amp;YEAR($B$2), 0))))</f>
        <v>3Q-2021</v>
      </c>
      <c r="E5" s="336" t="str">
        <f>IF(INT(MONTH($B$2))=3, "3"&amp;"Q"&amp;"-"&amp;YEAR($B$2)-1, IF(INT(MONTH($B$2))=6, "4"&amp;"Q"&amp;"-"&amp;YEAR($B$2)-1, IF(INT(MONTH($B$2))=9, "1"&amp;"Q"&amp;"-"&amp;YEAR($B$2),IF(INT(MONTH($B$2))=12, "2"&amp;"Q"&amp;"-"&amp;YEAR($B$2), 0))))</f>
        <v>2Q-2021</v>
      </c>
      <c r="F5" s="336" t="str">
        <f>IF(INT(MONTH($B$2))=3, "2"&amp;"Q"&amp;"-"&amp;YEAR($B$2)-1, IF(INT(MONTH($B$2))=6, "3"&amp;"Q"&amp;"-"&amp;YEAR($B$2)-1, IF(INT(MONTH($B$2))=9, "4"&amp;"Q"&amp;"-"&amp;YEAR($B$2)-1,IF(INT(MONTH($B$2))=12, "1"&amp;"Q"&amp;"-"&amp;YEAR($B$2), 0))))</f>
        <v>1Q-2021</v>
      </c>
      <c r="G5" s="336" t="str">
        <f>IF(INT(MONTH($B$2))=3, "1"&amp;"Q"&amp;"-"&amp;YEAR($B$2)-1, IF(INT(MONTH($B$2))=6, "2"&amp;"Q"&amp;"-"&amp;YEAR($B$2)-1, IF(INT(MONTH($B$2))=9, "3"&amp;"Q"&amp;"-"&amp;YEAR($B$2)-1,IF(INT(MONTH($B$2))=12, "4"&amp;"Q"&amp;"-"&amp;YEAR($B$2)-1, 0))))</f>
        <v>4Q-2020</v>
      </c>
    </row>
    <row r="6" spans="1:7" ht="15" customHeight="1">
      <c r="A6" s="49">
        <v>1</v>
      </c>
      <c r="B6" s="276" t="s">
        <v>301</v>
      </c>
      <c r="C6" s="453">
        <f>C7+C9+C10</f>
        <v>1002728872.2713515</v>
      </c>
      <c r="D6" s="454">
        <f>D7+D9+D10</f>
        <v>965651446.33749986</v>
      </c>
      <c r="E6" s="278">
        <f t="shared" ref="E6:G6" si="0">E7+E9+E10</f>
        <v>979824384.03484762</v>
      </c>
      <c r="F6" s="453">
        <f t="shared" si="0"/>
        <v>1008764060.0202504</v>
      </c>
      <c r="G6" s="333">
        <f t="shared" si="0"/>
        <v>936027383.49900103</v>
      </c>
    </row>
    <row r="7" spans="1:7" ht="15" customHeight="1">
      <c r="A7" s="49">
        <v>1.1000000000000001</v>
      </c>
      <c r="B7" s="276" t="s">
        <v>481</v>
      </c>
      <c r="C7" s="455">
        <v>970101006.45685148</v>
      </c>
      <c r="D7" s="456">
        <v>937814523.81499982</v>
      </c>
      <c r="E7" s="455">
        <v>954145441.56349766</v>
      </c>
      <c r="F7" s="455">
        <v>984392231.6705004</v>
      </c>
      <c r="G7" s="334">
        <v>911613986.37750101</v>
      </c>
    </row>
    <row r="8" spans="1:7">
      <c r="A8" s="49" t="s">
        <v>14</v>
      </c>
      <c r="B8" s="276" t="s">
        <v>197</v>
      </c>
      <c r="C8" s="455">
        <v>0</v>
      </c>
      <c r="D8" s="456">
        <v>0</v>
      </c>
      <c r="E8" s="455">
        <v>0</v>
      </c>
      <c r="F8" s="455">
        <v>0</v>
      </c>
      <c r="G8" s="334">
        <v>0</v>
      </c>
    </row>
    <row r="9" spans="1:7" ht="15" customHeight="1">
      <c r="A9" s="49">
        <v>1.2</v>
      </c>
      <c r="B9" s="277" t="s">
        <v>196</v>
      </c>
      <c r="C9" s="455">
        <v>31278533.144499991</v>
      </c>
      <c r="D9" s="456">
        <v>26111884.892499991</v>
      </c>
      <c r="E9" s="455">
        <v>24338154.86074999</v>
      </c>
      <c r="F9" s="455">
        <v>22815019.853749998</v>
      </c>
      <c r="G9" s="334">
        <v>22852479.733499989</v>
      </c>
    </row>
    <row r="10" spans="1:7" ht="15" customHeight="1">
      <c r="A10" s="49">
        <v>1.3</v>
      </c>
      <c r="B10" s="276" t="s">
        <v>28</v>
      </c>
      <c r="C10" s="455">
        <v>1349332.67</v>
      </c>
      <c r="D10" s="456">
        <v>1725037.6300000001</v>
      </c>
      <c r="E10" s="455">
        <v>1340787.6106</v>
      </c>
      <c r="F10" s="455">
        <v>1556808.496</v>
      </c>
      <c r="G10" s="334">
        <v>1560917.388</v>
      </c>
    </row>
    <row r="11" spans="1:7" ht="15" customHeight="1">
      <c r="A11" s="49">
        <v>2</v>
      </c>
      <c r="B11" s="276" t="s">
        <v>298</v>
      </c>
      <c r="C11" s="455">
        <v>29520683.129999924</v>
      </c>
      <c r="D11" s="456">
        <v>26498769.699999984</v>
      </c>
      <c r="E11" s="455">
        <v>26502380.349999961</v>
      </c>
      <c r="F11" s="455">
        <v>25453609.059999939</v>
      </c>
      <c r="G11" s="334">
        <v>24635876.009999685</v>
      </c>
    </row>
    <row r="12" spans="1:7" ht="15" customHeight="1">
      <c r="A12" s="49">
        <v>3</v>
      </c>
      <c r="B12" s="276" t="s">
        <v>299</v>
      </c>
      <c r="C12" s="455">
        <v>100082740.24375002</v>
      </c>
      <c r="D12" s="456">
        <v>99313156.550000012</v>
      </c>
      <c r="E12" s="455">
        <v>99313156.550000012</v>
      </c>
      <c r="F12" s="455">
        <v>99313156.550000012</v>
      </c>
      <c r="G12" s="334">
        <v>99313156.550000012</v>
      </c>
    </row>
    <row r="13" spans="1:7" ht="15" customHeight="1" thickBot="1">
      <c r="A13" s="51">
        <v>4</v>
      </c>
      <c r="B13" s="52" t="s">
        <v>300</v>
      </c>
      <c r="C13" s="279">
        <f>C6+C11+C12</f>
        <v>1132332295.6451013</v>
      </c>
      <c r="D13" s="332">
        <f>D6+D11+D12</f>
        <v>1091463372.5874999</v>
      </c>
      <c r="E13" s="280">
        <f t="shared" ref="E13:G13" si="1">E6+E11+E12</f>
        <v>1105639920.9348476</v>
      </c>
      <c r="F13" s="279">
        <f t="shared" si="1"/>
        <v>1133530825.6302505</v>
      </c>
      <c r="G13" s="335">
        <f t="shared" si="1"/>
        <v>1059976416.0590007</v>
      </c>
    </row>
    <row r="14" spans="1:7">
      <c r="B14" s="55"/>
    </row>
    <row r="15" spans="1:7" ht="25.5">
      <c r="B15" s="55" t="s">
        <v>482</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38">
        <f>'1. key ratios '!B2</f>
        <v>44561</v>
      </c>
    </row>
    <row r="4" spans="1:3" ht="27.95" customHeight="1" thickBot="1">
      <c r="A4" s="56" t="s">
        <v>80</v>
      </c>
      <c r="B4" s="57" t="s">
        <v>267</v>
      </c>
      <c r="C4" s="58"/>
    </row>
    <row r="5" spans="1:3">
      <c r="A5" s="59"/>
      <c r="B5" s="327" t="s">
        <v>81</v>
      </c>
      <c r="C5" s="328" t="s">
        <v>495</v>
      </c>
    </row>
    <row r="6" spans="1:3">
      <c r="A6" s="60">
        <v>1</v>
      </c>
      <c r="B6" s="457" t="s">
        <v>721</v>
      </c>
      <c r="C6" s="458" t="s">
        <v>722</v>
      </c>
    </row>
    <row r="7" spans="1:3">
      <c r="A7" s="60">
        <v>2</v>
      </c>
      <c r="B7" s="457" t="s">
        <v>723</v>
      </c>
      <c r="C7" s="458" t="s">
        <v>724</v>
      </c>
    </row>
    <row r="8" spans="1:3">
      <c r="A8" s="60">
        <v>3</v>
      </c>
      <c r="B8" s="457" t="s">
        <v>725</v>
      </c>
      <c r="C8" s="458" t="s">
        <v>724</v>
      </c>
    </row>
    <row r="9" spans="1:3">
      <c r="A9" s="60">
        <v>4</v>
      </c>
      <c r="B9" s="457" t="s">
        <v>726</v>
      </c>
      <c r="C9" s="458" t="s">
        <v>727</v>
      </c>
    </row>
    <row r="10" spans="1:3">
      <c r="A10" s="60">
        <v>5</v>
      </c>
      <c r="B10" s="457" t="s">
        <v>728</v>
      </c>
      <c r="C10" s="458" t="s">
        <v>727</v>
      </c>
    </row>
    <row r="11" spans="1:3">
      <c r="A11" s="60">
        <v>6</v>
      </c>
      <c r="B11" s="457" t="s">
        <v>729</v>
      </c>
      <c r="C11" s="458" t="s">
        <v>727</v>
      </c>
    </row>
    <row r="12" spans="1:3">
      <c r="A12" s="60"/>
      <c r="B12" s="457"/>
      <c r="C12" s="458"/>
    </row>
    <row r="13" spans="1:3">
      <c r="A13" s="60"/>
      <c r="B13" s="329"/>
      <c r="C13" s="330"/>
    </row>
    <row r="14" spans="1:3" ht="25.5">
      <c r="A14" s="60"/>
      <c r="B14" s="172" t="s">
        <v>82</v>
      </c>
      <c r="C14" s="331" t="s">
        <v>496</v>
      </c>
    </row>
    <row r="15" spans="1:3">
      <c r="A15" s="60">
        <v>1</v>
      </c>
      <c r="B15" s="457" t="s">
        <v>730</v>
      </c>
      <c r="C15" s="490" t="s">
        <v>731</v>
      </c>
    </row>
    <row r="16" spans="1:3">
      <c r="A16" s="60">
        <v>2</v>
      </c>
      <c r="B16" s="457" t="s">
        <v>732</v>
      </c>
      <c r="C16" s="490" t="s">
        <v>733</v>
      </c>
    </row>
    <row r="17" spans="1:3">
      <c r="A17" s="60">
        <v>3</v>
      </c>
      <c r="B17" s="457" t="s">
        <v>734</v>
      </c>
      <c r="C17" s="490" t="s">
        <v>735</v>
      </c>
    </row>
    <row r="18" spans="1:3">
      <c r="A18" s="60">
        <v>4</v>
      </c>
      <c r="B18" s="457" t="s">
        <v>736</v>
      </c>
      <c r="C18" s="490" t="s">
        <v>737</v>
      </c>
    </row>
    <row r="19" spans="1:3">
      <c r="A19" s="60">
        <v>5</v>
      </c>
      <c r="B19" s="457" t="s">
        <v>738</v>
      </c>
      <c r="C19" s="490" t="s">
        <v>739</v>
      </c>
    </row>
    <row r="20" spans="1:3" ht="15.75" customHeight="1">
      <c r="A20" s="60"/>
      <c r="B20" s="61"/>
      <c r="C20" s="63"/>
    </row>
    <row r="21" spans="1:3" ht="30" customHeight="1">
      <c r="A21" s="60"/>
      <c r="B21" s="631" t="s">
        <v>83</v>
      </c>
      <c r="C21" s="632"/>
    </row>
    <row r="22" spans="1:3" ht="15.75">
      <c r="A22" s="60">
        <v>1</v>
      </c>
      <c r="B22" s="457" t="s">
        <v>719</v>
      </c>
      <c r="C22" s="462">
        <v>0.65</v>
      </c>
    </row>
    <row r="23" spans="1:3" ht="15.75">
      <c r="A23" s="60">
        <v>2</v>
      </c>
      <c r="B23" s="457" t="s">
        <v>740</v>
      </c>
      <c r="C23" s="462">
        <v>0.15</v>
      </c>
    </row>
    <row r="24" spans="1:3" ht="15.75">
      <c r="A24" s="60">
        <v>3</v>
      </c>
      <c r="B24" s="457" t="s">
        <v>741</v>
      </c>
      <c r="C24" s="462">
        <v>0.15</v>
      </c>
    </row>
    <row r="25" spans="1:3" ht="15.75">
      <c r="A25" s="60">
        <v>4</v>
      </c>
      <c r="B25" s="457" t="s">
        <v>742</v>
      </c>
      <c r="C25" s="462">
        <v>0.05</v>
      </c>
    </row>
    <row r="26" spans="1:3">
      <c r="A26" s="60"/>
      <c r="B26" s="457"/>
      <c r="C26" s="458"/>
    </row>
    <row r="27" spans="1:3" ht="15.75" customHeight="1">
      <c r="A27" s="60"/>
      <c r="B27" s="61"/>
      <c r="C27" s="62"/>
    </row>
    <row r="28" spans="1:3" ht="29.25" customHeight="1">
      <c r="A28" s="60"/>
      <c r="B28" s="631" t="s">
        <v>84</v>
      </c>
      <c r="C28" s="632"/>
    </row>
    <row r="29" spans="1:3" ht="15.75">
      <c r="A29" s="60">
        <v>1</v>
      </c>
      <c r="B29" s="457" t="s">
        <v>719</v>
      </c>
      <c r="C29" s="462">
        <v>0.65</v>
      </c>
    </row>
    <row r="30" spans="1:3" ht="15.75">
      <c r="A30" s="459">
        <v>2</v>
      </c>
      <c r="B30" s="460" t="s">
        <v>740</v>
      </c>
      <c r="C30" s="463">
        <v>0.15</v>
      </c>
    </row>
    <row r="31" spans="1:3" ht="15.75">
      <c r="A31" s="459">
        <v>3</v>
      </c>
      <c r="B31" s="460" t="s">
        <v>741</v>
      </c>
      <c r="C31" s="463">
        <v>0.15</v>
      </c>
    </row>
    <row r="32" spans="1:3" ht="15.75">
      <c r="A32" s="459">
        <v>4</v>
      </c>
      <c r="B32" s="460" t="s">
        <v>742</v>
      </c>
      <c r="C32" s="463">
        <v>0.05</v>
      </c>
    </row>
    <row r="33" spans="1:3">
      <c r="A33" s="459"/>
      <c r="B33" s="460"/>
      <c r="C33" s="461"/>
    </row>
    <row r="34" spans="1:3">
      <c r="A34" s="459"/>
      <c r="B34" s="460"/>
      <c r="C34" s="461"/>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38">
        <f>'1. key ratios '!B2</f>
        <v>44561</v>
      </c>
    </row>
    <row r="3" spans="1:5" s="2" customFormat="1" ht="15.75" customHeight="1">
      <c r="A3" s="54"/>
    </row>
    <row r="4" spans="1:5" s="2" customFormat="1" ht="15.75" customHeight="1" thickBot="1">
      <c r="A4" s="227" t="s">
        <v>202</v>
      </c>
      <c r="B4" s="637" t="s">
        <v>347</v>
      </c>
      <c r="C4" s="638"/>
      <c r="D4" s="638"/>
      <c r="E4" s="638"/>
    </row>
    <row r="5" spans="1:5" s="70" customFormat="1" ht="17.45" customHeight="1">
      <c r="A5" s="177"/>
      <c r="B5" s="178"/>
      <c r="C5" s="68" t="s">
        <v>0</v>
      </c>
      <c r="D5" s="68" t="s">
        <v>1</v>
      </c>
      <c r="E5" s="69" t="s">
        <v>2</v>
      </c>
    </row>
    <row r="6" spans="1:5" ht="14.45" customHeight="1">
      <c r="A6" s="135"/>
      <c r="B6" s="633" t="s">
        <v>354</v>
      </c>
      <c r="C6" s="633" t="s">
        <v>93</v>
      </c>
      <c r="D6" s="635" t="s">
        <v>201</v>
      </c>
      <c r="E6" s="636"/>
    </row>
    <row r="7" spans="1:5" ht="99.6" customHeight="1">
      <c r="A7" s="135"/>
      <c r="B7" s="634"/>
      <c r="C7" s="633"/>
      <c r="D7" s="259" t="s">
        <v>200</v>
      </c>
      <c r="E7" s="260" t="s">
        <v>355</v>
      </c>
    </row>
    <row r="8" spans="1:5">
      <c r="A8" s="71">
        <v>1</v>
      </c>
      <c r="B8" s="261" t="s">
        <v>35</v>
      </c>
      <c r="C8" s="464">
        <v>34283691.389999993</v>
      </c>
      <c r="D8" s="464">
        <v>0</v>
      </c>
      <c r="E8" s="465">
        <v>34283691.389999993</v>
      </c>
    </row>
    <row r="9" spans="1:5">
      <c r="A9" s="71">
        <v>2</v>
      </c>
      <c r="B9" s="261" t="s">
        <v>36</v>
      </c>
      <c r="C9" s="464">
        <v>169284322.28</v>
      </c>
      <c r="D9" s="464">
        <v>0</v>
      </c>
      <c r="E9" s="465">
        <v>169284322.28</v>
      </c>
    </row>
    <row r="10" spans="1:5">
      <c r="A10" s="71">
        <v>3</v>
      </c>
      <c r="B10" s="261" t="s">
        <v>37</v>
      </c>
      <c r="C10" s="464">
        <v>27771155.489999991</v>
      </c>
      <c r="D10" s="464">
        <v>0</v>
      </c>
      <c r="E10" s="465">
        <v>27771155.489999991</v>
      </c>
    </row>
    <row r="11" spans="1:5">
      <c r="A11" s="71">
        <v>4</v>
      </c>
      <c r="B11" s="261" t="s">
        <v>38</v>
      </c>
      <c r="C11" s="464">
        <v>0</v>
      </c>
      <c r="D11" s="464">
        <v>0</v>
      </c>
      <c r="E11" s="465">
        <v>0</v>
      </c>
    </row>
    <row r="12" spans="1:5">
      <c r="A12" s="71">
        <v>5</v>
      </c>
      <c r="B12" s="261" t="s">
        <v>39</v>
      </c>
      <c r="C12" s="464">
        <v>125268448.30000001</v>
      </c>
      <c r="D12" s="464">
        <v>0</v>
      </c>
      <c r="E12" s="465">
        <v>125268448.30000001</v>
      </c>
    </row>
    <row r="13" spans="1:5">
      <c r="A13" s="71">
        <v>6.1</v>
      </c>
      <c r="B13" s="262" t="s">
        <v>40</v>
      </c>
      <c r="C13" s="466">
        <v>972738346.64000082</v>
      </c>
      <c r="D13" s="464">
        <v>0</v>
      </c>
      <c r="E13" s="465">
        <v>972738346.64000082</v>
      </c>
    </row>
    <row r="14" spans="1:5">
      <c r="A14" s="71">
        <v>6.2</v>
      </c>
      <c r="B14" s="263" t="s">
        <v>41</v>
      </c>
      <c r="C14" s="466">
        <v>49098444.240000226</v>
      </c>
      <c r="D14" s="464">
        <v>0</v>
      </c>
      <c r="E14" s="465">
        <v>49098444.240000226</v>
      </c>
    </row>
    <row r="15" spans="1:5">
      <c r="A15" s="71">
        <v>6</v>
      </c>
      <c r="B15" s="261" t="s">
        <v>42</v>
      </c>
      <c r="C15" s="464">
        <v>923639902.40000057</v>
      </c>
      <c r="D15" s="464">
        <v>0</v>
      </c>
      <c r="E15" s="465">
        <v>923639902.40000057</v>
      </c>
    </row>
    <row r="16" spans="1:5">
      <c r="A16" s="71">
        <v>7</v>
      </c>
      <c r="B16" s="261" t="s">
        <v>43</v>
      </c>
      <c r="C16" s="464">
        <v>12947069.339999974</v>
      </c>
      <c r="D16" s="464">
        <v>0</v>
      </c>
      <c r="E16" s="465">
        <v>12947069.339999974</v>
      </c>
    </row>
    <row r="17" spans="1:7">
      <c r="A17" s="71">
        <v>8</v>
      </c>
      <c r="B17" s="261" t="s">
        <v>199</v>
      </c>
      <c r="C17" s="464">
        <v>3324611.5599999987</v>
      </c>
      <c r="D17" s="464">
        <v>0</v>
      </c>
      <c r="E17" s="465">
        <v>3324611.5599999987</v>
      </c>
      <c r="F17" s="72"/>
      <c r="G17" s="72"/>
    </row>
    <row r="18" spans="1:7">
      <c r="A18" s="71">
        <v>9</v>
      </c>
      <c r="B18" s="261" t="s">
        <v>44</v>
      </c>
      <c r="C18" s="464">
        <v>0</v>
      </c>
      <c r="D18" s="464">
        <v>0</v>
      </c>
      <c r="E18" s="465">
        <v>0</v>
      </c>
      <c r="G18" s="72"/>
    </row>
    <row r="19" spans="1:7">
      <c r="A19" s="71">
        <v>10</v>
      </c>
      <c r="B19" s="261" t="s">
        <v>45</v>
      </c>
      <c r="C19" s="464">
        <v>46782317.159999982</v>
      </c>
      <c r="D19" s="464">
        <v>23404928</v>
      </c>
      <c r="E19" s="465">
        <v>23377389.159999982</v>
      </c>
      <c r="G19" s="72"/>
    </row>
    <row r="20" spans="1:7">
      <c r="A20" s="71">
        <v>11</v>
      </c>
      <c r="B20" s="261" t="s">
        <v>46</v>
      </c>
      <c r="C20" s="464">
        <v>7999588.0130000003</v>
      </c>
      <c r="D20" s="464">
        <v>0</v>
      </c>
      <c r="E20" s="465">
        <v>7999588.0130000003</v>
      </c>
    </row>
    <row r="21" spans="1:7" ht="26.25" thickBot="1">
      <c r="A21" s="138"/>
      <c r="B21" s="228" t="s">
        <v>357</v>
      </c>
      <c r="C21" s="467">
        <f>SUM(C8:C12, C15:C20)</f>
        <v>1351301105.9330006</v>
      </c>
      <c r="D21" s="467">
        <f>SUM(D8:D12, D15:D20)</f>
        <v>23404928</v>
      </c>
      <c r="E21" s="468">
        <f>SUM(E8:E12, E15:E20)</f>
        <v>1327896177.9330006</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38">
        <f>'1. key ratios '!B2</f>
        <v>44561</v>
      </c>
      <c r="C2" s="4"/>
      <c r="D2" s="4"/>
      <c r="E2" s="4"/>
      <c r="F2" s="4"/>
    </row>
    <row r="3" spans="1:6" s="2" customFormat="1" ht="15.75" customHeight="1">
      <c r="C3" s="4"/>
      <c r="D3" s="4"/>
      <c r="E3" s="4"/>
      <c r="F3" s="4"/>
    </row>
    <row r="4" spans="1:6" s="2" customFormat="1" ht="13.5" thickBot="1">
      <c r="A4" s="2" t="s">
        <v>85</v>
      </c>
      <c r="B4" s="229" t="s">
        <v>334</v>
      </c>
      <c r="C4" s="67" t="s">
        <v>73</v>
      </c>
      <c r="D4" s="4"/>
      <c r="E4" s="4"/>
      <c r="F4" s="4"/>
    </row>
    <row r="5" spans="1:6" ht="15">
      <c r="A5" s="182">
        <v>1</v>
      </c>
      <c r="B5" s="230" t="s">
        <v>356</v>
      </c>
      <c r="C5" s="469">
        <v>1327896177.9330006</v>
      </c>
    </row>
    <row r="6" spans="1:6" ht="15">
      <c r="A6" s="74">
        <v>2.1</v>
      </c>
      <c r="B6" s="136" t="s">
        <v>335</v>
      </c>
      <c r="C6" s="470">
        <v>82499632.159999967</v>
      </c>
    </row>
    <row r="7" spans="1:6" s="55" customFormat="1" ht="15" outlineLevel="1">
      <c r="A7" s="49">
        <v>2.2000000000000002</v>
      </c>
      <c r="B7" s="50" t="s">
        <v>336</v>
      </c>
      <c r="C7" s="471">
        <v>86251881.5</v>
      </c>
    </row>
    <row r="8" spans="1:6" s="55" customFormat="1" ht="25.5">
      <c r="A8" s="49">
        <v>3</v>
      </c>
      <c r="B8" s="180" t="s">
        <v>337</v>
      </c>
      <c r="C8" s="472">
        <f>SUM(C5:C7)</f>
        <v>1496647691.5930004</v>
      </c>
    </row>
    <row r="9" spans="1:6" ht="15">
      <c r="A9" s="74">
        <v>4</v>
      </c>
      <c r="B9" s="75" t="s">
        <v>87</v>
      </c>
      <c r="C9" s="470">
        <v>15719378.00000013</v>
      </c>
    </row>
    <row r="10" spans="1:6" s="55" customFormat="1" ht="15" outlineLevel="1">
      <c r="A10" s="49">
        <v>5.0999999999999996</v>
      </c>
      <c r="B10" s="50" t="s">
        <v>338</v>
      </c>
      <c r="C10" s="471">
        <v>-33661791.52600003</v>
      </c>
    </row>
    <row r="11" spans="1:6" s="55" customFormat="1" ht="15" outlineLevel="1">
      <c r="A11" s="49">
        <v>5.2</v>
      </c>
      <c r="B11" s="50" t="s">
        <v>339</v>
      </c>
      <c r="C11" s="471">
        <v>-84902548.829999998</v>
      </c>
    </row>
    <row r="12" spans="1:6" s="55" customFormat="1" ht="15">
      <c r="A12" s="49">
        <v>6</v>
      </c>
      <c r="B12" s="179" t="s">
        <v>483</v>
      </c>
      <c r="C12" s="471">
        <v>0</v>
      </c>
    </row>
    <row r="13" spans="1:6" s="55" customFormat="1" ht="15.75" thickBot="1">
      <c r="A13" s="51">
        <v>7</v>
      </c>
      <c r="B13" s="181" t="s">
        <v>285</v>
      </c>
      <c r="C13" s="473">
        <f>SUM(C8:C12)</f>
        <v>1393802729.2370007</v>
      </c>
    </row>
    <row r="15" spans="1:6" ht="25.5">
      <c r="B15" s="55" t="s">
        <v>484</v>
      </c>
    </row>
    <row r="17" spans="1:2" ht="15">
      <c r="A17" s="191"/>
      <c r="B17" s="192"/>
    </row>
    <row r="18" spans="1:2" ht="15">
      <c r="A18" s="196"/>
      <c r="B18" s="197"/>
    </row>
    <row r="19" spans="1:2">
      <c r="A19" s="198"/>
      <c r="B19" s="193"/>
    </row>
    <row r="20" spans="1:2">
      <c r="A20" s="199"/>
      <c r="B20" s="194"/>
    </row>
    <row r="21" spans="1:2">
      <c r="A21" s="199"/>
      <c r="B21" s="197"/>
    </row>
    <row r="22" spans="1:2">
      <c r="A22" s="198"/>
      <c r="B22" s="195"/>
    </row>
    <row r="23" spans="1:2">
      <c r="A23" s="199"/>
      <c r="B23" s="194"/>
    </row>
    <row r="24" spans="1:2">
      <c r="A24" s="199"/>
      <c r="B24" s="194"/>
    </row>
    <row r="25" spans="1:2">
      <c r="A25" s="199"/>
      <c r="B25" s="200"/>
    </row>
    <row r="26" spans="1:2">
      <c r="A26" s="199"/>
      <c r="B26" s="197"/>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QVPt8vhfRjw/dJ0IhfuFaUbMSi2v5+LnH9OA/f1QisU=</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ekUVgCFCYLIh2+7VAMVXLtuw46rEUbd5gexq+gulfiY=</DigestValue>
    </Reference>
  </SignedInfo>
  <SignatureValue>Cda8gg95t/qDRI5z+nRS/TqxuSqoKZ2mtVmA8twpq6KeLQiPt+G8r+JSagOjr51UuVdNoUeF5sGI
UkoVIU6Y7x9ulzPb4NMCIQOj6gDsyAokVBZHJWQqbKcEeOG4eUJ0pHOAvaLQ1BV4NaX+exQ8gp/F
L/ds8qUUtvgPUPuhKmHAlVLv+gy0ZA1dlHd1II7U1/GZnhy3/amkikPp2E2yNVlRKfk0W/uv5yog
vD2CK6u0Cddw4J9/ACcEF6WLeb9fJ5xQsQ0rTjZnqtdkVuRUpoKvd5GnQWbjumvIARLGSRDZHEWa
uSjByuyI/v5WzWAn6cK64Hc1l2NQ4fWbL0wHow==</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nQ+TBvULQTXxvsty19pu7occDmiScTZ4UcRuZM10q1k=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tz5phPr/TWt65uuTckCgxXd+cMEVpKYaFFf6iajj8Xo=</DigestValue>
      </Reference>
      <Reference URI="/xl/styles.xml?ContentType=application/vnd.openxmlformats-officedocument.spreadsheetml.styles+xml">
        <DigestMethod Algorithm="http://www.w3.org/2001/04/xmlenc#sha256"/>
        <DigestValue>V0E266tlYBU4ArP+9Dfdf77CrYyO4yF0N6JopBumx/Y=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FB5oKA8sjwZBn9eK3iE2BUhW5ogGkpPm1QpaqXNh0DA=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EFrQ//epGuMiFpnHGVa4W3QKOH2fjmldKdGzQhE1mH0=</DigestValue>
      </Reference>
      <Reference URI="/xl/worksheets/sheet10.xml?ContentType=application/vnd.openxmlformats-officedocument.spreadsheetml.worksheet+xml">
        <DigestMethod Algorithm="http://www.w3.org/2001/04/xmlenc#sha256"/>
        <DigestValue>SEM1NGLRDvyNKHEU6fl0z+mz47En3V1E3bWm2udjJtg=</DigestValue>
      </Reference>
      <Reference URI="/xl/worksheets/sheet11.xml?ContentType=application/vnd.openxmlformats-officedocument.spreadsheetml.worksheet+xml">
        <DigestMethod Algorithm="http://www.w3.org/2001/04/xmlenc#sha256"/>
        <DigestValue>mKpwL3Y/oFvCATziD+5rZsQceh/Ypx0DMsfG4PaKntU=</DigestValue>
      </Reference>
      <Reference URI="/xl/worksheets/sheet12.xml?ContentType=application/vnd.openxmlformats-officedocument.spreadsheetml.worksheet+xml">
        <DigestMethod Algorithm="http://www.w3.org/2001/04/xmlenc#sha256"/>
        <DigestValue>pX2koHjpCVMsCNfIBA8AfOdG7hLMb4bjD8AXB2UJrUI=</DigestValue>
      </Reference>
      <Reference URI="/xl/worksheets/sheet13.xml?ContentType=application/vnd.openxmlformats-officedocument.spreadsheetml.worksheet+xml">
        <DigestMethod Algorithm="http://www.w3.org/2001/04/xmlenc#sha256"/>
        <DigestValue>CRoeB0MTtg1ky+O061pRpeHZxBkQGh4SN4Lqtu5mjrY=</DigestValue>
      </Reference>
      <Reference URI="/xl/worksheets/sheet14.xml?ContentType=application/vnd.openxmlformats-officedocument.spreadsheetml.worksheet+xml">
        <DigestMethod Algorithm="http://www.w3.org/2001/04/xmlenc#sha256"/>
        <DigestValue>APIM1tFujMDNElQa3M8hlrHsC1747+uvj+0QdeSzL7I=</DigestValue>
      </Reference>
      <Reference URI="/xl/worksheets/sheet15.xml?ContentType=application/vnd.openxmlformats-officedocument.spreadsheetml.worksheet+xml">
        <DigestMethod Algorithm="http://www.w3.org/2001/04/xmlenc#sha256"/>
        <DigestValue>g6Pe+P77M2XN4qq3LRgwO9aeoyYd5UHgU66oOrMg61c=</DigestValue>
      </Reference>
      <Reference URI="/xl/worksheets/sheet16.xml?ContentType=application/vnd.openxmlformats-officedocument.spreadsheetml.worksheet+xml">
        <DigestMethod Algorithm="http://www.w3.org/2001/04/xmlenc#sha256"/>
        <DigestValue>H39TEpyG7DRpodTLGzoJICW7FqKl4U4YE0shicUv5FI=</DigestValue>
      </Reference>
      <Reference URI="/xl/worksheets/sheet17.xml?ContentType=application/vnd.openxmlformats-officedocument.spreadsheetml.worksheet+xml">
        <DigestMethod Algorithm="http://www.w3.org/2001/04/xmlenc#sha256"/>
        <DigestValue>yqhmvSIQSwWJmLHIEMBVavjeIZVt1mEHgBCIRIwjpvo=</DigestValue>
      </Reference>
      <Reference URI="/xl/worksheets/sheet18.xml?ContentType=application/vnd.openxmlformats-officedocument.spreadsheetml.worksheet+xml">
        <DigestMethod Algorithm="http://www.w3.org/2001/04/xmlenc#sha256"/>
        <DigestValue>PMvJ5FmpHVt9FXXm+vzpXE3rVW7ugLUD1M8qYMSEjt0=</DigestValue>
      </Reference>
      <Reference URI="/xl/worksheets/sheet19.xml?ContentType=application/vnd.openxmlformats-officedocument.spreadsheetml.worksheet+xml">
        <DigestMethod Algorithm="http://www.w3.org/2001/04/xmlenc#sha256"/>
        <DigestValue>HiR6ilRtBE29AeXb248SutJrndgKH5+JEuiQmXEi2Es=</DigestValue>
      </Reference>
      <Reference URI="/xl/worksheets/sheet2.xml?ContentType=application/vnd.openxmlformats-officedocument.spreadsheetml.worksheet+xml">
        <DigestMethod Algorithm="http://www.w3.org/2001/04/xmlenc#sha256"/>
        <DigestValue>ezGbxvKeMUSqLARAqofzS2Jpyv+6Pl2bMrIzBud36xw=</DigestValue>
      </Reference>
      <Reference URI="/xl/worksheets/sheet20.xml?ContentType=application/vnd.openxmlformats-officedocument.spreadsheetml.worksheet+xml">
        <DigestMethod Algorithm="http://www.w3.org/2001/04/xmlenc#sha256"/>
        <DigestValue>x/SzZ8mLr3b6CxFk+6+KaE7gbhoLIPrxyuXdUbPBAxE=</DigestValue>
      </Reference>
      <Reference URI="/xl/worksheets/sheet21.xml?ContentType=application/vnd.openxmlformats-officedocument.spreadsheetml.worksheet+xml">
        <DigestMethod Algorithm="http://www.w3.org/2001/04/xmlenc#sha256"/>
        <DigestValue>eyyOVJG/GrOVvz9Kw6rUUdAB/43Zn6Re4rXX5eoOF8A=</DigestValue>
      </Reference>
      <Reference URI="/xl/worksheets/sheet22.xml?ContentType=application/vnd.openxmlformats-officedocument.spreadsheetml.worksheet+xml">
        <DigestMethod Algorithm="http://www.w3.org/2001/04/xmlenc#sha256"/>
        <DigestValue>1lFnli0l8YcBx+k3WiGpEeDM5G22ZK8PpErrxF+RQoY=</DigestValue>
      </Reference>
      <Reference URI="/xl/worksheets/sheet23.xml?ContentType=application/vnd.openxmlformats-officedocument.spreadsheetml.worksheet+xml">
        <DigestMethod Algorithm="http://www.w3.org/2001/04/xmlenc#sha256"/>
        <DigestValue>0vMwAM+dGykus0shJZ8k1vPy3QlH49MAG+MwNIOUnSg=</DigestValue>
      </Reference>
      <Reference URI="/xl/worksheets/sheet24.xml?ContentType=application/vnd.openxmlformats-officedocument.spreadsheetml.worksheet+xml">
        <DigestMethod Algorithm="http://www.w3.org/2001/04/xmlenc#sha256"/>
        <DigestValue>cFrZRxF7zZgkXUWLgMVGiHyce5WN6FnSSpH3uvFWMlY=</DigestValue>
      </Reference>
      <Reference URI="/xl/worksheets/sheet25.xml?ContentType=application/vnd.openxmlformats-officedocument.spreadsheetml.worksheet+xml">
        <DigestMethod Algorithm="http://www.w3.org/2001/04/xmlenc#sha256"/>
        <DigestValue>puJFxf+oUncRlSEasyGxjpIH95yCQ3WMG2uvklVtF+E=</DigestValue>
      </Reference>
      <Reference URI="/xl/worksheets/sheet26.xml?ContentType=application/vnd.openxmlformats-officedocument.spreadsheetml.worksheet+xml">
        <DigestMethod Algorithm="http://www.w3.org/2001/04/xmlenc#sha256"/>
        <DigestValue>5pN0R1gSVlz/U1lV21L93N2CDqclRvBHtwH2f0H9Vxk=</DigestValue>
      </Reference>
      <Reference URI="/xl/worksheets/sheet27.xml?ContentType=application/vnd.openxmlformats-officedocument.spreadsheetml.worksheet+xml">
        <DigestMethod Algorithm="http://www.w3.org/2001/04/xmlenc#sha256"/>
        <DigestValue>XLZNZuTZSY1i9KZ9JLE/lyXdCA95dbtDiMftH/BxCpc=</DigestValue>
      </Reference>
      <Reference URI="/xl/worksheets/sheet28.xml?ContentType=application/vnd.openxmlformats-officedocument.spreadsheetml.worksheet+xml">
        <DigestMethod Algorithm="http://www.w3.org/2001/04/xmlenc#sha256"/>
        <DigestValue>ldL7KouoFgtuW7h5Gcd05aGPjBcp7i/CbvzbcD24cUw=</DigestValue>
      </Reference>
      <Reference URI="/xl/worksheets/sheet29.xml?ContentType=application/vnd.openxmlformats-officedocument.spreadsheetml.worksheet+xml">
        <DigestMethod Algorithm="http://www.w3.org/2001/04/xmlenc#sha256"/>
        <DigestValue>Tgpx31eyPpqp9Dc7/HdGmKJW5KTvguVmajOFmmNqTRw=</DigestValue>
      </Reference>
      <Reference URI="/xl/worksheets/sheet3.xml?ContentType=application/vnd.openxmlformats-officedocument.spreadsheetml.worksheet+xml">
        <DigestMethod Algorithm="http://www.w3.org/2001/04/xmlenc#sha256"/>
        <DigestValue>hOMohhsLCdoMKO5f6qAurHUqKjIQCs7ZASnIrwXRDuc=</DigestValue>
      </Reference>
      <Reference URI="/xl/worksheets/sheet4.xml?ContentType=application/vnd.openxmlformats-officedocument.spreadsheetml.worksheet+xml">
        <DigestMethod Algorithm="http://www.w3.org/2001/04/xmlenc#sha256"/>
        <DigestValue>y9hcoj5ytSUp3HWHhYOMVYdxUSFjwYFEG2aDEIQKjhs=</DigestValue>
      </Reference>
      <Reference URI="/xl/worksheets/sheet5.xml?ContentType=application/vnd.openxmlformats-officedocument.spreadsheetml.worksheet+xml">
        <DigestMethod Algorithm="http://www.w3.org/2001/04/xmlenc#sha256"/>
        <DigestValue>SlJCnWnzVcYNyoqX1EeNVu/Xf8B30pBVFiQXa4FmPpQ=</DigestValue>
      </Reference>
      <Reference URI="/xl/worksheets/sheet6.xml?ContentType=application/vnd.openxmlformats-officedocument.spreadsheetml.worksheet+xml">
        <DigestMethod Algorithm="http://www.w3.org/2001/04/xmlenc#sha256"/>
        <DigestValue>B9QLaTAw4aGAQqGKZtPZw7gt6qiNXeYH6HXgBmx7ni0=</DigestValue>
      </Reference>
      <Reference URI="/xl/worksheets/sheet7.xml?ContentType=application/vnd.openxmlformats-officedocument.spreadsheetml.worksheet+xml">
        <DigestMethod Algorithm="http://www.w3.org/2001/04/xmlenc#sha256"/>
        <DigestValue>xu4t7vfWHXocybRe+i8HCIWbpEVDvZnbw47sr6RFhJk=</DigestValue>
      </Reference>
      <Reference URI="/xl/worksheets/sheet8.xml?ContentType=application/vnd.openxmlformats-officedocument.spreadsheetml.worksheet+xml">
        <DigestMethod Algorithm="http://www.w3.org/2001/04/xmlenc#sha256"/>
        <DigestValue>8/qbEb01janYwtvyZ0J9uN2s9RLQD1S7yg103AtD4Xo=</DigestValue>
      </Reference>
      <Reference URI="/xl/worksheets/sheet9.xml?ContentType=application/vnd.openxmlformats-officedocument.spreadsheetml.worksheet+xml">
        <DigestMethod Algorithm="http://www.w3.org/2001/04/xmlenc#sha256"/>
        <DigestValue>H70kQWFQ9UwyPeKnfR0UJJQpREkhx+gX32DomJq4A0A=</DigestValue>
      </Reference>
    </Manifest>
    <SignatureProperties>
      <SignatureProperty Id="idSignatureTime" Target="#idPackageSignature">
        <mdssi:SignatureTime xmlns:mdssi="http://schemas.openxmlformats.org/package/2006/digital-signature">
          <mdssi:Format>YYYY-MM-DDThh:mm:ssTZD</mdssi:Format>
          <mdssi:Value>2023-03-02T10:16:44Z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2023-03-02T10:16:44Z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pQcaGnh0MuFNO4WTnnzqcFWSxUxKDOgDLUrBlh3E2H8=</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6H5flfh2rPiM17Ig4McsiiRo3sM7jcZ1W6lY8QObqJY=</DigestValue>
    </Reference>
  </SignedInfo>
  <SignatureValue>s918HC4rcSu5f/tXP3hNEnFxMlgZnY3weVZo7sqNpVYwPIQSn0aw24OX/4vQGs91AP399RJ3Lrs/
rLYjlm1IhFWdmVvpCVG0Lwjp4ZP6SnDcrhCHEiSwzTnJZOi1oq7GiHtQ3/JAk4+fUJqdYW6XH90l
iFppQJhkA87NvQ64/FVAFZQSF8WpcZgCT0W7L0CUeIMEiYRLN9gPtcWJZOFIlisLkosxikOvwpHR
B7Of9Otdi7GH6VopajPCRplfBgXuuCzK+VpBsi312XVbCO8sZxb1x5HGQ8mdrRC5/NqObxpdpvom
cvKVMtRuUx1hP5Z30Clak9YEE+acHfPvQclMoA==</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nQ+TBvULQTXxvsty19pu7occDmiScTZ4UcRuZM10q1k=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tz5phPr/TWt65uuTckCgxXd+cMEVpKYaFFf6iajj8Xo=</DigestValue>
      </Reference>
      <Reference URI="/xl/styles.xml?ContentType=application/vnd.openxmlformats-officedocument.spreadsheetml.styles+xml">
        <DigestMethod Algorithm="http://www.w3.org/2001/04/xmlenc#sha256"/>
        <DigestValue>V0E266tlYBU4ArP+9Dfdf77CrYyO4yF0N6JopBumx/Y=</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FB5oKA8sjwZBn9eK3iE2BUhW5ogGkpPm1QpaqXNh0DA=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EFrQ//epGuMiFpnHGVa4W3QKOH2fjmldKdGzQhE1mH0=</DigestValue>
      </Reference>
      <Reference URI="/xl/worksheets/sheet10.xml?ContentType=application/vnd.openxmlformats-officedocument.spreadsheetml.worksheet+xml">
        <DigestMethod Algorithm="http://www.w3.org/2001/04/xmlenc#sha256"/>
        <DigestValue>SEM1NGLRDvyNKHEU6fl0z+mz47En3V1E3bWm2udjJtg=</DigestValue>
      </Reference>
      <Reference URI="/xl/worksheets/sheet11.xml?ContentType=application/vnd.openxmlformats-officedocument.spreadsheetml.worksheet+xml">
        <DigestMethod Algorithm="http://www.w3.org/2001/04/xmlenc#sha256"/>
        <DigestValue>mKpwL3Y/oFvCATziD+5rZsQceh/Ypx0DMsfG4PaKntU=</DigestValue>
      </Reference>
      <Reference URI="/xl/worksheets/sheet12.xml?ContentType=application/vnd.openxmlformats-officedocument.spreadsheetml.worksheet+xml">
        <DigestMethod Algorithm="http://www.w3.org/2001/04/xmlenc#sha256"/>
        <DigestValue>pX2koHjpCVMsCNfIBA8AfOdG7hLMb4bjD8AXB2UJrUI=</DigestValue>
      </Reference>
      <Reference URI="/xl/worksheets/sheet13.xml?ContentType=application/vnd.openxmlformats-officedocument.spreadsheetml.worksheet+xml">
        <DigestMethod Algorithm="http://www.w3.org/2001/04/xmlenc#sha256"/>
        <DigestValue>CRoeB0MTtg1ky+O061pRpeHZxBkQGh4SN4Lqtu5mjrY=</DigestValue>
      </Reference>
      <Reference URI="/xl/worksheets/sheet14.xml?ContentType=application/vnd.openxmlformats-officedocument.spreadsheetml.worksheet+xml">
        <DigestMethod Algorithm="http://www.w3.org/2001/04/xmlenc#sha256"/>
        <DigestValue>APIM1tFujMDNElQa3M8hlrHsC1747+uvj+0QdeSzL7I=</DigestValue>
      </Reference>
      <Reference URI="/xl/worksheets/sheet15.xml?ContentType=application/vnd.openxmlformats-officedocument.spreadsheetml.worksheet+xml">
        <DigestMethod Algorithm="http://www.w3.org/2001/04/xmlenc#sha256"/>
        <DigestValue>g6Pe+P77M2XN4qq3LRgwO9aeoyYd5UHgU66oOrMg61c=</DigestValue>
      </Reference>
      <Reference URI="/xl/worksheets/sheet16.xml?ContentType=application/vnd.openxmlformats-officedocument.spreadsheetml.worksheet+xml">
        <DigestMethod Algorithm="http://www.w3.org/2001/04/xmlenc#sha256"/>
        <DigestValue>H39TEpyG7DRpodTLGzoJICW7FqKl4U4YE0shicUv5FI=</DigestValue>
      </Reference>
      <Reference URI="/xl/worksheets/sheet17.xml?ContentType=application/vnd.openxmlformats-officedocument.spreadsheetml.worksheet+xml">
        <DigestMethod Algorithm="http://www.w3.org/2001/04/xmlenc#sha256"/>
        <DigestValue>yqhmvSIQSwWJmLHIEMBVavjeIZVt1mEHgBCIRIwjpvo=</DigestValue>
      </Reference>
      <Reference URI="/xl/worksheets/sheet18.xml?ContentType=application/vnd.openxmlformats-officedocument.spreadsheetml.worksheet+xml">
        <DigestMethod Algorithm="http://www.w3.org/2001/04/xmlenc#sha256"/>
        <DigestValue>PMvJ5FmpHVt9FXXm+vzpXE3rVW7ugLUD1M8qYMSEjt0=</DigestValue>
      </Reference>
      <Reference URI="/xl/worksheets/sheet19.xml?ContentType=application/vnd.openxmlformats-officedocument.spreadsheetml.worksheet+xml">
        <DigestMethod Algorithm="http://www.w3.org/2001/04/xmlenc#sha256"/>
        <DigestValue>HiR6ilRtBE29AeXb248SutJrndgKH5+JEuiQmXEi2Es=</DigestValue>
      </Reference>
      <Reference URI="/xl/worksheets/sheet2.xml?ContentType=application/vnd.openxmlformats-officedocument.spreadsheetml.worksheet+xml">
        <DigestMethod Algorithm="http://www.w3.org/2001/04/xmlenc#sha256"/>
        <DigestValue>ezGbxvKeMUSqLARAqofzS2Jpyv+6Pl2bMrIzBud36xw=</DigestValue>
      </Reference>
      <Reference URI="/xl/worksheets/sheet20.xml?ContentType=application/vnd.openxmlformats-officedocument.spreadsheetml.worksheet+xml">
        <DigestMethod Algorithm="http://www.w3.org/2001/04/xmlenc#sha256"/>
        <DigestValue>x/SzZ8mLr3b6CxFk+6+KaE7gbhoLIPrxyuXdUbPBAxE=</DigestValue>
      </Reference>
      <Reference URI="/xl/worksheets/sheet21.xml?ContentType=application/vnd.openxmlformats-officedocument.spreadsheetml.worksheet+xml">
        <DigestMethod Algorithm="http://www.w3.org/2001/04/xmlenc#sha256"/>
        <DigestValue>eyyOVJG/GrOVvz9Kw6rUUdAB/43Zn6Re4rXX5eoOF8A=</DigestValue>
      </Reference>
      <Reference URI="/xl/worksheets/sheet22.xml?ContentType=application/vnd.openxmlformats-officedocument.spreadsheetml.worksheet+xml">
        <DigestMethod Algorithm="http://www.w3.org/2001/04/xmlenc#sha256"/>
        <DigestValue>1lFnli0l8YcBx+k3WiGpEeDM5G22ZK8PpErrxF+RQoY=</DigestValue>
      </Reference>
      <Reference URI="/xl/worksheets/sheet23.xml?ContentType=application/vnd.openxmlformats-officedocument.spreadsheetml.worksheet+xml">
        <DigestMethod Algorithm="http://www.w3.org/2001/04/xmlenc#sha256"/>
        <DigestValue>0vMwAM+dGykus0shJZ8k1vPy3QlH49MAG+MwNIOUnSg=</DigestValue>
      </Reference>
      <Reference URI="/xl/worksheets/sheet24.xml?ContentType=application/vnd.openxmlformats-officedocument.spreadsheetml.worksheet+xml">
        <DigestMethod Algorithm="http://www.w3.org/2001/04/xmlenc#sha256"/>
        <DigestValue>cFrZRxF7zZgkXUWLgMVGiHyce5WN6FnSSpH3uvFWMlY=</DigestValue>
      </Reference>
      <Reference URI="/xl/worksheets/sheet25.xml?ContentType=application/vnd.openxmlformats-officedocument.spreadsheetml.worksheet+xml">
        <DigestMethod Algorithm="http://www.w3.org/2001/04/xmlenc#sha256"/>
        <DigestValue>puJFxf+oUncRlSEasyGxjpIH95yCQ3WMG2uvklVtF+E=</DigestValue>
      </Reference>
      <Reference URI="/xl/worksheets/sheet26.xml?ContentType=application/vnd.openxmlformats-officedocument.spreadsheetml.worksheet+xml">
        <DigestMethod Algorithm="http://www.w3.org/2001/04/xmlenc#sha256"/>
        <DigestValue>5pN0R1gSVlz/U1lV21L93N2CDqclRvBHtwH2f0H9Vxk=</DigestValue>
      </Reference>
      <Reference URI="/xl/worksheets/sheet27.xml?ContentType=application/vnd.openxmlformats-officedocument.spreadsheetml.worksheet+xml">
        <DigestMethod Algorithm="http://www.w3.org/2001/04/xmlenc#sha256"/>
        <DigestValue>XLZNZuTZSY1i9KZ9JLE/lyXdCA95dbtDiMftH/BxCpc=</DigestValue>
      </Reference>
      <Reference URI="/xl/worksheets/sheet28.xml?ContentType=application/vnd.openxmlformats-officedocument.spreadsheetml.worksheet+xml">
        <DigestMethod Algorithm="http://www.w3.org/2001/04/xmlenc#sha256"/>
        <DigestValue>ldL7KouoFgtuW7h5Gcd05aGPjBcp7i/CbvzbcD24cUw=</DigestValue>
      </Reference>
      <Reference URI="/xl/worksheets/sheet29.xml?ContentType=application/vnd.openxmlformats-officedocument.spreadsheetml.worksheet+xml">
        <DigestMethod Algorithm="http://www.w3.org/2001/04/xmlenc#sha256"/>
        <DigestValue>Tgpx31eyPpqp9Dc7/HdGmKJW5KTvguVmajOFmmNqTRw=</DigestValue>
      </Reference>
      <Reference URI="/xl/worksheets/sheet3.xml?ContentType=application/vnd.openxmlformats-officedocument.spreadsheetml.worksheet+xml">
        <DigestMethod Algorithm="http://www.w3.org/2001/04/xmlenc#sha256"/>
        <DigestValue>hOMohhsLCdoMKO5f6qAurHUqKjIQCs7ZASnIrwXRDuc=</DigestValue>
      </Reference>
      <Reference URI="/xl/worksheets/sheet4.xml?ContentType=application/vnd.openxmlformats-officedocument.spreadsheetml.worksheet+xml">
        <DigestMethod Algorithm="http://www.w3.org/2001/04/xmlenc#sha256"/>
        <DigestValue>y9hcoj5ytSUp3HWHhYOMVYdxUSFjwYFEG2aDEIQKjhs=</DigestValue>
      </Reference>
      <Reference URI="/xl/worksheets/sheet5.xml?ContentType=application/vnd.openxmlformats-officedocument.spreadsheetml.worksheet+xml">
        <DigestMethod Algorithm="http://www.w3.org/2001/04/xmlenc#sha256"/>
        <DigestValue>SlJCnWnzVcYNyoqX1EeNVu/Xf8B30pBVFiQXa4FmPpQ=</DigestValue>
      </Reference>
      <Reference URI="/xl/worksheets/sheet6.xml?ContentType=application/vnd.openxmlformats-officedocument.spreadsheetml.worksheet+xml">
        <DigestMethod Algorithm="http://www.w3.org/2001/04/xmlenc#sha256"/>
        <DigestValue>B9QLaTAw4aGAQqGKZtPZw7gt6qiNXeYH6HXgBmx7ni0=</DigestValue>
      </Reference>
      <Reference URI="/xl/worksheets/sheet7.xml?ContentType=application/vnd.openxmlformats-officedocument.spreadsheetml.worksheet+xml">
        <DigestMethod Algorithm="http://www.w3.org/2001/04/xmlenc#sha256"/>
        <DigestValue>xu4t7vfWHXocybRe+i8HCIWbpEVDvZnbw47sr6RFhJk=</DigestValue>
      </Reference>
      <Reference URI="/xl/worksheets/sheet8.xml?ContentType=application/vnd.openxmlformats-officedocument.spreadsheetml.worksheet+xml">
        <DigestMethod Algorithm="http://www.w3.org/2001/04/xmlenc#sha256"/>
        <DigestValue>8/qbEb01janYwtvyZ0J9uN2s9RLQD1S7yg103AtD4Xo=</DigestValue>
      </Reference>
      <Reference URI="/xl/worksheets/sheet9.xml?ContentType=application/vnd.openxmlformats-officedocument.spreadsheetml.worksheet+xml">
        <DigestMethod Algorithm="http://www.w3.org/2001/04/xmlenc#sha256"/>
        <DigestValue>H70kQWFQ9UwyPeKnfR0UJJQpREkhx+gX32DomJq4A0A=</DigestValue>
      </Reference>
    </Manifest>
    <SignatureProperties>
      <SignatureProperty Id="idSignatureTime" Target="#idPackageSignature">
        <mdssi:SignatureTime xmlns:mdssi="http://schemas.openxmlformats.org/package/2006/digital-signature">
          <mdssi:Format>YYYY-MM-DDThh:mm:ssTZD</mdssi:Format>
          <mdssi:Value>2023-03-02T10:17:17Z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2023-03-02T10:17:17Z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2023-03-02T10:16:40Z</dcterms:modified>
</cp:coreProperties>
</file>