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24226"/>
  <xr:revisionPtr revIDLastSave="0" documentId="13_ncr:1_{CA127FD7-2552-4AEC-844B-66C0D3410CA9}" xr6:coauthVersionLast="47" xr6:coauthVersionMax="47" xr10:uidLastSave="{00000000-0000-0000-0000-000000000000}"/>
  <bookViews>
    <workbookView xWindow="-108" yWindow="-108" windowWidth="23256" windowHeight="14016" tabRatio="84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5" l="1"/>
  <c r="C12" i="95"/>
  <c r="C14" i="95" s="1"/>
  <c r="C11" i="95"/>
  <c r="C10" i="95"/>
  <c r="B2" i="122"/>
  <c r="B2" i="121"/>
  <c r="B1" i="122"/>
  <c r="B1" i="121"/>
  <c r="B1" i="94"/>
  <c r="A35" i="52" l="1"/>
  <c r="A34" i="52"/>
  <c r="F69" i="108"/>
  <c r="F68" i="108"/>
  <c r="G23" i="97" l="1"/>
  <c r="G15" i="97"/>
  <c r="G10" i="97"/>
  <c r="G9" i="97"/>
  <c r="G29" i="109"/>
  <c r="F29" i="109"/>
  <c r="G27" i="108"/>
  <c r="F15" i="108"/>
  <c r="G7" i="108"/>
  <c r="C38" i="110"/>
  <c r="G15" i="108" l="1"/>
  <c r="F24" i="108"/>
  <c r="G19" i="108"/>
  <c r="F63" i="108"/>
  <c r="F7" i="108"/>
  <c r="G63" i="108"/>
  <c r="F34" i="109"/>
  <c r="F13" i="109"/>
  <c r="F6" i="109"/>
  <c r="G6" i="109"/>
  <c r="G13" i="109"/>
  <c r="G34" i="109"/>
  <c r="F37" i="109"/>
  <c r="F43" i="109" s="1"/>
  <c r="F45" i="109" s="1"/>
  <c r="G37" i="109"/>
  <c r="G59" i="108"/>
  <c r="G68" i="108" s="1"/>
  <c r="F59" i="108"/>
  <c r="F41" i="108"/>
  <c r="F53" i="108" s="1"/>
  <c r="G41" i="108"/>
  <c r="F47" i="108"/>
  <c r="G47" i="108"/>
  <c r="F27" i="108"/>
  <c r="F19" i="108"/>
  <c r="F30" i="108"/>
  <c r="G30" i="108"/>
  <c r="G24" i="108"/>
  <c r="F6" i="123"/>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Q18" i="92" s="1"/>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I7" i="92" s="1"/>
  <c r="C7" i="92"/>
  <c r="C6" i="92" s="1"/>
  <c r="C34" i="92" s="1"/>
  <c r="F6" i="92"/>
  <c r="F34" i="92" s="1"/>
  <c r="E6" i="92"/>
  <c r="E34" i="92" s="1"/>
  <c r="D6" i="92"/>
  <c r="D34" i="92" s="1"/>
  <c r="B2" i="123"/>
  <c r="B1" i="123"/>
  <c r="G53" i="108" l="1"/>
  <c r="F36" i="108"/>
  <c r="G43" i="109"/>
  <c r="G45" i="109" s="1"/>
  <c r="G36" i="108"/>
  <c r="G69" i="108"/>
  <c r="Q22" i="92"/>
  <c r="G6" i="92"/>
  <c r="G34" i="92" s="1"/>
  <c r="I9" i="92"/>
  <c r="I6" i="92" s="1"/>
  <c r="Q8" i="92"/>
  <c r="Q26" i="92"/>
  <c r="J6" i="92"/>
  <c r="J34" i="92" s="1"/>
  <c r="N6" i="92"/>
  <c r="N34" i="92" s="1"/>
  <c r="I8" i="92"/>
  <c r="Q7" i="92"/>
  <c r="Q6" i="92" s="1"/>
  <c r="Q34" i="92" s="1"/>
  <c r="I34" i="92" l="1"/>
  <c r="D38" i="110"/>
  <c r="G38" i="110"/>
  <c r="F38" i="110"/>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E34" i="113"/>
  <c r="F34" i="113"/>
  <c r="G34" i="113"/>
  <c r="H8" i="112"/>
  <c r="H9" i="112"/>
  <c r="H10" i="112"/>
  <c r="H11" i="112"/>
  <c r="H13" i="112"/>
  <c r="H14" i="112"/>
  <c r="H15" i="112"/>
  <c r="H16" i="112"/>
  <c r="H17" i="112"/>
  <c r="H18" i="112"/>
  <c r="H19" i="112"/>
  <c r="C21" i="112"/>
  <c r="E21" i="112"/>
  <c r="F21" i="112"/>
  <c r="G21" i="112"/>
  <c r="H22" i="112"/>
  <c r="H23" i="112"/>
  <c r="H9" i="111"/>
  <c r="H10" i="111"/>
  <c r="H11" i="111"/>
  <c r="H12" i="111"/>
  <c r="H14" i="111"/>
  <c r="H15" i="111"/>
  <c r="H16" i="111"/>
  <c r="H17" i="111"/>
  <c r="H18" i="111"/>
  <c r="H19" i="111"/>
  <c r="H20" i="111"/>
  <c r="E16" i="88" l="1"/>
  <c r="E20" i="88"/>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H37" i="109"/>
  <c r="D37" i="109"/>
  <c r="C37" i="109"/>
  <c r="E37" i="109" s="1"/>
  <c r="H36" i="109"/>
  <c r="E36" i="109"/>
  <c r="H35" i="109"/>
  <c r="E35" i="109"/>
  <c r="H34" i="109"/>
  <c r="D34" i="109"/>
  <c r="C34" i="109"/>
  <c r="H33" i="109"/>
  <c r="E33" i="109"/>
  <c r="H32" i="109"/>
  <c r="H31" i="109"/>
  <c r="H30" i="109"/>
  <c r="H29" i="109"/>
  <c r="H28" i="109"/>
  <c r="H27" i="109"/>
  <c r="H26" i="109"/>
  <c r="H25" i="109"/>
  <c r="H24" i="109"/>
  <c r="E24" i="109"/>
  <c r="H23" i="109"/>
  <c r="H22" i="109"/>
  <c r="E22" i="109"/>
  <c r="H21" i="109"/>
  <c r="H20" i="109"/>
  <c r="H19" i="109"/>
  <c r="H18" i="109"/>
  <c r="H17" i="109"/>
  <c r="E17" i="109"/>
  <c r="H16" i="109"/>
  <c r="H15" i="109"/>
  <c r="E15" i="109"/>
  <c r="H14" i="109"/>
  <c r="E14" i="109"/>
  <c r="H12" i="109"/>
  <c r="E12" i="109"/>
  <c r="H11" i="109"/>
  <c r="H10" i="109"/>
  <c r="H9" i="109"/>
  <c r="E9" i="109"/>
  <c r="H8" i="109"/>
  <c r="E8" i="109"/>
  <c r="H7" i="109"/>
  <c r="E7" i="109"/>
  <c r="H69" i="108"/>
  <c r="H67" i="108"/>
  <c r="H66" i="108"/>
  <c r="H65" i="108"/>
  <c r="H64" i="108"/>
  <c r="H63" i="108"/>
  <c r="H62" i="108"/>
  <c r="H61" i="108"/>
  <c r="H60" i="108"/>
  <c r="H59" i="108"/>
  <c r="H58" i="108"/>
  <c r="H57" i="108"/>
  <c r="H56" i="108"/>
  <c r="H55" i="108"/>
  <c r="H52" i="108"/>
  <c r="H51" i="108"/>
  <c r="H50" i="108"/>
  <c r="H49" i="108"/>
  <c r="H48" i="108"/>
  <c r="H47" i="108"/>
  <c r="H46" i="108"/>
  <c r="H45" i="108"/>
  <c r="H44" i="108"/>
  <c r="H43" i="108"/>
  <c r="H42" i="108"/>
  <c r="H40" i="108"/>
  <c r="E40" i="108"/>
  <c r="H39" i="108"/>
  <c r="H38" i="108"/>
  <c r="H35" i="108"/>
  <c r="H34" i="108"/>
  <c r="H33" i="108"/>
  <c r="H32" i="108"/>
  <c r="H31" i="108"/>
  <c r="H30" i="108"/>
  <c r="H29" i="108"/>
  <c r="H28" i="108"/>
  <c r="H27" i="108"/>
  <c r="H26" i="108"/>
  <c r="H25" i="108"/>
  <c r="H23" i="108"/>
  <c r="H22" i="108"/>
  <c r="H21" i="108"/>
  <c r="H20" i="108"/>
  <c r="H19" i="108"/>
  <c r="H18" i="108"/>
  <c r="E18" i="108"/>
  <c r="H17" i="108"/>
  <c r="H16" i="108"/>
  <c r="H15" i="108"/>
  <c r="H14" i="108"/>
  <c r="E14" i="108"/>
  <c r="H13" i="108"/>
  <c r="E13" i="108"/>
  <c r="H12" i="108"/>
  <c r="H11" i="108"/>
  <c r="H10" i="108"/>
  <c r="H9" i="108"/>
  <c r="H8" i="108"/>
  <c r="H24" i="108" l="1"/>
  <c r="H30" i="110"/>
  <c r="H36" i="108"/>
  <c r="H7" i="108"/>
  <c r="H41" i="108"/>
  <c r="H13" i="109"/>
  <c r="E34" i="109"/>
  <c r="H8" i="110"/>
  <c r="E14" i="110"/>
  <c r="E17" i="110"/>
  <c r="H45" i="109"/>
  <c r="H6" i="109"/>
  <c r="H68" i="108"/>
  <c r="H53" i="108"/>
  <c r="H43" i="109" l="1"/>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89"/>
  <c r="B1" i="73"/>
  <c r="B1" i="88"/>
  <c r="B1" i="52"/>
  <c r="B1" i="86"/>
  <c r="G5" i="86"/>
  <c r="F5" i="86"/>
  <c r="E5" i="86"/>
  <c r="D5" i="86"/>
  <c r="G5" i="84"/>
  <c r="F5" i="84"/>
  <c r="E5" i="84"/>
  <c r="D5" i="84"/>
  <c r="C5" i="84"/>
  <c r="E6" i="86" l="1"/>
  <c r="E13" i="86" s="1"/>
  <c r="F6" i="86"/>
  <c r="F13" i="86" s="1"/>
  <c r="G6" i="86"/>
  <c r="G13" i="86" s="1"/>
  <c r="B1" i="91" l="1"/>
  <c r="B1" i="84"/>
  <c r="C26" i="95" l="1"/>
  <c r="C22" i="95"/>
  <c r="D6" i="86" l="1"/>
  <c r="D13" i="86" s="1"/>
  <c r="T21" i="64" l="1"/>
  <c r="U21" i="64"/>
  <c r="S21" i="64"/>
  <c r="C21" i="64"/>
  <c r="E22" i="91"/>
  <c r="D22" i="91"/>
  <c r="L22" i="90" l="1"/>
  <c r="N22" i="90"/>
  <c r="P22" i="90"/>
  <c r="R22" i="90"/>
  <c r="D22" i="90" l="1"/>
  <c r="F22" i="90"/>
  <c r="H22" i="90"/>
  <c r="J22" i="90"/>
  <c r="C32" i="89"/>
  <c r="C31" i="89" s="1"/>
  <c r="C36" i="89"/>
  <c r="C44" i="89"/>
  <c r="C48" i="89"/>
  <c r="C42" i="89" l="1"/>
  <c r="B9" i="121" s="1"/>
  <c r="C53" i="89"/>
  <c r="B10" i="121"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G22" i="111" l="1"/>
  <c r="F22" i="111"/>
  <c r="E22" i="111"/>
  <c r="H13" i="111"/>
  <c r="C22" i="91"/>
  <c r="C8" i="95"/>
  <c r="C32" i="95" s="1"/>
  <c r="Q22" i="90"/>
  <c r="O22" i="90"/>
  <c r="M22" i="90"/>
  <c r="K22" i="90"/>
  <c r="I22" i="90"/>
  <c r="G22" i="90"/>
  <c r="E22" i="90"/>
  <c r="E32" i="109"/>
  <c r="E62" i="108"/>
  <c r="D41" i="108"/>
  <c r="E35" i="108"/>
  <c r="E34" i="108"/>
  <c r="E26" i="108"/>
  <c r="E23" i="108"/>
  <c r="E22" i="108"/>
  <c r="E21" i="108"/>
  <c r="D15" i="108"/>
  <c r="D7" i="108"/>
  <c r="D63" i="108" l="1"/>
  <c r="E64" i="108"/>
  <c r="C63" i="108"/>
  <c r="E63" i="108" s="1"/>
  <c r="E65" i="108"/>
  <c r="E66" i="108"/>
  <c r="D13" i="109"/>
  <c r="C6" i="89"/>
  <c r="C19" i="94"/>
  <c r="D19" i="94" s="1"/>
  <c r="H10" i="91"/>
  <c r="H14" i="91"/>
  <c r="H18" i="91"/>
  <c r="C34" i="95"/>
  <c r="E9" i="108"/>
  <c r="E11" i="108"/>
  <c r="E32" i="108"/>
  <c r="E33" i="108"/>
  <c r="E52" i="108"/>
  <c r="E56" i="108"/>
  <c r="E57" i="108"/>
  <c r="E58" i="108"/>
  <c r="E18" i="109"/>
  <c r="E21" i="109"/>
  <c r="E27" i="109"/>
  <c r="C20" i="94"/>
  <c r="D20" i="94" s="1"/>
  <c r="H11" i="91"/>
  <c r="H15" i="91"/>
  <c r="H19" i="91"/>
  <c r="H21" i="111"/>
  <c r="D22" i="111"/>
  <c r="D47" i="108"/>
  <c r="E25" i="108"/>
  <c r="C24" i="108"/>
  <c r="C21" i="94"/>
  <c r="D21" i="94" s="1"/>
  <c r="H12" i="91"/>
  <c r="H16" i="91"/>
  <c r="H20" i="91"/>
  <c r="H8" i="113"/>
  <c r="H12" i="112"/>
  <c r="E20" i="109"/>
  <c r="C19" i="108"/>
  <c r="E20" i="108"/>
  <c r="D30" i="108"/>
  <c r="D53" i="108"/>
  <c r="C7" i="108"/>
  <c r="E8" i="108"/>
  <c r="E10" i="108"/>
  <c r="E12" i="108"/>
  <c r="C15" i="108"/>
  <c r="E15" i="108" s="1"/>
  <c r="E16" i="108"/>
  <c r="E17" i="108"/>
  <c r="D19" i="108"/>
  <c r="D24" i="108"/>
  <c r="C41" i="108"/>
  <c r="E42" i="108"/>
  <c r="E43" i="108"/>
  <c r="E44" i="108"/>
  <c r="E45" i="108"/>
  <c r="E46" i="108"/>
  <c r="C47" i="108"/>
  <c r="E47" i="108" s="1"/>
  <c r="E48" i="108"/>
  <c r="E49" i="108"/>
  <c r="E50" i="108"/>
  <c r="E61" i="108"/>
  <c r="E67" i="108"/>
  <c r="E10" i="109"/>
  <c r="C6" i="109"/>
  <c r="E19" i="109"/>
  <c r="E25" i="109"/>
  <c r="E28" i="109"/>
  <c r="C6" i="86"/>
  <c r="C13" i="86" s="1"/>
  <c r="D11" i="94"/>
  <c r="D16" i="94"/>
  <c r="S8" i="90"/>
  <c r="C22" i="90"/>
  <c r="S9" i="90"/>
  <c r="S10" i="90"/>
  <c r="S11" i="90"/>
  <c r="S12" i="90"/>
  <c r="S13" i="90"/>
  <c r="S14" i="90"/>
  <c r="S15" i="90"/>
  <c r="S16" i="90"/>
  <c r="S17" i="90"/>
  <c r="S18" i="90"/>
  <c r="S19" i="90"/>
  <c r="S20" i="90"/>
  <c r="S21" i="90"/>
  <c r="H9" i="91"/>
  <c r="H13" i="91"/>
  <c r="H17" i="91"/>
  <c r="H21" i="91"/>
  <c r="C22" i="111"/>
  <c r="H8" i="111"/>
  <c r="H33" i="113"/>
  <c r="H20" i="112"/>
  <c r="C40" i="69"/>
  <c r="C20" i="88"/>
  <c r="C46" i="69"/>
  <c r="C62" i="69" l="1"/>
  <c r="E25" i="88"/>
  <c r="C53" i="108"/>
  <c r="E41" i="108"/>
  <c r="C58" i="69"/>
  <c r="C67" i="69" s="1"/>
  <c r="C52" i="69"/>
  <c r="C59" i="108"/>
  <c r="E60" i="108"/>
  <c r="E53" i="108"/>
  <c r="E19" i="108"/>
  <c r="G22" i="91"/>
  <c r="H22" i="91" s="1"/>
  <c r="H8" i="91"/>
  <c r="D12" i="94"/>
  <c r="H7" i="113"/>
  <c r="D34" i="113"/>
  <c r="H34" i="113" s="1"/>
  <c r="E31" i="109"/>
  <c r="E51" i="108"/>
  <c r="H7" i="112"/>
  <c r="H21" i="112" s="1"/>
  <c r="D21" i="112"/>
  <c r="E39" i="108"/>
  <c r="S22" i="90"/>
  <c r="C13" i="109"/>
  <c r="E13" i="109" s="1"/>
  <c r="E16" i="109"/>
  <c r="E23" i="109"/>
  <c r="E28" i="108"/>
  <c r="C27" i="108"/>
  <c r="D17" i="94"/>
  <c r="D15" i="94"/>
  <c r="D13" i="94"/>
  <c r="E55" i="108"/>
  <c r="C68" i="108"/>
  <c r="E38" i="108"/>
  <c r="F22" i="91"/>
  <c r="E7" i="108"/>
  <c r="C36" i="108"/>
  <c r="E26" i="109"/>
  <c r="D59" i="108"/>
  <c r="D68" i="108" s="1"/>
  <c r="E68" i="108" s="1"/>
  <c r="D9" i="94"/>
  <c r="E24" i="108"/>
  <c r="H22" i="111"/>
  <c r="D8" i="94"/>
  <c r="C30" i="108"/>
  <c r="E30" i="108" s="1"/>
  <c r="E31" i="108"/>
  <c r="D7" i="94"/>
  <c r="C29" i="109"/>
  <c r="C31" i="88"/>
  <c r="C14" i="69"/>
  <c r="D6" i="109"/>
  <c r="E29" i="108" l="1"/>
  <c r="D27" i="108"/>
  <c r="D36" i="108" s="1"/>
  <c r="E36" i="108" s="1"/>
  <c r="C26" i="69"/>
  <c r="E11" i="109"/>
  <c r="C16" i="88"/>
  <c r="C29" i="69"/>
  <c r="E29" i="109"/>
  <c r="E59" i="108"/>
  <c r="C25" i="88"/>
  <c r="C18" i="69"/>
  <c r="C43" i="109"/>
  <c r="D69" i="108"/>
  <c r="C28" i="88"/>
  <c r="D29" i="109"/>
  <c r="D43" i="109" s="1"/>
  <c r="D45" i="109" s="1"/>
  <c r="E30" i="109"/>
  <c r="C23" i="69"/>
  <c r="E6" i="109"/>
  <c r="C68" i="69"/>
  <c r="C69" i="108"/>
  <c r="E69" i="108" s="1"/>
  <c r="E27" i="108" l="1"/>
  <c r="E31" i="88"/>
  <c r="D28" i="88"/>
  <c r="D37" i="88" s="1"/>
  <c r="C45" i="109"/>
  <c r="E45" i="109" s="1"/>
  <c r="E43" i="109"/>
  <c r="E28" i="88" l="1"/>
  <c r="C6" i="69" l="1"/>
  <c r="C35" i="69" s="1"/>
  <c r="C8" i="88" l="1"/>
  <c r="C37" i="88" s="1"/>
  <c r="E8" i="88" l="1"/>
  <c r="E37" i="88" s="1"/>
  <c r="C5" i="73" s="1"/>
  <c r="C8" i="73" s="1"/>
  <c r="C13" i="73" s="1"/>
  <c r="C12" i="89" l="1"/>
  <c r="C29" i="89" s="1"/>
  <c r="B7" i="121" s="1"/>
  <c r="B16" i="121" l="1"/>
  <c r="B14" i="121" s="1"/>
  <c r="B6" i="121"/>
  <c r="B23" i="121" l="1"/>
  <c r="B22" i="121"/>
  <c r="B21"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<sst xmlns="http://schemas.openxmlformats.org/spreadsheetml/2006/main" count="1321" uniqueCount="768">
  <si>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</si>
  <si>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</si>
  <si>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</si>
  <si>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</si>
  <si>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</si>
  <si>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</si>
  <si>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</si>
  <si>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</si>
  <si>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</si>
  <si>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</si>
  <si>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</si>
  <si>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</si>
  <si>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</si>
  <si>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</si>
  <si>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</si>
  <si>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</si>
  <si>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</si>
  <si>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</si>
  <si>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</si>
  <si>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</si>
  <si>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</si>
  <si>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</si>
  <si>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</si>
  <si>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</si>
  <si>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</si>
  <si>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</si>
  <si>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</si>
  <si>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</si>
  <si>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</si>
  <si>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</si>
  <si>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</si>
  <si>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</si>
  <si>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</si>
  <si>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</si>
  <si>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</si>
  <si>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</si>
  <si>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</si>
  <si>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</si>
  <si>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</si>
  <si>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</si>
  <si>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</si>
  <si>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</si>
  <si>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</si>
  <si>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</si>
  <si>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</si>
  <si>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</si>
  <si>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</si>
  <si>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</si>
  <si>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</si>
  <si>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</si>
  <si>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</si>
  <si>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</si>
  <si>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</si>
  <si>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</si>
  <si>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</si>
  <si>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</si>
  <si>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</si>
  <si>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</si>
  <si>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</si>
  <si>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</si>
  <si>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</si>
  <si>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</si>
  <si>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</si>
  <si>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</si>
  <si>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</si>
  <si>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</si>
  <si>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</si>
  <si>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</si>
  <si>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</si>
  <si>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</si>
  <si>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</si>
  <si>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</si>
  <si>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</si>
  <si>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</si>
  <si>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</si>
  <si>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</si>
  <si>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</si>
  <si>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</si>
  <si>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</si>
  <si>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</si>
  <si>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</si>
  <si>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</si>
  <si>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</si>
  <si>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</si>
  <si>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</si>
  <si>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</si>
  <si>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</si>
  <si>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</si>
  <si>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</si>
  <si>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</si>
  <si>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</si>
  <si>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</si>
  <si>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</si>
  <si>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</si>
  <si>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</si>
  <si>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</si>
  <si>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</si>
  <si>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</si>
  <si>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</si>
  <si>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</si>
  <si>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</si>
  <si>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</si>
  <si>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</si>
  <si>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</si>
  <si>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</si>
  <si>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</si>
  <si>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</si>
  <si>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</si>
  <si>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</si>
  <si>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</si>
  <si>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</si>
  <si>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</si>
  <si>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</si>
  <si>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</si>
  <si>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</si>
  <si>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</si>
  <si>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</si>
  <si>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</si>
  <si>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</si>
  <si>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</si>
  <si>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</si>
  <si>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</si>
  <si>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</si>
  <si>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</si>
  <si>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</si>
  <si>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</si>
  <si>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</si>
  <si>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</si>
  <si>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</si>
  <si>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</si>
  <si>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</si>
  <si>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</si>
  <si>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</si>
  <si>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</si>
  <si>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</si>
  <si>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</si>
  <si>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</si>
  <si>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</si>
  <si>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</si>
  <si>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</si>
  <si>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</si>
  <si>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</si>
  <si>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</si>
  <si>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</si>
  <si>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</si>
  <si>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</si>
  <si>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</si>
  <si>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</si>
  <si>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</si>
  <si>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</si>
  <si>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</si>
  <si>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</si>
  <si>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</si>
  <si>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</si>
  <si>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</si>
  <si>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</si>
  <si>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</si>
  <si>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</si>
  <si>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</si>
  <si>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</si>
  <si>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</si>
  <si>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</si>
  <si>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</si>
  <si>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</si>
  <si>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</si>
  <si>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</si>
  <si>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</si>
  <si>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</si>
  <si>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</si>
  <si>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</si>
  <si>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</si>
  <si>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</si>
  <si>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</si>
  <si>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</si>
  <si>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</si>
  <si>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</si>
  <si>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</si>
  <si>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</si>
  <si>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</si>
  <si>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</si>
  <si>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</si>
  <si>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</si>
  <si>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</si>
  <si>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</si>
  <si>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</si>
  <si>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</si>
  <si>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</si>
  <si>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</si>
  <si>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</si>
  <si>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</si>
  <si>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</si>
  <si>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</si>
  <si>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</si>
  <si>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</si>
  <si>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</si>
  <si>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</si>
  <si>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</si>
  <si>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</si>
  <si>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</si>
  <si>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</si>
  <si>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</si>
  <si>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</si>
  <si>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</si>
  <si>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</si>
  <si>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</si>
  <si>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</si>
  <si>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</si>
  <si>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</si>
  <si>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</si>
  <si>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</si>
  <si>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</si>
  <si>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</si>
  <si>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</si>
  <si>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</si>
  <si>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</si>
  <si>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</si>
  <si>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</si>
  <si>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</si>
  <si>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</si>
  <si>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</si>
  <si>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</si>
  <si>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</si>
  <si>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</si>
  <si>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</si>
  <si>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</si>
  <si>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</si>
  <si>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</si>
  <si>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</si>
  <si>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</si>
  <si>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</si>
  <si>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</si>
  <si>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</si>
  <si>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</si>
  <si>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</si>
  <si>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</si>
  <si>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</si>
  <si>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</si>
  <si>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</si>
  <si>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</si>
  <si>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</si>
  <si>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</si>
  <si>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</si>
  <si>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</si>
  <si>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</si>
  <si>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</si>
  <si>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</si>
  <si>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</si>
  <si>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</si>
  <si>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</si>
  <si>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</si>
  <si>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</si>
  <si>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</si>
  <si>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</si>
  <si>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</si>
  <si>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</si>
  <si>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</si>
  <si>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</si>
  <si>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</si>
  <si>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</si>
  <si>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</si>
  <si>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</si>
  <si>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</si>
  <si>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</si>
  <si>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</si>
  <si>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</si>
  <si>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</si>
  <si>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</si>
  <si>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</si>
  <si>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</si>
  <si>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</si>
  <si>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</si>
  <si>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</si>
  <si>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</si>
  <si>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</si>
  <si>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</si>
  <si>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</si>
  <si>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</si>
  <si>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</si>
  <si>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</si>
  <si>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</si>
  <si>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</si>
  <si>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</si>
  <si>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</si>
  <si>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</si>
  <si>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</si>
  <si>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</si>
  <si>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</si>
  <si>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</si>
  <si>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</si>
  <si>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</si>
  <si>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</si>
  <si>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</si>
  <si>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</si>
  <si>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</si>
  <si>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</si>
  <si>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</si>
  <si>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</si>
  <si>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</si>
  <si>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</si>
  <si>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</si>
  <si>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</si>
  <si>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</si>
  <si>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</si>
  <si>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</si>
  <si>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</si>
  <si>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</si>
  <si>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</si>
  <si>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</si>
  <si>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</si>
  <si>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</si>
  <si>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</si>
  <si>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</si>
  <si>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</si>
  <si>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</si>
  <si>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</si>
  <si>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</si>
  <si>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</si>
  <si>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</si>
  <si>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</si>
  <si>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</si>
  <si>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</si>
  <si>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</si>
  <si>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</si>
  <si>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</si>
  <si>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</si>
  <si>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</si>
  <si>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</si>
  <si>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</si>
  <si>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</si>
  <si>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</si>
  <si>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</si>
  <si>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</si>
  <si>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</si>
  <si>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</si>
  <si>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</si>
  <si>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</si>
  <si>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</si>
  <si>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</si>
  <si>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</si>
  <si>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</si>
  <si>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</si>
  <si>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</si>
  <si>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</si>
  <si>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</si>
  <si>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</si>
  <si>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</si>
  <si>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</si>
  <si>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</si>
  <si>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</si>
  <si>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</si>
  <si>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</si>
  <si>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</si>
  <si>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</si>
  <si>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</si>
  <si>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</si>
  <si>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</si>
  <si>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</si>
  <si>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</si>
  <si>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</si>
  <si>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</si>
  <si>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</si>
  <si>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</si>
  <si>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</si>
  <si>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</si>
  <si>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</si>
  <si>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</si>
  <si>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</si>
  <si>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</si>
  <si>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</si>
  <si>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</si>
  <si>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</si>
  <si>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</si>
  <si>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</si>
  <si>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</si>
  <si>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</si>
  <si>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</si>
  <si>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</si>
  <si>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</si>
  <si>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</si>
  <si>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</si>
  <si>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</si>
  <si>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</si>
  <si>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</si>
  <si>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</si>
  <si>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</si>
  <si>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</si>
  <si>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</si>
  <si>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</si>
  <si>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</si>
  <si>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</si>
  <si>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</si>
  <si>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</si>
  <si>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</si>
  <si>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</si>
  <si>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</si>
  <si>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</si>
  <si>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</si>
  <si>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</si>
  <si>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</si>
  <si>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</si>
  <si>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</si>
  <si>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</si>
  <si>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</si>
  <si>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</si>
  <si>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</si>
  <si>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</si>
  <si>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</si>
  <si>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</si>
  <si>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</si>
  <si>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</si>
  <si>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</si>
  <si>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</si>
  <si>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</si>
  <si>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</si>
  <si>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</si>
  <si>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</si>
  <si>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</si>
  <si>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</si>
  <si>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</si>
  <si>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</si>
  <si>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</si>
  <si>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</si>
  <si>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</si>
  <si>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</si>
  <si>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</si>
  <si>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</si>
  <si>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</si>
  <si>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</si>
  <si>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</si>
  <si>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</si>
  <si>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</si>
  <si>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</si>
  <si>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</si>
  <si>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</si>
  <si>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</si>
  <si>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</si>
  <si>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</si>
  <si>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</si>
  <si>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</si>
  <si>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</si>
  <si>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</si>
  <si>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</si>
  <si>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</si>
  <si>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</si>
  <si>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</si>
  <si>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</si>
  <si>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</si>
  <si>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</si>
  <si>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</si>
  <si>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</si>
  <si>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</si>
  <si>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</si>
  <si>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</si>
  <si>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</si>
  <si>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</si>
  <si>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</si>
  <si>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</si>
  <si>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</si>
  <si>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</si>
  <si>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</si>
  <si>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</si>
  <si>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</si>
  <si>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</si>
  <si>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</si>
  <si>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</si>
  <si>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</si>
  <si>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</si>
  <si>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</si>
  <si>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</si>
  <si>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</si>
  <si>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</si>
  <si>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</si>
  <si>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</si>
  <si>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</si>
  <si>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</si>
  <si>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</si>
  <si>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</si>
  <si>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</si>
  <si>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</si>
  <si>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</si>
  <si>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</si>
  <si>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</si>
  <si>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</si>
  <si>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</si>
  <si>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</si>
  <si>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</si>
  <si>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</si>
  <si>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</si>
  <si>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</si>
  <si>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</si>
  <si>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</si>
  <si>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</si>
  <si>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</si>
  <si>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</si>
  <si>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</si>
  <si>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</si>
  <si>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</si>
  <si>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</si>
  <si>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</si>
  <si>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</si>
  <si>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</si>
  <si>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</si>
  <si>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</si>
  <si>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</si>
  <si>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</si>
  <si>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</si>
  <si>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</si>
  <si>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</si>
  <si>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</si>
  <si>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</si>
  <si>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</si>
  <si>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</si>
  <si>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</si>
  <si>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</si>
  <si>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</si>
  <si>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</si>
  <si>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</si>
  <si>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</si>
  <si>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</si>
  <si>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</si>
  <si>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</si>
  <si>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</si>
  <si>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</si>
  <si>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</si>
  <si>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</si>
  <si>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</si>
  <si>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</si>
  <si>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</si>
  <si>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</si>
  <si>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</si>
  <si>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</si>
  <si>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</si>
  <si>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</si>
  <si>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</si>
  <si>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</si>
  <si>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</si>
  <si>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</si>
  <si>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</si>
  <si>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</si>
  <si>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</si>
  <si>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</si>
  <si>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</si>
  <si>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</si>
  <si>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</si>
  <si>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</si>
  <si>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</si>
  <si>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</si>
  <si>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</si>
  <si>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</si>
  <si>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</si>
  <si>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</si>
  <si>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</si>
  <si>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</si>
  <si>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</si>
  <si>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</si>
  <si>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</si>
  <si>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</si>
  <si>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</si>
  <si>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</si>
  <si>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</si>
  <si>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</si>
  <si>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</si>
  <si>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</si>
  <si>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</si>
  <si>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</si>
  <si>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</si>
  <si>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</si>
  <si>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</si>
  <si>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</si>
  <si>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</si>
  <si>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</si>
  <si>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</si>
  <si>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</si>
  <si>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</si>
  <si>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</si>
  <si>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</si>
  <si>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</si>
  <si>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</si>
  <si>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</si>
  <si>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</si>
  <si>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</si>
  <si>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</si>
  <si>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</si>
  <si>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</si>
  <si>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</si>
  <si>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</si>
  <si>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</si>
  <si>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</si>
  <si>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</si>
  <si>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</si>
  <si>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</si>
  <si>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</si>
  <si>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</si>
  <si>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</si>
  <si>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</si>
  <si>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</si>
  <si>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</si>
  <si>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</si>
  <si>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</si>
  <si>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</si>
  <si>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</si>
  <si>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</si>
  <si>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</si>
  <si>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</si>
  <si>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</si>
  <si>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</si>
  <si>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</si>
  <si>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</si>
  <si>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</si>
  <si>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</si>
  <si>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</si>
  <si>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</si>
  <si>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</si>
  <si>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</si>
  <si>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</si>
  <si>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</si>
  <si>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</si>
  <si>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</si>
  <si>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</si>
  <si>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</si>
  <si>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</si>
  <si>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</si>
  <si>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</si>
  <si>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</si>
  <si>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</si>
  <si>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</si>
  <si>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</si>
  <si>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</si>
  <si>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</si>
  <si>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</si>
  <si>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</si>
  <si>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</si>
  <si>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</si>
  <si>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</si>
  <si>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</si>
  <si>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</si>
  <si>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</si>
  <si>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</si>
  <si>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</si>
  <si>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</si>
  <si>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</si>
  <si>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</si>
  <si>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</si>
  <si>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</si>
  <si>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</si>
  <si>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</si>
  <si>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</si>
  <si>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</si>
  <si>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</si>
  <si>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</si>
  <si>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</si>
  <si>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</si>
  <si>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</si>
  <si>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</si>
  <si>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</si>
  <si>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</si>
  <si>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</si>
  <si>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</si>
  <si>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</si>
  <si>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</si>
  <si>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</si>
  <si>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</si>
  <si>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</si>
  <si>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</si>
  <si>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</si>
  <si>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</si>
  <si>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</si>
  <si>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</si>
  <si>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</si>
  <si>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</si>
  <si>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</si>
  <si>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</si>
  <si>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</si>
  <si>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</si>
  <si>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</si>
  <si>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</si>
  <si>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</si>
  <si>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</si>
  <si>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</si>
  <si>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</si>
  <si>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</si>
  <si>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</si>
  <si>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</si>
  <si>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</si>
  <si>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</si>
  <si>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</si>
  <si>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</si>
  <si>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</si>
  <si>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</si>
  <si>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</si>
  <si>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</si>
  <si>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</si>
  <si>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</si>
  <si>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</si>
  <si>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</si>
  <si>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</si>
  <si>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</si>
  <si>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</si>
  <si>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</si>
  <si>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</si>
  <si>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</si>
  <si>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</si>
  <si>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</si>
  <si>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</si>
  <si>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</si>
  <si>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</si>
  <si>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</si>
  <si>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</si>
  <si>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</si>
  <si>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</si>
  <si>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</si>
  <si>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</si>
  <si>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</si>
  <si>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</si>
  <si>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</si>
  <si>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</si>
  <si>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</si>
  <si>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</si>
  <si>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</si>
  <si>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</si>
  <si>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</si>
  <si>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</si>
  <si>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</si>
  <si>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</si>
  <si>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</si>
  <si>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</si>
  <si>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</si>
  <si>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</si>
  <si>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</si>
  <si>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</si>
  <si>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</si>
  <si>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</si>
  <si>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</si>
  <si>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</si>
  <si>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</si>
  <si>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</si>
  <si>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</si>
  <si>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</si>
  <si>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</si>
  <si>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</si>
  <si>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</si>
  <si>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</si>
  <si>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</si>
  <si>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</si>
  <si>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</si>
  <si>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</si>
  <si>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</si>
  <si>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</si>
  <si>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</si>
  <si>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</si>
  <si>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</si>
  <si>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</si>
  <si>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N/A</t>
  </si>
  <si>
    <t/>
  </si>
  <si>
    <t>PAVING THE WAY PTE. LTD.</t>
  </si>
  <si>
    <t>JSC Pave Bank Georgia</t>
  </si>
  <si>
    <t>Eynour Boutia</t>
  </si>
  <si>
    <t>Omar-Salim Dhanani</t>
  </si>
  <si>
    <t>https://pavebank.com/en</t>
  </si>
  <si>
    <t>Kakhaber Kiknavelidze</t>
  </si>
  <si>
    <t>Independent member</t>
  </si>
  <si>
    <t>Independent chair</t>
  </si>
  <si>
    <t>Rachel Marin Freeman</t>
  </si>
  <si>
    <t>General Directions</t>
  </si>
  <si>
    <t>Dmitry Bocharov</t>
  </si>
  <si>
    <t>Risk Direction</t>
  </si>
  <si>
    <t>Simon James Vans-Colina</t>
  </si>
  <si>
    <t>IT Direction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</si>
</sst>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theme="6" tint="-0.499984740745262"/>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9"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8" applyNumberFormat="0" applyAlignment="0" applyProtection="0">
      <alignment horizontal="left" vertical="center"/>
    </xf>
    <xf numFmtId="0" fontId="37" fillId="0" borderId="28" applyNumberFormat="0" applyAlignment="0" applyProtection="0">
      <alignment horizontal="left" vertical="center"/>
    </xf>
    <xf numFmtId="168" fontId="37" fillId="0" borderId="28"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9" applyNumberFormat="0" applyFill="0" applyAlignment="0" applyProtection="0"/>
    <xf numFmtId="169" fontId="38" fillId="0" borderId="39" applyNumberFormat="0" applyFill="0" applyAlignment="0" applyProtection="0"/>
    <xf numFmtId="0"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69" fontId="39" fillId="0" borderId="40" applyNumberFormat="0" applyFill="0" applyAlignment="0" applyProtection="0"/>
    <xf numFmtId="0"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69"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9"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0" fontId="52"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3"/>
    <xf numFmtId="169" fontId="9" fillId="0" borderId="43"/>
    <xf numFmtId="168"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9"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9"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9"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8" fillId="0" borderId="47"/>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0" applyFont="0" applyBorder="0">
      <alignment horizontal="center" wrapText="1"/>
    </xf>
    <xf numFmtId="3" fontId="2" fillId="74" borderId="11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2" fillId="0"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4"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3"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4" applyNumberFormat="0" applyFill="0" applyAlignment="0" applyProtection="0"/>
    <xf numFmtId="0" fontId="164"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2"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64" fillId="0" borderId="134"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2" fillId="0" borderId="135" applyNumberFormat="0" applyFill="0" applyProtection="0">
      <alignment horizontal="center"/>
    </xf>
    <xf numFmtId="0" fontId="166"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6" fillId="0" borderId="135" applyNumberFormat="0" applyFill="0" applyProtection="0">
      <alignment horizontal="center"/>
    </xf>
    <xf numFmtId="0" fontId="167" fillId="0" borderId="135" applyNumberFormat="0" applyFill="0" applyProtection="0">
      <alignment horizontal="center"/>
    </xf>
    <xf numFmtId="0" fontId="167"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2"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3" quotePrefix="1" applyNumberFormat="0" applyFont="0" applyFill="0" applyBorder="0" applyAlignment="0" applyProtection="0">
      <alignment horizontal="centerContinuous" vertical="justify"/>
      <protection locked="0" hidden="1"/>
    </xf>
    <xf numFmtId="0" fontId="158" fillId="87" borderId="133"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28">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4"/>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36"/>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19" applyNumberFormat="0" applyFont="0" applyAlignment="0"/>
    <xf numFmtId="3" fontId="182" fillId="88" borderId="119" applyNumberFormat="0" applyFont="0" applyAlignment="0"/>
    <xf numFmtId="3" fontId="182" fillId="88" borderId="119" applyNumberFormat="0" applyFont="0" applyAlignment="0"/>
    <xf numFmtId="3" fontId="182" fillId="88" borderId="119" applyNumberFormat="0" applyFont="0" applyAlignment="0"/>
    <xf numFmtId="3" fontId="182" fillId="88" borderId="119"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247" fontId="180" fillId="107" borderId="119" applyNumberFormat="0" applyFill="0" applyBorder="0" applyAlignment="0" applyProtection="0"/>
    <xf numFmtId="0"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0"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247" fontId="180" fillId="107" borderId="119" applyNumberFormat="0" applyFill="0" applyBorder="0" applyAlignment="0" applyProtection="0"/>
    <xf numFmtId="0" fontId="180" fillId="107" borderId="119" applyNumberFormat="0" applyFill="0" applyBorder="0" applyAlignment="0" applyProtection="0"/>
    <xf numFmtId="0" fontId="183" fillId="0" borderId="137"/>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38" applyNumberFormat="0" applyAlignment="0" applyProtection="0"/>
    <xf numFmtId="0" fontId="184" fillId="108" borderId="138" applyNumberFormat="0" applyAlignment="0" applyProtection="0"/>
    <xf numFmtId="0" fontId="185" fillId="0" borderId="0" applyNumberFormat="0" applyFill="0" applyAlignment="0"/>
    <xf numFmtId="0" fontId="186" fillId="0" borderId="139"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0"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1"/>
    <xf numFmtId="251" fontId="2" fillId="0" borderId="0"/>
    <xf numFmtId="0" fontId="193" fillId="0" borderId="142"/>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3">
      <alignment horizontal="center" vertical="center"/>
    </xf>
    <xf numFmtId="0" fontId="184" fillId="108" borderId="143">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38" applyNumberFormat="0" applyFont="0" applyFill="0" applyAlignment="0">
      <alignment vertical="center"/>
    </xf>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252" fontId="105" fillId="0" borderId="138" applyNumberFormat="0" applyFont="0" applyFill="0" applyAlignment="0">
      <alignment vertical="center"/>
    </xf>
    <xf numFmtId="0" fontId="105" fillId="0" borderId="138" applyNumberFormat="0" applyFont="0" applyFill="0"/>
    <xf numFmtId="0" fontId="105" fillId="0" borderId="138" applyNumberFormat="0" applyFont="0" applyFill="0"/>
    <xf numFmtId="252" fontId="105" fillId="0" borderId="138" applyNumberFormat="0" applyFont="0" applyFill="0" applyAlignment="0">
      <alignment vertical="center"/>
    </xf>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105" fillId="0" borderId="138" applyNumberFormat="0" applyFont="0" applyFill="0"/>
    <xf numFmtId="0" fontId="2" fillId="72" borderId="0"/>
    <xf numFmtId="0" fontId="202" fillId="0" borderId="1" applyNumberFormat="0" applyFont="0" applyFill="0" applyAlignment="0" applyProtection="0"/>
    <xf numFmtId="0" fontId="202" fillId="0" borderId="144"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6" applyNumberFormat="0" applyFont="0" applyFill="0" applyAlignment="0" applyProtection="0"/>
    <xf numFmtId="0" fontId="150" fillId="0" borderId="66" applyNumberFormat="0" applyFont="0" applyFill="0" applyAlignment="0" applyProtection="0"/>
    <xf numFmtId="0" fontId="150" fillId="0" borderId="66" applyNumberFormat="0" applyFont="0" applyFill="0" applyAlignment="0" applyProtection="0"/>
    <xf numFmtId="0" fontId="150" fillId="0" borderId="64" applyNumberFormat="0" applyFont="0" applyFill="0" applyAlignment="0" applyProtection="0"/>
    <xf numFmtId="0" fontId="150" fillId="0" borderId="64"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04" fillId="109" borderId="140" applyNumberFormat="0" applyAlignment="0" applyProtection="0"/>
    <xf numFmtId="0" fontId="146" fillId="8" borderId="29" applyNumberFormat="0" applyAlignment="0" applyProtection="0"/>
    <xf numFmtId="3" fontId="45" fillId="41" borderId="66">
      <protection hidden="1"/>
    </xf>
    <xf numFmtId="0" fontId="204"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04"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04" fillId="109" borderId="140" applyNumberFormat="0" applyAlignment="0" applyProtection="0"/>
    <xf numFmtId="0" fontId="204"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6" applyBorder="0"/>
    <xf numFmtId="260" fontId="206"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vertical="center"/>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xf>
    <xf numFmtId="3" fontId="207" fillId="69" borderId="119"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5"/>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9">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29">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9">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9">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3" fontId="210" fillId="0" borderId="129">
      <alignment vertical="center"/>
    </xf>
    <xf numFmtId="0" fontId="29" fillId="73" borderId="146" applyNumberFormat="0" applyFont="0" applyAlignment="0" applyProtection="0"/>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71" fillId="73" borderId="146"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3" applyNumberFormat="0" applyFill="0" applyBorder="0" applyAlignment="0" applyProtection="0">
      <alignment horizontal="center"/>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1" fillId="0" borderId="123" applyNumberFormat="0" applyFill="0" applyBorder="0" applyAlignment="0" applyProtection="0">
      <alignment horizontal="center"/>
      <protection locked="0"/>
    </xf>
    <xf numFmtId="0" fontId="221" fillId="0" borderId="123" applyNumberFormat="0" applyFill="0" applyBorder="0" applyAlignment="0" applyProtection="0">
      <alignment horizontal="center"/>
      <protection locked="0"/>
    </xf>
    <xf numFmtId="3" fontId="210" fillId="0" borderId="129">
      <alignment vertical="center"/>
    </xf>
    <xf numFmtId="0" fontId="221" fillId="0" borderId="123" applyNumberFormat="0" applyFill="0" applyBorder="0" applyAlignment="0" applyProtection="0">
      <alignment horizontal="center"/>
      <protection locked="0"/>
    </xf>
    <xf numFmtId="0" fontId="221" fillId="0" borderId="123" applyNumberFormat="0" applyFill="0" applyBorder="0" applyAlignment="0" applyProtection="0">
      <alignment horizontal="center"/>
      <protection locked="0"/>
    </xf>
    <xf numFmtId="3" fontId="210" fillId="0" borderId="129">
      <alignment vertical="center"/>
    </xf>
    <xf numFmtId="0" fontId="222" fillId="0" borderId="123" applyNumberFormat="0" applyFill="0" applyBorder="0">
      <protection locked="0"/>
    </xf>
    <xf numFmtId="0" fontId="222" fillId="0" borderId="123" applyNumberFormat="0" applyFill="0" applyBorder="0">
      <protection locked="0"/>
    </xf>
    <xf numFmtId="3" fontId="210" fillId="0" borderId="129">
      <alignment vertical="center"/>
    </xf>
    <xf numFmtId="0" fontId="222" fillId="0" borderId="123" applyNumberFormat="0" applyFill="0" applyBorder="0">
      <protection locked="0"/>
    </xf>
    <xf numFmtId="0" fontId="222" fillId="0" borderId="123" applyNumberFormat="0" applyFill="0" applyBorder="0">
      <protection locked="0"/>
    </xf>
    <xf numFmtId="3" fontId="210" fillId="0" borderId="129">
      <alignment vertical="center"/>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0" fontId="222" fillId="0" borderId="123" applyNumberFormat="0" applyFill="0" applyBorder="0">
      <protection locked="0"/>
    </xf>
    <xf numFmtId="3" fontId="210" fillId="0" borderId="129">
      <alignment vertical="center"/>
    </xf>
    <xf numFmtId="3" fontId="223" fillId="0" borderId="147" applyNumberFormat="0" applyAlignment="0">
      <alignment vertical="center"/>
    </xf>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3" fontId="210" fillId="0" borderId="129">
      <alignment vertical="center"/>
    </xf>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23" fillId="0" borderId="147"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29">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29">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9">
      <alignment vertical="center"/>
    </xf>
    <xf numFmtId="3" fontId="210" fillId="0" borderId="129">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29">
      <alignment vertical="center"/>
    </xf>
    <xf numFmtId="3" fontId="210" fillId="0" borderId="129">
      <alignment vertical="center"/>
    </xf>
    <xf numFmtId="267" fontId="163" fillId="0" borderId="0" applyFont="0" applyFill="0" applyBorder="0" applyProtection="0"/>
    <xf numFmtId="267" fontId="163" fillId="0" borderId="0" applyFont="0" applyFill="0" applyBorder="0" applyProtection="0"/>
    <xf numFmtId="3" fontId="210" fillId="0" borderId="129">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9">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267" fontId="163" fillId="0" borderId="0" applyFont="0" applyFill="0" applyBorder="0" applyProtection="0"/>
    <xf numFmtId="3" fontId="210" fillId="0" borderId="129">
      <alignment vertical="center"/>
    </xf>
    <xf numFmtId="267" fontId="163" fillId="0" borderId="0" applyFont="0" applyFill="0" applyBorder="0" applyProtection="0"/>
    <xf numFmtId="267" fontId="163" fillId="0" borderId="0" applyFont="0" applyFill="0" applyBorder="0" applyProtection="0"/>
    <xf numFmtId="3" fontId="210" fillId="0" borderId="129">
      <alignment vertical="center"/>
    </xf>
    <xf numFmtId="197" fontId="2" fillId="0" borderId="0" applyFont="0" applyFill="0" applyBorder="0" applyAlignment="0" applyProtection="0"/>
    <xf numFmtId="3" fontId="210" fillId="0" borderId="129">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29">
      <alignment vertical="center"/>
    </xf>
    <xf numFmtId="3" fontId="210" fillId="0" borderId="129">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29">
      <alignment vertical="center"/>
    </xf>
    <xf numFmtId="268" fontId="225" fillId="0" borderId="0"/>
    <xf numFmtId="3" fontId="210" fillId="0" borderId="129">
      <alignment vertical="center"/>
    </xf>
    <xf numFmtId="268" fontId="225" fillId="0" borderId="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29">
      <alignment vertical="center"/>
    </xf>
    <xf numFmtId="3" fontId="210" fillId="0" borderId="129">
      <alignment vertical="center"/>
    </xf>
    <xf numFmtId="0" fontId="225" fillId="0" borderId="0"/>
    <xf numFmtId="0" fontId="2" fillId="0" borderId="0" applyNumberFormat="0" applyFont="0" applyFill="0" applyBorder="0" applyAlignment="0" applyProtection="0"/>
    <xf numFmtId="3" fontId="210" fillId="0" borderId="129">
      <alignment vertical="center"/>
    </xf>
    <xf numFmtId="0" fontId="225" fillId="0" borderId="0"/>
    <xf numFmtId="3" fontId="210" fillId="0" borderId="129">
      <alignment vertical="center"/>
    </xf>
    <xf numFmtId="0" fontId="225" fillId="0" borderId="0"/>
    <xf numFmtId="3" fontId="210" fillId="0" borderId="129">
      <alignment vertical="center"/>
    </xf>
    <xf numFmtId="0" fontId="225" fillId="0" borderId="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25" fillId="0" borderId="0"/>
    <xf numFmtId="0" fontId="225" fillId="0" borderId="0"/>
    <xf numFmtId="3" fontId="210" fillId="0" borderId="129">
      <alignment vertical="center"/>
    </xf>
    <xf numFmtId="3" fontId="210" fillId="0" borderId="129">
      <alignment vertical="center"/>
    </xf>
    <xf numFmtId="0" fontId="225" fillId="0" borderId="0"/>
    <xf numFmtId="3" fontId="210" fillId="0" borderId="129">
      <alignment vertical="center"/>
    </xf>
    <xf numFmtId="0" fontId="225" fillId="0" borderId="0"/>
    <xf numFmtId="0" fontId="225" fillId="0" borderId="0"/>
    <xf numFmtId="3" fontId="210" fillId="0" borderId="129">
      <alignment vertical="center"/>
    </xf>
    <xf numFmtId="3" fontId="210" fillId="0" borderId="129">
      <alignment vertical="center"/>
    </xf>
    <xf numFmtId="0" fontId="225" fillId="0" borderId="0"/>
    <xf numFmtId="3" fontId="210" fillId="0" borderId="129">
      <alignment vertical="center"/>
    </xf>
    <xf numFmtId="268" fontId="225" fillId="0" borderId="0"/>
    <xf numFmtId="3" fontId="210" fillId="0" borderId="129">
      <alignment vertical="center"/>
    </xf>
    <xf numFmtId="268" fontId="225" fillId="0" borderId="0"/>
    <xf numFmtId="268" fontId="225" fillId="0" borderId="0"/>
    <xf numFmtId="3" fontId="210" fillId="0" borderId="129">
      <alignment vertical="center"/>
    </xf>
    <xf numFmtId="3" fontId="210" fillId="0" borderId="129">
      <alignment vertical="center"/>
    </xf>
    <xf numFmtId="0" fontId="225" fillId="0" borderId="0"/>
    <xf numFmtId="0" fontId="225" fillId="0" borderId="0"/>
    <xf numFmtId="3" fontId="210" fillId="0" borderId="129">
      <alignment vertical="center"/>
    </xf>
    <xf numFmtId="0" fontId="225" fillId="0" borderId="0"/>
    <xf numFmtId="3" fontId="210" fillId="0" borderId="129">
      <alignment vertical="center"/>
    </xf>
    <xf numFmtId="0" fontId="225" fillId="0" borderId="0"/>
    <xf numFmtId="3" fontId="210" fillId="0" borderId="129">
      <alignment vertical="center"/>
    </xf>
    <xf numFmtId="0" fontId="225" fillId="0" borderId="0"/>
    <xf numFmtId="3" fontId="210" fillId="0" borderId="129">
      <alignment vertical="center"/>
    </xf>
    <xf numFmtId="3" fontId="210" fillId="0" borderId="129">
      <alignment vertical="center"/>
    </xf>
    <xf numFmtId="0" fontId="225" fillId="0" borderId="0"/>
    <xf numFmtId="3" fontId="210" fillId="0" borderId="129">
      <alignment vertical="center"/>
    </xf>
    <xf numFmtId="0" fontId="225" fillId="0" borderId="0"/>
    <xf numFmtId="0" fontId="225" fillId="0" borderId="0"/>
    <xf numFmtId="3" fontId="210" fillId="0" borderId="129">
      <alignment vertical="center"/>
    </xf>
    <xf numFmtId="3" fontId="210" fillId="0" borderId="129">
      <alignment vertical="center"/>
    </xf>
    <xf numFmtId="0" fontId="225" fillId="0" borderId="0"/>
    <xf numFmtId="3" fontId="210" fillId="0" borderId="129">
      <alignment vertical="center"/>
    </xf>
    <xf numFmtId="268" fontId="225" fillId="0" borderId="0"/>
    <xf numFmtId="268" fontId="225" fillId="0" borderId="0"/>
    <xf numFmtId="3" fontId="210" fillId="0" borderId="129">
      <alignment vertical="center"/>
    </xf>
    <xf numFmtId="268" fontId="225" fillId="0" borderId="0"/>
    <xf numFmtId="3" fontId="210" fillId="0" borderId="129">
      <alignment vertical="center"/>
    </xf>
    <xf numFmtId="268" fontId="225" fillId="0" borderId="0"/>
    <xf numFmtId="3" fontId="210" fillId="0" borderId="129">
      <alignment vertical="center"/>
    </xf>
    <xf numFmtId="268" fontId="225" fillId="0" borderId="0"/>
    <xf numFmtId="3" fontId="210" fillId="0" borderId="129">
      <alignment vertical="center"/>
    </xf>
    <xf numFmtId="3" fontId="210" fillId="0" borderId="129">
      <alignment vertical="center"/>
    </xf>
    <xf numFmtId="268" fontId="225" fillId="0" borderId="0"/>
    <xf numFmtId="3" fontId="210" fillId="0" borderId="129">
      <alignment vertical="center"/>
    </xf>
    <xf numFmtId="268" fontId="225" fillId="0" borderId="0"/>
    <xf numFmtId="268" fontId="225" fillId="0" borderId="0"/>
    <xf numFmtId="3" fontId="210" fillId="0" borderId="129">
      <alignment vertical="center"/>
    </xf>
    <xf numFmtId="3" fontId="210" fillId="0" borderId="129">
      <alignment vertical="center"/>
    </xf>
    <xf numFmtId="268" fontId="225" fillId="0" borderId="0"/>
    <xf numFmtId="3" fontId="210" fillId="0" borderId="129">
      <alignment vertical="center"/>
    </xf>
    <xf numFmtId="268" fontId="225" fillId="0" borderId="0"/>
    <xf numFmtId="3" fontId="210" fillId="0" borderId="129">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8" applyNumberFormat="0" applyFont="0" applyBorder="0" applyAlignment="0" applyProtection="0">
      <alignment horizontal="centerContinuous"/>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2" fillId="0" borderId="0" applyNumberFormat="0" applyFont="0" applyFill="0" applyBorder="0" applyAlignment="0" applyProtection="0"/>
    <xf numFmtId="0" fontId="9" fillId="69" borderId="148" applyNumberFormat="0" applyFont="0" applyBorder="0" applyProtection="0"/>
    <xf numFmtId="3" fontId="210" fillId="0" borderId="129">
      <alignment vertical="center"/>
    </xf>
    <xf numFmtId="0" fontId="2" fillId="0" borderId="0" applyNumberFormat="0" applyFont="0" applyFill="0" applyBorder="0" applyAlignment="0" applyProtection="0"/>
    <xf numFmtId="0" fontId="9" fillId="69" borderId="148" applyNumberFormat="0" applyFont="0" applyBorder="0" applyProtection="0"/>
    <xf numFmtId="3" fontId="210" fillId="0" borderId="129">
      <alignment vertical="center"/>
    </xf>
    <xf numFmtId="0" fontId="9" fillId="69" borderId="148" applyNumberFormat="0" applyFont="0" applyBorder="0" applyProtection="0"/>
    <xf numFmtId="0" fontId="9" fillId="69" borderId="148" applyNumberFormat="0" applyFont="0" applyBorder="0" applyProtection="0"/>
    <xf numFmtId="3" fontId="210" fillId="0" borderId="129">
      <alignment vertical="center"/>
    </xf>
    <xf numFmtId="0" fontId="9" fillId="69" borderId="148" applyNumberFormat="0" applyFont="0" applyBorder="0" applyProtection="0"/>
    <xf numFmtId="0" fontId="9" fillId="69" borderId="148" applyNumberFormat="0" applyFont="0" applyBorder="0" applyProtection="0"/>
    <xf numFmtId="3" fontId="210" fillId="0" borderId="129">
      <alignment vertical="center"/>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29">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28" fillId="119" borderId="102" applyNumberFormat="0" applyBorder="0">
      <alignment horizontal="left"/>
    </xf>
    <xf numFmtId="0" fontId="228" fillId="119" borderId="102" applyNumberFormat="0" applyBorder="0">
      <alignment horizontal="left"/>
    </xf>
    <xf numFmtId="3" fontId="210" fillId="0" borderId="129">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29">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29">
      <alignment vertical="center"/>
    </xf>
    <xf numFmtId="0" fontId="212" fillId="0" borderId="0">
      <alignment horizontal="left" vertical="center" wrapText="1"/>
    </xf>
    <xf numFmtId="3" fontId="210" fillId="0" borderId="129">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29">
      <alignment vertical="center"/>
    </xf>
    <xf numFmtId="22" fontId="29" fillId="0" borderId="0" applyFill="0" applyBorder="0" applyAlignment="0"/>
    <xf numFmtId="3" fontId="210" fillId="0" borderId="129">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29">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9">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9">
      <alignment vertical="center"/>
    </xf>
    <xf numFmtId="0" fontId="232"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10" fillId="0" borderId="129">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10" fillId="0" borderId="129">
      <alignment vertical="center"/>
    </xf>
    <xf numFmtId="0" fontId="2" fillId="0" borderId="66" applyFill="0" applyProtection="0">
      <alignment horizontal="centerContinuous"/>
    </xf>
    <xf numFmtId="0" fontId="2" fillId="0" borderId="66" applyFill="0" applyProtection="0">
      <alignment horizontal="centerContinuous"/>
    </xf>
    <xf numFmtId="3" fontId="210" fillId="0" borderId="129">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10"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29">
      <alignment vertical="center"/>
    </xf>
    <xf numFmtId="275" fontId="2" fillId="0" borderId="66" applyFill="0" applyProtection="0">
      <alignment horizontal="centerContinuous"/>
    </xf>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233" fillId="120" borderId="11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233" fillId="120" borderId="11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3" fontId="234" fillId="121"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4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39" fillId="0" borderId="132" applyNumberFormat="0" applyAlignment="0">
      <protection locked="0"/>
    </xf>
    <xf numFmtId="0" fontId="49" fillId="42" borderId="140" applyNumberFormat="0" applyAlignment="0" applyProtection="0"/>
    <xf numFmtId="0" fontId="10" fillId="0" borderId="0"/>
    <xf numFmtId="0" fontId="10" fillId="0" borderId="0"/>
    <xf numFmtId="0" fontId="49" fillId="42" borderId="140" applyNumberFormat="0" applyAlignment="0" applyProtection="0"/>
    <xf numFmtId="0" fontId="49" fillId="42" borderId="140" applyNumberFormat="0" applyAlignment="0" applyProtection="0"/>
    <xf numFmtId="0" fontId="49" fillId="42" borderId="140" applyNumberFormat="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29">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29">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29">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29">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29">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29">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29">
      <alignment vertical="center"/>
    </xf>
    <xf numFmtId="0" fontId="242" fillId="0" borderId="0">
      <alignment horizontal="left"/>
    </xf>
    <xf numFmtId="0" fontId="243" fillId="0" borderId="0">
      <alignment horizontal="center" wrapText="1"/>
    </xf>
    <xf numFmtId="0" fontId="242"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0">
      <alignment horizontal="right" wrapText="1"/>
    </xf>
    <xf numFmtId="0" fontId="242" fillId="0" borderId="150">
      <alignment horizontal="right" wrapText="1"/>
    </xf>
    <xf numFmtId="0" fontId="242" fillId="0" borderId="150">
      <alignment horizontal="right" wrapText="1"/>
    </xf>
    <xf numFmtId="0" fontId="2" fillId="0" borderId="0" applyNumberFormat="0" applyFont="0" applyFill="0" applyBorder="0" applyAlignment="0" applyProtection="0"/>
    <xf numFmtId="0" fontId="242"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0">
      <alignment horizontal="right" wrapText="1"/>
    </xf>
    <xf numFmtId="0" fontId="242" fillId="0" borderId="150">
      <alignment horizontal="right" wrapText="1"/>
    </xf>
    <xf numFmtId="0" fontId="242"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297" fontId="244" fillId="0" borderId="15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0">
      <alignment horizontal="right"/>
    </xf>
    <xf numFmtId="297" fontId="244" fillId="0" borderId="150">
      <alignment horizontal="right"/>
    </xf>
    <xf numFmtId="297" fontId="244" fillId="0" borderId="150">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0">
      <alignment horizontal="left"/>
    </xf>
    <xf numFmtId="297" fontId="244" fillId="0" borderId="150">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0">
      <alignment horizontal="center"/>
    </xf>
    <xf numFmtId="297" fontId="248" fillId="0" borderId="150">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196" fontId="156"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196" fontId="156"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29">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29">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6">
      <alignment horizontal="centerContinuous"/>
    </xf>
    <xf numFmtId="0" fontId="166" fillId="0" borderId="59"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29">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29">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2">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9">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45" fillId="113" borderId="12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1" applyAlignment="0" applyProtection="0"/>
    <xf numFmtId="0" fontId="45" fillId="113" borderId="121" applyAlignment="0" applyProtection="0"/>
    <xf numFmtId="0" fontId="2" fillId="0" borderId="0" applyNumberFormat="0" applyFont="0" applyFill="0" applyBorder="0" applyAlignment="0" applyProtection="0"/>
    <xf numFmtId="0" fontId="2" fillId="68" borderId="11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9" applyNumberFormat="0" applyFont="0" applyBorder="0" applyProtection="0">
      <alignment horizontal="center" vertical="center"/>
    </xf>
    <xf numFmtId="0" fontId="2" fillId="68" borderId="119" applyNumberFormat="0" applyFont="0" applyBorder="0" applyProtection="0">
      <alignment horizontal="center" vertical="center"/>
    </xf>
    <xf numFmtId="0" fontId="2" fillId="68" borderId="119" applyNumberFormat="0" applyFont="0" applyBorder="0" applyProtection="0">
      <alignment horizontal="center" vertical="center"/>
    </xf>
    <xf numFmtId="0" fontId="2" fillId="68" borderId="119" applyNumberFormat="0" applyFont="0" applyBorder="0" applyProtection="0">
      <alignment horizontal="center" vertic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3" fontId="210" fillId="0" borderId="129">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0" fontId="2" fillId="68" borderId="119" applyNumberFormat="0" applyFont="0" applyBorder="0" applyAlignment="0" applyProtection="0">
      <alignment horizontal="center"/>
    </xf>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45" fillId="68" borderId="132"/>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41" fillId="126" borderId="120"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0" applyNumberFormat="0" applyFont="0" applyBorder="0" applyAlignment="0">
      <alignment horizontal="centerContinuous"/>
    </xf>
    <xf numFmtId="0" fontId="41" fillId="126" borderId="120" applyNumberFormat="0" applyFont="0" applyBorder="0" applyAlignment="0">
      <alignment horizontal="centerContinuous"/>
    </xf>
    <xf numFmtId="0" fontId="41" fillId="126" borderId="120" applyNumberFormat="0" applyFont="0" applyBorder="0" applyAlignment="0">
      <alignment horizontal="centerContinuous"/>
    </xf>
    <xf numFmtId="0" fontId="41" fillId="126" borderId="120"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37" fillId="0" borderId="12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64"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5" fillId="0" borderId="153" applyNumberFormat="0" applyFill="0" applyAlignment="0" applyProtection="0"/>
    <xf numFmtId="0" fontId="265" fillId="0" borderId="153" applyNumberFormat="0" applyFill="0" applyAlignment="0" applyProtection="0"/>
    <xf numFmtId="0" fontId="265" fillId="0" borderId="153"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4" applyNumberFormat="0" applyFill="0" applyAlignment="0" applyProtection="0"/>
    <xf numFmtId="0" fontId="267" fillId="0" borderId="154" applyNumberFormat="0" applyFill="0" applyAlignment="0" applyProtection="0"/>
    <xf numFmtId="0" fontId="267" fillId="0" borderId="154"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5" applyNumberFormat="0" applyFill="0" applyAlignment="0" applyProtection="0"/>
    <xf numFmtId="0" fontId="269" fillId="0" borderId="155" applyNumberFormat="0" applyFill="0" applyAlignment="0" applyProtection="0"/>
    <xf numFmtId="0" fontId="269" fillId="0" borderId="155"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6"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9" applyFont="0" applyProtection="0">
      <alignment horizontal="right"/>
    </xf>
    <xf numFmtId="0" fontId="10" fillId="0" borderId="0"/>
    <xf numFmtId="3" fontId="2" fillId="70" borderId="119" applyFont="0" applyProtection="0">
      <alignment horizontal="right"/>
    </xf>
    <xf numFmtId="0" fontId="2" fillId="0" borderId="0" applyNumberFormat="0" applyFont="0" applyFill="0" applyBorder="0" applyAlignment="0" applyProtection="0"/>
    <xf numFmtId="3" fontId="2" fillId="70" borderId="119" applyFont="0" applyProtection="0">
      <alignment horizontal="right"/>
    </xf>
    <xf numFmtId="3" fontId="2" fillId="70" borderId="119" applyFont="0" applyProtection="0">
      <alignment horizontal="right"/>
    </xf>
    <xf numFmtId="3" fontId="2" fillId="70" borderId="119" applyFont="0" applyProtection="0">
      <alignment horizontal="right"/>
    </xf>
    <xf numFmtId="3"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 fontId="2" fillId="70" borderId="119" applyFont="0" applyProtection="0">
      <alignment horizontal="right"/>
    </xf>
    <xf numFmtId="3" fontId="2" fillId="70" borderId="119" applyFont="0" applyProtection="0">
      <alignment horizontal="right"/>
    </xf>
    <xf numFmtId="3" fontId="2" fillId="70" borderId="119" applyFont="0" applyProtection="0">
      <alignment horizontal="right"/>
    </xf>
    <xf numFmtId="3"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70" borderId="119" applyFont="0" applyProtection="0">
      <alignment horizontal="right"/>
    </xf>
    <xf numFmtId="0" fontId="10" fillId="0" borderId="0"/>
    <xf numFmtId="10" fontId="2" fillId="70" borderId="119" applyFont="0" applyProtection="0">
      <alignment horizontal="right"/>
    </xf>
    <xf numFmtId="0" fontId="2" fillId="0" borderId="0" applyNumberFormat="0" applyFont="0" applyFill="0" applyBorder="0" applyAlignment="0" applyProtection="0"/>
    <xf numFmtId="10" fontId="2" fillId="70" borderId="119" applyFont="0" applyProtection="0">
      <alignment horizontal="right"/>
    </xf>
    <xf numFmtId="10" fontId="2" fillId="70" borderId="119" applyFont="0" applyProtection="0">
      <alignment horizontal="right"/>
    </xf>
    <xf numFmtId="10" fontId="2" fillId="70" borderId="119" applyFont="0" applyProtection="0">
      <alignment horizontal="right"/>
    </xf>
    <xf numFmtId="10"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0" fontId="2" fillId="70" borderId="119" applyFont="0" applyProtection="0">
      <alignment horizontal="right"/>
    </xf>
    <xf numFmtId="10" fontId="2" fillId="70" borderId="119" applyFont="0" applyProtection="0">
      <alignment horizontal="right"/>
    </xf>
    <xf numFmtId="10" fontId="2" fillId="70" borderId="119" applyFont="0" applyProtection="0">
      <alignment horizontal="right"/>
    </xf>
    <xf numFmtId="10"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70" borderId="119" applyFont="0" applyProtection="0">
      <alignment horizontal="right"/>
    </xf>
    <xf numFmtId="0" fontId="10" fillId="0" borderId="0"/>
    <xf numFmtId="9" fontId="2" fillId="70" borderId="119" applyFont="0" applyProtection="0">
      <alignment horizontal="right"/>
    </xf>
    <xf numFmtId="0" fontId="2" fillId="0" borderId="0" applyNumberFormat="0" applyFont="0" applyFill="0" applyBorder="0" applyAlignment="0" applyProtection="0"/>
    <xf numFmtId="9" fontId="2" fillId="70" borderId="119" applyFont="0" applyProtection="0">
      <alignment horizontal="right"/>
    </xf>
    <xf numFmtId="9" fontId="2" fillId="70" borderId="119" applyFont="0" applyProtection="0">
      <alignment horizontal="right"/>
    </xf>
    <xf numFmtId="9" fontId="2" fillId="70" borderId="119" applyFont="0" applyProtection="0">
      <alignment horizontal="right"/>
    </xf>
    <xf numFmtId="9"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9" fontId="2" fillId="70" borderId="119" applyFont="0" applyProtection="0">
      <alignment horizontal="right"/>
    </xf>
    <xf numFmtId="9" fontId="2" fillId="70" borderId="119" applyFont="0" applyProtection="0">
      <alignment horizontal="right"/>
    </xf>
    <xf numFmtId="9" fontId="2" fillId="70" borderId="119" applyFont="0" applyProtection="0">
      <alignment horizontal="right"/>
    </xf>
    <xf numFmtId="9" fontId="2" fillId="70" borderId="119" applyFont="0" applyProtection="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70" borderId="12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0" applyNumberFormat="0" applyFont="0" applyBorder="0" applyAlignment="0" applyProtection="0">
      <alignment horizontal="left"/>
    </xf>
    <xf numFmtId="0" fontId="2" fillId="0" borderId="0" applyNumberFormat="0" applyFont="0" applyFill="0" applyBorder="0" applyAlignment="0" applyProtection="0"/>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3" fontId="210" fillId="0" borderId="129">
      <alignment vertical="center"/>
    </xf>
    <xf numFmtId="0" fontId="2" fillId="0" borderId="0" applyNumberFormat="0" applyFont="0" applyFill="0" applyBorder="0" applyAlignment="0" applyProtection="0"/>
    <xf numFmtId="0" fontId="10" fillId="0" borderId="0"/>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0" fontId="2" fillId="70" borderId="120" applyNumberFormat="0" applyFont="0" applyBorder="0" applyAlignment="0" applyProtection="0">
      <alignment horizontal="left"/>
    </xf>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29">
      <alignment vertical="center"/>
    </xf>
    <xf numFmtId="37" fontId="45" fillId="0" borderId="0"/>
    <xf numFmtId="295" fontId="45" fillId="0" borderId="0"/>
    <xf numFmtId="3" fontId="210" fillId="0" borderId="129">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9" applyNumberFormat="0" applyBorder="0" applyAlignment="0" applyProtection="0"/>
    <xf numFmtId="0" fontId="10" fillId="0" borderId="0"/>
    <xf numFmtId="10" fontId="19" fillId="107" borderId="119" applyNumberFormat="0" applyBorder="0" applyAlignment="0" applyProtection="0"/>
    <xf numFmtId="10" fontId="19" fillId="107" borderId="119" applyNumberFormat="0" applyBorder="0" applyAlignment="0" applyProtection="0"/>
    <xf numFmtId="10" fontId="19" fillId="107" borderId="119" applyNumberFormat="0" applyBorder="0" applyAlignment="0" applyProtection="0"/>
    <xf numFmtId="10" fontId="19" fillId="107" borderId="119" applyNumberFormat="0" applyBorder="0" applyAlignment="0" applyProtection="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10" fillId="0" borderId="0"/>
    <xf numFmtId="0" fontId="10" fillId="0" borderId="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272" fillId="0" borderId="72">
      <protection locked="0"/>
    </xf>
    <xf numFmtId="0" fontId="272" fillId="0" borderId="72">
      <protection locked="0"/>
    </xf>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72" fillId="0" borderId="72">
      <protection locked="0"/>
    </xf>
    <xf numFmtId="0" fontId="272" fillId="0" borderId="72">
      <protection locked="0"/>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56">
      <alignment horizontal="right" vertical="center"/>
      <protection locked="0"/>
    </xf>
    <xf numFmtId="310" fontId="272" fillId="88" borderId="156">
      <alignment horizontal="right" vertical="center"/>
      <protection locked="0"/>
    </xf>
    <xf numFmtId="310" fontId="272" fillId="88" borderId="156">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2" fontId="234"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29">
      <alignment vertical="center"/>
    </xf>
    <xf numFmtId="311" fontId="2" fillId="71" borderId="119" applyFont="0" applyAlignment="0">
      <protection locked="0"/>
    </xf>
    <xf numFmtId="0" fontId="10" fillId="0" borderId="0"/>
    <xf numFmtId="311" fontId="2" fillId="71" borderId="119" applyFont="0" applyAlignment="0">
      <protection locked="0"/>
    </xf>
    <xf numFmtId="0" fontId="2" fillId="0" borderId="0" applyNumberFormat="0" applyFont="0" applyFill="0" applyBorder="0" applyAlignment="0" applyProtection="0"/>
    <xf numFmtId="311" fontId="2" fillId="71" borderId="119" applyFont="0" applyAlignment="0">
      <protection locked="0"/>
    </xf>
    <xf numFmtId="311" fontId="2" fillId="71" borderId="119" applyFont="0" applyAlignment="0">
      <protection locked="0"/>
    </xf>
    <xf numFmtId="311" fontId="2" fillId="71" borderId="119" applyFont="0" applyAlignment="0">
      <protection locked="0"/>
    </xf>
    <xf numFmtId="311" fontId="2" fillId="71" borderId="119" applyFont="0" applyAlignment="0">
      <protection locked="0"/>
    </xf>
    <xf numFmtId="3" fontId="210" fillId="0" borderId="129">
      <alignment vertical="center"/>
    </xf>
    <xf numFmtId="0" fontId="2" fillId="0" borderId="0" applyNumberFormat="0" applyFont="0" applyFill="0" applyBorder="0" applyAlignment="0" applyProtection="0"/>
    <xf numFmtId="0" fontId="10" fillId="0" borderId="0"/>
    <xf numFmtId="311" fontId="2" fillId="71" borderId="119" applyFont="0" applyAlignment="0">
      <protection locked="0"/>
    </xf>
    <xf numFmtId="311" fontId="2" fillId="71" borderId="119" applyFont="0" applyAlignment="0">
      <protection locked="0"/>
    </xf>
    <xf numFmtId="311" fontId="2" fillId="71" borderId="119" applyFont="0" applyAlignment="0">
      <protection locked="0"/>
    </xf>
    <xf numFmtId="311" fontId="2" fillId="71" borderId="119" applyFont="0" applyAlignment="0">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 fillId="71" borderId="119" applyFont="0">
      <alignment horizontal="right"/>
      <protection locked="0"/>
    </xf>
    <xf numFmtId="0" fontId="10" fillId="0" borderId="0"/>
    <xf numFmtId="3" fontId="2" fillId="71" borderId="11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9" applyFont="0">
      <alignment horizontal="right" vertical="center"/>
      <protection locked="0"/>
    </xf>
    <xf numFmtId="3" fontId="2" fillId="71" borderId="119" applyFont="0">
      <alignment horizontal="right" vertical="center"/>
      <protection locked="0"/>
    </xf>
    <xf numFmtId="3" fontId="2" fillId="71" borderId="119" applyFont="0">
      <alignment horizontal="right" vertical="center"/>
      <protection locked="0"/>
    </xf>
    <xf numFmtId="3" fontId="2" fillId="71" borderId="119" applyFont="0">
      <alignment horizontal="right" vertical="center"/>
      <protection locked="0"/>
    </xf>
    <xf numFmtId="3" fontId="2" fillId="71" borderId="119" applyFont="0">
      <alignment horizontal="right"/>
      <protection locked="0"/>
    </xf>
    <xf numFmtId="3" fontId="2" fillId="71" borderId="119" applyFont="0">
      <alignment horizontal="right"/>
      <protection locked="0"/>
    </xf>
    <xf numFmtId="3" fontId="2" fillId="71" borderId="119" applyFont="0">
      <alignment horizontal="right"/>
      <protection locked="0"/>
    </xf>
    <xf numFmtId="3" fontId="2" fillId="71" borderId="119" applyFont="0">
      <alignment horizontal="right"/>
      <protection locked="0"/>
    </xf>
    <xf numFmtId="3"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3" fontId="2" fillId="71" borderId="119" applyFont="0">
      <alignment horizontal="right"/>
      <protection locked="0"/>
    </xf>
    <xf numFmtId="3" fontId="2" fillId="71" borderId="119" applyFont="0">
      <alignment horizontal="right"/>
      <protection locked="0"/>
    </xf>
    <xf numFmtId="3" fontId="2" fillId="71" borderId="119" applyFont="0">
      <alignment horizontal="right"/>
      <protection locked="0"/>
    </xf>
    <xf numFmtId="3"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60" fontId="2" fillId="71" borderId="119" applyFont="0">
      <alignment horizontal="right"/>
      <protection locked="0"/>
    </xf>
    <xf numFmtId="0" fontId="10" fillId="0" borderId="0"/>
    <xf numFmtId="260" fontId="2" fillId="71" borderId="119" applyFont="0">
      <alignment horizontal="right"/>
      <protection locked="0"/>
    </xf>
    <xf numFmtId="0" fontId="2" fillId="0" borderId="0" applyNumberFormat="0" applyFont="0" applyFill="0" applyBorder="0" applyAlignment="0" applyProtection="0"/>
    <xf numFmtId="260" fontId="2" fillId="71" borderId="119" applyFont="0">
      <alignment horizontal="right"/>
      <protection locked="0"/>
    </xf>
    <xf numFmtId="260" fontId="2" fillId="71" borderId="119" applyFont="0">
      <alignment horizontal="right"/>
      <protection locked="0"/>
    </xf>
    <xf numFmtId="260" fontId="2" fillId="71" borderId="119" applyFont="0">
      <alignment horizontal="right"/>
      <protection locked="0"/>
    </xf>
    <xf numFmtId="260"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260" fontId="2" fillId="71" borderId="119" applyFont="0">
      <alignment horizontal="right"/>
      <protection locked="0"/>
    </xf>
    <xf numFmtId="260" fontId="2" fillId="71" borderId="119" applyFont="0">
      <alignment horizontal="right"/>
      <protection locked="0"/>
    </xf>
    <xf numFmtId="260" fontId="2" fillId="71" borderId="119" applyFont="0">
      <alignment horizontal="right"/>
      <protection locked="0"/>
    </xf>
    <xf numFmtId="260"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10" fontId="2" fillId="71" borderId="119" applyFont="0">
      <alignment horizontal="right"/>
      <protection locked="0"/>
    </xf>
    <xf numFmtId="0" fontId="10" fillId="0" borderId="0"/>
    <xf numFmtId="10" fontId="2" fillId="71" borderId="119" applyFont="0">
      <alignment horizontal="right"/>
      <protection locked="0"/>
    </xf>
    <xf numFmtId="0" fontId="2" fillId="0" borderId="0" applyNumberFormat="0" applyFont="0" applyFill="0" applyBorder="0" applyAlignment="0" applyProtection="0"/>
    <xf numFmtId="10" fontId="2" fillId="71" borderId="119" applyFont="0">
      <alignment horizontal="right"/>
      <protection locked="0"/>
    </xf>
    <xf numFmtId="10" fontId="2" fillId="71" borderId="119" applyFont="0">
      <alignment horizontal="right"/>
      <protection locked="0"/>
    </xf>
    <xf numFmtId="10" fontId="2" fillId="71" borderId="119" applyFont="0">
      <alignment horizontal="right"/>
      <protection locked="0"/>
    </xf>
    <xf numFmtId="10"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10" fontId="2" fillId="71" borderId="119" applyFont="0">
      <alignment horizontal="right"/>
      <protection locked="0"/>
    </xf>
    <xf numFmtId="10" fontId="2" fillId="71" borderId="119" applyFont="0">
      <alignment horizontal="right"/>
      <protection locked="0"/>
    </xf>
    <xf numFmtId="10" fontId="2" fillId="71" borderId="119" applyFont="0">
      <alignment horizontal="right"/>
      <protection locked="0"/>
    </xf>
    <xf numFmtId="10" fontId="2" fillId="71"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71" borderId="12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3" applyFont="0">
      <alignment horizontal="right"/>
      <protection locked="0"/>
    </xf>
    <xf numFmtId="9" fontId="2" fillId="71" borderId="123" applyFont="0">
      <alignment horizontal="right"/>
      <protection locked="0"/>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3" applyFont="0">
      <alignment horizontal="right"/>
      <protection locked="0"/>
    </xf>
    <xf numFmtId="9" fontId="2" fillId="71" borderId="123" applyFont="0">
      <alignment horizontal="right"/>
      <protection locked="0"/>
    </xf>
    <xf numFmtId="9" fontId="2" fillId="71" borderId="123" applyFont="0">
      <alignment horizontal="right"/>
      <protection locked="0"/>
    </xf>
    <xf numFmtId="9" fontId="2" fillId="71" borderId="123" applyFont="0">
      <alignment horizontal="right"/>
      <protection locked="0"/>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71" borderId="119" applyFont="0">
      <alignment horizontal="center" wrapText="1"/>
      <protection locked="0"/>
    </xf>
    <xf numFmtId="0" fontId="10" fillId="0" borderId="0"/>
    <xf numFmtId="0" fontId="2" fillId="71" borderId="119" applyFont="0">
      <alignment horizontal="center" wrapText="1"/>
      <protection locked="0"/>
    </xf>
    <xf numFmtId="0" fontId="2" fillId="0" borderId="0" applyNumberFormat="0" applyFont="0" applyFill="0" applyBorder="0" applyAlignment="0" applyProtection="0"/>
    <xf numFmtId="0" fontId="2" fillId="71" borderId="119" applyFont="0">
      <alignment horizontal="center" wrapText="1"/>
      <protection locked="0"/>
    </xf>
    <xf numFmtId="0" fontId="2" fillId="71" borderId="119" applyFont="0">
      <alignment horizontal="center" wrapText="1"/>
      <protection locked="0"/>
    </xf>
    <xf numFmtId="0" fontId="2" fillId="71" borderId="119" applyFont="0">
      <alignment horizontal="center" wrapText="1"/>
      <protection locked="0"/>
    </xf>
    <xf numFmtId="0" fontId="2" fillId="71" borderId="119"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2" fillId="71" borderId="119" applyFont="0">
      <alignment horizontal="center" wrapText="1"/>
      <protection locked="0"/>
    </xf>
    <xf numFmtId="0" fontId="2" fillId="71" borderId="119" applyFont="0">
      <alignment horizontal="center" wrapText="1"/>
      <protection locked="0"/>
    </xf>
    <xf numFmtId="0" fontId="2" fillId="71" borderId="119" applyFont="0">
      <alignment horizontal="center" wrapText="1"/>
      <protection locked="0"/>
    </xf>
    <xf numFmtId="0" fontId="2" fillId="71" borderId="119"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49" fontId="2" fillId="71" borderId="119" applyFont="0" applyAlignment="0">
      <protection locked="0"/>
    </xf>
    <xf numFmtId="0" fontId="10" fillId="0" borderId="0"/>
    <xf numFmtId="0" fontId="10" fillId="0" borderId="0"/>
    <xf numFmtId="3" fontId="210" fillId="0" borderId="129">
      <alignment vertical="center"/>
    </xf>
    <xf numFmtId="0" fontId="10" fillId="0" borderId="0"/>
    <xf numFmtId="0" fontId="10" fillId="0" borderId="0"/>
    <xf numFmtId="49" fontId="2" fillId="71" borderId="119"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17" fontId="161"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17" fontId="229" fillId="96" borderId="157"/>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29">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0" applyAlignment="0" applyProtection="0">
      <alignment horizontal="centerContinuous"/>
    </xf>
    <xf numFmtId="19" fontId="281" fillId="0" borderId="130" applyAlignment="0" applyProtection="0">
      <alignment horizontal="centerContinuous"/>
    </xf>
    <xf numFmtId="3" fontId="210" fillId="0" borderId="129">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29">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1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1" applyNumberFormat="0" applyFill="0" applyBorder="0" applyAlignment="0"/>
    <xf numFmtId="17" fontId="45" fillId="131" borderId="131" applyNumberFormat="0" applyFill="0" applyBorder="0" applyAlignment="0"/>
    <xf numFmtId="3" fontId="210" fillId="0" borderId="129">
      <alignment vertical="center"/>
    </xf>
    <xf numFmtId="3" fontId="210" fillId="0" borderId="129">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37" fontId="283" fillId="0" borderId="0"/>
    <xf numFmtId="295" fontId="283"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238" fillId="69" borderId="119"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29">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xf numFmtId="0" fontId="2" fillId="0" borderId="0" applyNumberFormat="0" applyFont="0" applyFill="0" applyBorder="0" applyAlignment="0" applyProtection="0"/>
    <xf numFmtId="3" fontId="210" fillId="0" borderId="129">
      <alignment vertical="center"/>
    </xf>
    <xf numFmtId="0" fontId="2" fillId="0" borderId="0"/>
    <xf numFmtId="0" fontId="2" fillId="0" borderId="0" applyNumberFormat="0" applyFont="0" applyFill="0" applyBorder="0" applyAlignment="0" applyProtection="0"/>
    <xf numFmtId="3" fontId="210" fillId="0" borderId="129">
      <alignment vertical="center"/>
    </xf>
    <xf numFmtId="0" fontId="2" fillId="0" borderId="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284" fillId="104" borderId="122">
      <alignment horizontal="center" vertical="top" wrapText="1"/>
    </xf>
    <xf numFmtId="0" fontId="284" fillId="104" borderId="122">
      <alignment horizontal="center" vertical="top" wrapText="1"/>
    </xf>
    <xf numFmtId="0" fontId="284" fillId="104" borderId="122">
      <alignment horizontal="center" vertical="top" wrapText="1"/>
    </xf>
    <xf numFmtId="0" fontId="284" fillId="104" borderId="12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xf numFmtId="0" fontId="2" fillId="0" borderId="121"/>
    <xf numFmtId="0" fontId="2" fillId="0" borderId="121"/>
    <xf numFmtId="0" fontId="2"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0"/>
    <xf numFmtId="0" fontId="45" fillId="70" borderId="120"/>
    <xf numFmtId="0" fontId="45" fillId="70" borderId="120"/>
    <xf numFmtId="0" fontId="45" fillId="7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2">
      <alignment horizontal="center" vertical="top"/>
    </xf>
    <xf numFmtId="0" fontId="284" fillId="132" borderId="12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0"/>
    <xf numFmtId="0" fontId="45" fillId="0" borderId="120"/>
    <xf numFmtId="0" fontId="45" fillId="0" borderId="120"/>
    <xf numFmtId="0" fontId="45" fillId="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3"/>
    <xf numFmtId="0" fontId="28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2">
      <alignment horizontal="center" vertical="top" wrapText="1"/>
    </xf>
    <xf numFmtId="0" fontId="284" fillId="132" borderId="122">
      <alignment horizontal="center" vertical="top" wrapText="1"/>
    </xf>
    <xf numFmtId="0" fontId="284" fillId="132" borderId="122">
      <alignment horizontal="center" vertical="top" wrapText="1"/>
    </xf>
    <xf numFmtId="0" fontId="284" fillId="132" borderId="12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1"/>
    <xf numFmtId="3" fontId="2" fillId="0" borderId="121"/>
    <xf numFmtId="3" fontId="2" fillId="0" borderId="121"/>
    <xf numFmtId="3" fontId="2"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0">
      <alignment horizontal="center"/>
    </xf>
    <xf numFmtId="0" fontId="45" fillId="70" borderId="120">
      <alignment horizontal="center"/>
    </xf>
    <xf numFmtId="0" fontId="45" fillId="70" borderId="120">
      <alignment horizontal="center"/>
    </xf>
    <xf numFmtId="0" fontId="45" fillId="70" borderId="12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1">
      <alignment horizontal="center" vertical="center"/>
    </xf>
    <xf numFmtId="0" fontId="284" fillId="132" borderId="121">
      <alignment horizontal="center" vertical="center"/>
    </xf>
    <xf numFmtId="0" fontId="2" fillId="0" borderId="0" applyNumberFormat="0" applyFont="0" applyFill="0" applyBorder="0" applyAlignment="0" applyProtection="0"/>
    <xf numFmtId="0" fontId="284" fillId="132" borderId="122">
      <alignment horizontal="center" vertical="center"/>
    </xf>
    <xf numFmtId="0" fontId="284" fillId="132" borderId="122">
      <alignment horizontal="center" vertical="center"/>
    </xf>
    <xf numFmtId="0" fontId="284" fillId="132" borderId="122">
      <alignment horizontal="center" vertical="center"/>
    </xf>
    <xf numFmtId="0" fontId="284" fillId="132" borderId="122">
      <alignment horizontal="center" vertical="center"/>
    </xf>
    <xf numFmtId="0" fontId="2" fillId="0" borderId="0" applyNumberFormat="0" applyFont="0" applyFill="0" applyBorder="0" applyAlignment="0" applyProtection="0"/>
    <xf numFmtId="0" fontId="284" fillId="104" borderId="120">
      <alignment horizontal="center" vertical="center"/>
    </xf>
    <xf numFmtId="0" fontId="284" fillId="104" borderId="120">
      <alignment horizontal="center" vertical="center"/>
    </xf>
    <xf numFmtId="0" fontId="284" fillId="104" borderId="120">
      <alignment horizontal="center" vertical="center"/>
    </xf>
    <xf numFmtId="0" fontId="284" fillId="104" borderId="12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1">
      <alignment horizontal="center" vertical="center"/>
    </xf>
    <xf numFmtId="0" fontId="284" fillId="104" borderId="121">
      <alignment horizontal="center" vertical="center"/>
    </xf>
    <xf numFmtId="0" fontId="2" fillId="0" borderId="0" applyNumberFormat="0" applyFont="0" applyFill="0" applyBorder="0" applyAlignment="0" applyProtection="0"/>
    <xf numFmtId="0" fontId="284" fillId="104" borderId="122">
      <alignment horizontal="center" vertical="center"/>
    </xf>
    <xf numFmtId="0" fontId="284" fillId="104" borderId="122">
      <alignment horizontal="center" vertical="center"/>
    </xf>
    <xf numFmtId="0" fontId="284" fillId="104" borderId="122">
      <alignment horizontal="center" vertical="center"/>
    </xf>
    <xf numFmtId="0" fontId="284" fillId="104" borderId="12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 fillId="73" borderId="146" applyNumberFormat="0" applyFont="0" applyAlignment="0" applyProtection="0"/>
    <xf numFmtId="0" fontId="2" fillId="73" borderId="146" applyNumberFormat="0" applyFont="0" applyAlignment="0" applyProtection="0"/>
    <xf numFmtId="3" fontId="210" fillId="0" borderId="129">
      <alignment vertical="center"/>
    </xf>
    <xf numFmtId="0" fontId="287"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238" fillId="0" borderId="72"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19">
      <alignment horizontal="right"/>
      <protection locked="0"/>
    </xf>
    <xf numFmtId="0" fontId="10" fillId="0" borderId="0"/>
    <xf numFmtId="3" fontId="2" fillId="74" borderId="119">
      <alignment horizontal="right"/>
      <protection locked="0"/>
    </xf>
    <xf numFmtId="0" fontId="2" fillId="0" borderId="0" applyNumberFormat="0" applyFont="0" applyFill="0" applyBorder="0" applyAlignment="0" applyProtection="0"/>
    <xf numFmtId="3" fontId="2" fillId="74" borderId="119">
      <alignment horizontal="right"/>
      <protection locked="0"/>
    </xf>
    <xf numFmtId="3" fontId="2" fillId="74" borderId="119">
      <alignment horizontal="right"/>
      <protection locked="0"/>
    </xf>
    <xf numFmtId="3" fontId="2" fillId="74" borderId="119">
      <alignment horizontal="right"/>
      <protection locked="0"/>
    </xf>
    <xf numFmtId="3"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3" fontId="2" fillId="74" borderId="119">
      <alignment horizontal="right"/>
      <protection locked="0"/>
    </xf>
    <xf numFmtId="3" fontId="2" fillId="74" borderId="119">
      <alignment horizontal="right"/>
      <protection locked="0"/>
    </xf>
    <xf numFmtId="3" fontId="2" fillId="74" borderId="119">
      <alignment horizontal="right"/>
      <protection locked="0"/>
    </xf>
    <xf numFmtId="3"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60" fontId="2" fillId="74" borderId="119">
      <alignment horizontal="right"/>
      <protection locked="0"/>
    </xf>
    <xf numFmtId="0" fontId="10" fillId="0" borderId="0"/>
    <xf numFmtId="260" fontId="2" fillId="74" borderId="119">
      <alignment horizontal="right"/>
      <protection locked="0"/>
    </xf>
    <xf numFmtId="0" fontId="2" fillId="0" borderId="0" applyNumberFormat="0" applyFont="0" applyFill="0" applyBorder="0" applyAlignment="0" applyProtection="0"/>
    <xf numFmtId="260" fontId="2" fillId="74" borderId="119">
      <alignment horizontal="right"/>
      <protection locked="0"/>
    </xf>
    <xf numFmtId="260" fontId="2" fillId="74" borderId="119">
      <alignment horizontal="right"/>
      <protection locked="0"/>
    </xf>
    <xf numFmtId="260" fontId="2" fillId="74" borderId="119">
      <alignment horizontal="right"/>
      <protection locked="0"/>
    </xf>
    <xf numFmtId="260"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260" fontId="2" fillId="74" borderId="119">
      <alignment horizontal="right"/>
      <protection locked="0"/>
    </xf>
    <xf numFmtId="260" fontId="2" fillId="74" borderId="119">
      <alignment horizontal="right"/>
      <protection locked="0"/>
    </xf>
    <xf numFmtId="260" fontId="2" fillId="74" borderId="119">
      <alignment horizontal="right"/>
      <protection locked="0"/>
    </xf>
    <xf numFmtId="260"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74" borderId="119" applyFont="0">
      <alignment horizontal="right"/>
      <protection locked="0"/>
    </xf>
    <xf numFmtId="0" fontId="10" fillId="0" borderId="0"/>
    <xf numFmtId="10" fontId="2" fillId="74" borderId="119" applyFont="0">
      <alignment horizontal="right"/>
      <protection locked="0"/>
    </xf>
    <xf numFmtId="0" fontId="2" fillId="0" borderId="0" applyNumberFormat="0" applyFont="0" applyFill="0" applyBorder="0" applyAlignment="0" applyProtection="0"/>
    <xf numFmtId="10" fontId="2" fillId="74" borderId="119" applyFont="0">
      <alignment horizontal="right"/>
      <protection locked="0"/>
    </xf>
    <xf numFmtId="10" fontId="2" fillId="74" borderId="119" applyFont="0">
      <alignment horizontal="right"/>
      <protection locked="0"/>
    </xf>
    <xf numFmtId="10" fontId="2" fillId="74" borderId="119" applyFont="0">
      <alignment horizontal="right"/>
      <protection locked="0"/>
    </xf>
    <xf numFmtId="10" fontId="2" fillId="74"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10" fontId="2" fillId="74" borderId="119" applyFont="0">
      <alignment horizontal="right"/>
      <protection locked="0"/>
    </xf>
    <xf numFmtId="10" fontId="2" fillId="74" borderId="119" applyFont="0">
      <alignment horizontal="right"/>
      <protection locked="0"/>
    </xf>
    <xf numFmtId="10" fontId="2" fillId="74" borderId="119" applyFont="0">
      <alignment horizontal="right"/>
      <protection locked="0"/>
    </xf>
    <xf numFmtId="10" fontId="2" fillId="74" borderId="119" applyFont="0">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74" borderId="119">
      <alignment horizontal="right"/>
      <protection locked="0"/>
    </xf>
    <xf numFmtId="0" fontId="10" fillId="0" borderId="0"/>
    <xf numFmtId="9" fontId="2" fillId="74" borderId="119">
      <alignment horizontal="right"/>
      <protection locked="0"/>
    </xf>
    <xf numFmtId="0" fontId="2" fillId="0" borderId="0" applyNumberFormat="0" applyFont="0" applyFill="0" applyBorder="0" applyAlignment="0" applyProtection="0"/>
    <xf numFmtId="9" fontId="2" fillId="74" borderId="119">
      <alignment horizontal="right"/>
      <protection locked="0"/>
    </xf>
    <xf numFmtId="9" fontId="2" fillId="74" borderId="119">
      <alignment horizontal="right"/>
      <protection locked="0"/>
    </xf>
    <xf numFmtId="9" fontId="2" fillId="74" borderId="119">
      <alignment horizontal="right"/>
      <protection locked="0"/>
    </xf>
    <xf numFmtId="9"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9" fontId="2" fillId="74" borderId="119">
      <alignment horizontal="right"/>
      <protection locked="0"/>
    </xf>
    <xf numFmtId="9" fontId="2" fillId="74" borderId="119">
      <alignment horizontal="right"/>
      <protection locked="0"/>
    </xf>
    <xf numFmtId="9" fontId="2" fillId="74" borderId="119">
      <alignment horizontal="right"/>
      <protection locked="0"/>
    </xf>
    <xf numFmtId="9" fontId="2" fillId="74" borderId="119">
      <alignment horizontal="right"/>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331" fontId="2" fillId="74" borderId="119" applyFont="0">
      <alignment horizontal="right" vertical="center"/>
      <protection locked="0"/>
    </xf>
    <xf numFmtId="331" fontId="2" fillId="74" borderId="119" applyFont="0">
      <alignment horizontal="right" vertical="center"/>
      <protection locked="0"/>
    </xf>
    <xf numFmtId="331" fontId="2" fillId="74" borderId="119" applyFont="0">
      <alignment horizontal="right" vertical="center"/>
      <protection locked="0"/>
    </xf>
    <xf numFmtId="331" fontId="2" fillId="74" borderId="119" applyFont="0">
      <alignment horizontal="right" vertical="center"/>
      <protection locked="0"/>
    </xf>
    <xf numFmtId="331" fontId="2" fillId="74" borderId="11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74" borderId="119">
      <alignment horizontal="center" wrapText="1"/>
    </xf>
    <xf numFmtId="0" fontId="10" fillId="0" borderId="0"/>
    <xf numFmtId="0" fontId="2" fillId="74" borderId="119">
      <alignment horizontal="center" wrapText="1"/>
    </xf>
    <xf numFmtId="0" fontId="2" fillId="0" borderId="0" applyNumberFormat="0" applyFont="0" applyFill="0" applyBorder="0" applyAlignment="0" applyProtection="0"/>
    <xf numFmtId="0" fontId="2" fillId="74" borderId="119">
      <alignment horizontal="center" wrapText="1"/>
    </xf>
    <xf numFmtId="0" fontId="2" fillId="74" borderId="119">
      <alignment horizontal="center" wrapText="1"/>
    </xf>
    <xf numFmtId="0" fontId="2" fillId="74" borderId="119">
      <alignment horizontal="center" wrapText="1"/>
    </xf>
    <xf numFmtId="0" fontId="2" fillId="74" borderId="119">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0" fontId="2" fillId="74" borderId="119">
      <alignment horizontal="center" wrapText="1"/>
    </xf>
    <xf numFmtId="0" fontId="2" fillId="74" borderId="119">
      <alignment horizontal="center" wrapText="1"/>
    </xf>
    <xf numFmtId="0" fontId="2" fillId="74" borderId="119">
      <alignment horizontal="center" wrapText="1"/>
    </xf>
    <xf numFmtId="0" fontId="2" fillId="74" borderId="119">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74" borderId="119" applyNumberFormat="0" applyFont="0">
      <alignment horizontal="center" wrapText="1"/>
      <protection locked="0"/>
    </xf>
    <xf numFmtId="0" fontId="10" fillId="0" borderId="0"/>
    <xf numFmtId="0" fontId="2" fillId="74" borderId="119" applyNumberFormat="0" applyFont="0">
      <alignment horizontal="center" wrapText="1"/>
      <protection locked="0"/>
    </xf>
    <xf numFmtId="0" fontId="2" fillId="0" borderId="0" applyNumberFormat="0" applyFont="0" applyFill="0" applyBorder="0" applyAlignment="0" applyProtection="0"/>
    <xf numFmtId="0" fontId="2" fillId="74" borderId="119" applyNumberFormat="0" applyFont="0">
      <alignment horizontal="center" wrapText="1"/>
      <protection locked="0"/>
    </xf>
    <xf numFmtId="0" fontId="2" fillId="74" borderId="119" applyNumberFormat="0" applyFont="0">
      <alignment horizontal="center" wrapText="1"/>
      <protection locked="0"/>
    </xf>
    <xf numFmtId="0" fontId="2" fillId="74" borderId="119" applyNumberFormat="0" applyFont="0">
      <alignment horizontal="center" wrapText="1"/>
      <protection locked="0"/>
    </xf>
    <xf numFmtId="0" fontId="2" fillId="74" borderId="119" applyNumberFormat="0"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2" fillId="74" borderId="119" applyNumberFormat="0" applyFont="0">
      <alignment horizontal="center" wrapText="1"/>
      <protection locked="0"/>
    </xf>
    <xf numFmtId="0" fontId="2" fillId="74" borderId="119" applyNumberFormat="0" applyFont="0">
      <alignment horizontal="center" wrapText="1"/>
      <protection locked="0"/>
    </xf>
    <xf numFmtId="0" fontId="2" fillId="74" borderId="119" applyNumberFormat="0" applyFont="0">
      <alignment horizontal="center" wrapText="1"/>
      <protection locked="0"/>
    </xf>
    <xf numFmtId="0" fontId="2" fillId="74" borderId="119" applyNumberFormat="0"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66"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10" fillId="0" borderId="0"/>
    <xf numFmtId="0" fontId="10" fillId="0" borderId="0"/>
    <xf numFmtId="0" fontId="10" fillId="0" borderId="0"/>
    <xf numFmtId="0" fontId="10" fillId="0" borderId="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173" fontId="234"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3" fontId="289" fillId="135"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61"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9">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29">
      <alignment vertical="center"/>
    </xf>
    <xf numFmtId="10" fontId="2" fillId="0" borderId="164"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54"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29">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29">
      <alignment vertical="center"/>
    </xf>
    <xf numFmtId="0" fontId="10" fillId="0" borderId="0"/>
    <xf numFmtId="0" fontId="178" fillId="111"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3" fontId="2" fillId="95" borderId="119" applyFont="0">
      <alignment horizontal="right" vertical="center"/>
      <protection locked="0"/>
    </xf>
    <xf numFmtId="3" fontId="2" fillId="95" borderId="119" applyFont="0">
      <alignment horizontal="right" vertical="center"/>
      <protection locked="0"/>
    </xf>
    <xf numFmtId="3" fontId="2" fillId="95" borderId="119" applyFont="0">
      <alignment horizontal="right" vertical="center"/>
      <protection locked="0"/>
    </xf>
    <xf numFmtId="3" fontId="2" fillId="95" borderId="119" applyFont="0">
      <alignment horizontal="right" vertical="center"/>
      <protection locked="0"/>
    </xf>
    <xf numFmtId="3" fontId="2" fillId="95" borderId="119"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1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165" fontId="299" fillId="0" borderId="0">
      <alignment horizontal="right"/>
    </xf>
    <xf numFmtId="0" fontId="10" fillId="0" borderId="0"/>
    <xf numFmtId="0" fontId="2" fillId="0" borderId="16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300" fillId="88" borderId="159" applyNumberFormat="0" applyProtection="0">
      <alignment vertical="center"/>
    </xf>
    <xf numFmtId="4" fontId="300" fillId="88" borderId="159" applyNumberFormat="0" applyProtection="0">
      <alignment vertical="center"/>
    </xf>
    <xf numFmtId="4" fontId="300" fillId="88" borderId="159" applyNumberFormat="0" applyProtection="0">
      <alignment vertical="center"/>
    </xf>
    <xf numFmtId="4" fontId="300" fillId="88" borderId="159" applyNumberFormat="0" applyProtection="0">
      <alignment vertical="center"/>
    </xf>
    <xf numFmtId="4" fontId="300" fillId="88" borderId="159" applyNumberFormat="0" applyProtection="0">
      <alignment vertical="center"/>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189" fillId="137" borderId="159" applyNumberFormat="0" applyProtection="0">
      <alignment horizontal="left" vertical="center" indent="1"/>
    </xf>
    <xf numFmtId="4" fontId="189" fillId="137" borderId="159" applyNumberFormat="0" applyProtection="0">
      <alignment horizontal="left" vertical="center" indent="1"/>
    </xf>
    <xf numFmtId="4" fontId="189" fillId="137" borderId="159" applyNumberFormat="0" applyProtection="0">
      <alignment horizontal="left" vertical="center" indent="1"/>
    </xf>
    <xf numFmtId="4" fontId="189" fillId="137" borderId="159" applyNumberFormat="0" applyProtection="0">
      <alignment horizontal="left" vertical="center" indent="1"/>
    </xf>
    <xf numFmtId="4" fontId="189" fillId="137" borderId="159"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301" fillId="139" borderId="0"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7"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300" fillId="107" borderId="159" applyNumberFormat="0" applyProtection="0">
      <alignment vertical="center"/>
    </xf>
    <xf numFmtId="4" fontId="300" fillId="107" borderId="159" applyNumberFormat="0" applyProtection="0">
      <alignment vertical="center"/>
    </xf>
    <xf numFmtId="4" fontId="300" fillId="107" borderId="159" applyNumberFormat="0" applyProtection="0">
      <alignment vertical="center"/>
    </xf>
    <xf numFmtId="4" fontId="300" fillId="107" borderId="159" applyNumberFormat="0" applyProtection="0">
      <alignment vertical="center"/>
    </xf>
    <xf numFmtId="4" fontId="300" fillId="107" borderId="159" applyNumberFormat="0" applyProtection="0">
      <alignment vertical="center"/>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7" applyProtection="0">
      <alignment horizontal="right" vertical="center"/>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4" fontId="300" fillId="138" borderId="159" applyNumberFormat="0" applyProtection="0">
      <alignment horizontal="right" vertical="center"/>
    </xf>
    <xf numFmtId="4" fontId="300" fillId="138" borderId="159" applyNumberFormat="0" applyProtection="0">
      <alignment horizontal="right" vertical="center"/>
    </xf>
    <xf numFmtId="4" fontId="300" fillId="138" borderId="159" applyNumberFormat="0" applyProtection="0">
      <alignment horizontal="right" vertical="center"/>
    </xf>
    <xf numFmtId="4" fontId="300" fillId="138" borderId="159" applyNumberFormat="0" applyProtection="0">
      <alignment horizontal="right" vertical="center"/>
    </xf>
    <xf numFmtId="4" fontId="300" fillId="138" borderId="159" applyNumberFormat="0" applyProtection="0">
      <alignment horizontal="right" vertical="center"/>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302" fillId="0" borderId="0"/>
    <xf numFmtId="4" fontId="207" fillId="138" borderId="159" applyNumberFormat="0" applyProtection="0">
      <alignment horizontal="right" vertical="center"/>
    </xf>
    <xf numFmtId="4" fontId="207" fillId="138" borderId="159" applyNumberFormat="0" applyProtection="0">
      <alignment horizontal="right" vertical="center"/>
    </xf>
    <xf numFmtId="4" fontId="207" fillId="138" borderId="159" applyNumberFormat="0" applyProtection="0">
      <alignment horizontal="right" vertical="center"/>
    </xf>
    <xf numFmtId="4" fontId="207" fillId="138" borderId="159" applyNumberFormat="0" applyProtection="0">
      <alignment horizontal="right" vertical="center"/>
    </xf>
    <xf numFmtId="4" fontId="207" fillId="138" borderId="159"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303" fillId="0" borderId="0"/>
    <xf numFmtId="341" fontId="161" fillId="0" borderId="0"/>
    <xf numFmtId="342" fontId="161" fillId="0" borderId="0"/>
    <xf numFmtId="0" fontId="211" fillId="0" borderId="25"/>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68">
      <alignment horizontal="right"/>
    </xf>
    <xf numFmtId="0" fontId="307" fillId="141" borderId="0"/>
    <xf numFmtId="0" fontId="305" fillId="69" borderId="168">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19">
      <alignment horizontal="center"/>
    </xf>
    <xf numFmtId="0" fontId="10" fillId="0" borderId="0"/>
    <xf numFmtId="347" fontId="2" fillId="69" borderId="119">
      <alignment horizontal="center"/>
    </xf>
    <xf numFmtId="0" fontId="2" fillId="0" borderId="0" applyNumberFormat="0" applyFont="0" applyFill="0" applyBorder="0" applyAlignment="0" applyProtection="0"/>
    <xf numFmtId="347" fontId="2" fillId="69" borderId="119">
      <alignment horizontal="center"/>
    </xf>
    <xf numFmtId="347" fontId="2" fillId="69" borderId="119">
      <alignment horizontal="center"/>
    </xf>
    <xf numFmtId="347" fontId="2" fillId="69" borderId="119">
      <alignment horizontal="center"/>
    </xf>
    <xf numFmtId="347" fontId="2" fillId="69" borderId="119">
      <alignment horizontal="center"/>
    </xf>
    <xf numFmtId="3" fontId="210" fillId="0" borderId="129">
      <alignment vertical="center"/>
    </xf>
    <xf numFmtId="0" fontId="2" fillId="0" borderId="0" applyNumberFormat="0" applyFont="0" applyFill="0" applyBorder="0" applyAlignment="0" applyProtection="0"/>
    <xf numFmtId="0" fontId="10" fillId="0" borderId="0"/>
    <xf numFmtId="347" fontId="2" fillId="69" borderId="119">
      <alignment horizontal="center"/>
    </xf>
    <xf numFmtId="347" fontId="2" fillId="69" borderId="119">
      <alignment horizontal="center"/>
    </xf>
    <xf numFmtId="347" fontId="2" fillId="69" borderId="119">
      <alignment horizontal="center"/>
    </xf>
    <xf numFmtId="347" fontId="2" fillId="69" borderId="119">
      <alignment horizontal="center"/>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 fontId="2" fillId="69" borderId="119" applyFont="0">
      <alignment horizontal="right"/>
    </xf>
    <xf numFmtId="0" fontId="10" fillId="0" borderId="0"/>
    <xf numFmtId="3" fontId="2" fillId="69" borderId="11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9" applyFont="0">
      <alignment horizontal="right" vertical="center"/>
    </xf>
    <xf numFmtId="3" fontId="2" fillId="69" borderId="119" applyFont="0">
      <alignment horizontal="right" vertical="center"/>
    </xf>
    <xf numFmtId="3" fontId="2" fillId="69" borderId="119" applyFont="0">
      <alignment horizontal="right" vertical="center"/>
    </xf>
    <xf numFmtId="3" fontId="2" fillId="69" borderId="119" applyFont="0">
      <alignment horizontal="right" vertical="center"/>
    </xf>
    <xf numFmtId="3" fontId="2" fillId="69" borderId="119" applyFont="0">
      <alignment horizontal="right"/>
    </xf>
    <xf numFmtId="3" fontId="2" fillId="69" borderId="119" applyFont="0">
      <alignment horizontal="right"/>
    </xf>
    <xf numFmtId="3" fontId="2" fillId="69" borderId="119" applyFont="0">
      <alignment horizontal="right"/>
    </xf>
    <xf numFmtId="3" fontId="2" fillId="69" borderId="119" applyFont="0">
      <alignment horizontal="right"/>
    </xf>
    <xf numFmtId="3"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 fontId="2" fillId="69" borderId="119" applyFont="0">
      <alignment horizontal="right"/>
    </xf>
    <xf numFmtId="3" fontId="2" fillId="69" borderId="119" applyFont="0">
      <alignment horizontal="right"/>
    </xf>
    <xf numFmtId="3" fontId="2" fillId="69" borderId="119" applyFont="0">
      <alignment horizontal="right"/>
    </xf>
    <xf numFmtId="3"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87" fontId="2" fillId="69" borderId="119" applyFont="0">
      <alignment horizontal="right"/>
    </xf>
    <xf numFmtId="0" fontId="10" fillId="0" borderId="0"/>
    <xf numFmtId="187" fontId="2" fillId="69" borderId="119" applyFont="0">
      <alignment horizontal="right"/>
    </xf>
    <xf numFmtId="0" fontId="2" fillId="0" borderId="0" applyNumberFormat="0" applyFont="0" applyFill="0" applyBorder="0" applyAlignment="0" applyProtection="0"/>
    <xf numFmtId="187" fontId="2" fillId="69" borderId="119" applyFont="0">
      <alignment horizontal="right"/>
    </xf>
    <xf numFmtId="187" fontId="2" fillId="69" borderId="119" applyFont="0">
      <alignment horizontal="right"/>
    </xf>
    <xf numFmtId="187" fontId="2" fillId="69" borderId="119" applyFont="0">
      <alignment horizontal="right"/>
    </xf>
    <xf numFmtId="187"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87" fontId="2" fillId="69" borderId="119" applyFont="0">
      <alignment horizontal="right"/>
    </xf>
    <xf numFmtId="187" fontId="2" fillId="69" borderId="119" applyFont="0">
      <alignment horizontal="right"/>
    </xf>
    <xf numFmtId="187" fontId="2" fillId="69" borderId="119" applyFont="0">
      <alignment horizontal="right"/>
    </xf>
    <xf numFmtId="187"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60" fontId="2" fillId="69" borderId="119" applyFont="0">
      <alignment horizontal="right"/>
    </xf>
    <xf numFmtId="0" fontId="10" fillId="0" borderId="0"/>
    <xf numFmtId="260" fontId="2" fillId="69" borderId="119" applyFont="0">
      <alignment horizontal="right"/>
    </xf>
    <xf numFmtId="0" fontId="2" fillId="0" borderId="0" applyNumberFormat="0" applyFont="0" applyFill="0" applyBorder="0" applyAlignment="0" applyProtection="0"/>
    <xf numFmtId="260" fontId="2" fillId="69" borderId="119" applyFont="0">
      <alignment horizontal="right"/>
    </xf>
    <xf numFmtId="260" fontId="2" fillId="69" borderId="119" applyFont="0">
      <alignment horizontal="right"/>
    </xf>
    <xf numFmtId="260" fontId="2" fillId="69" borderId="119" applyFont="0">
      <alignment horizontal="right"/>
    </xf>
    <xf numFmtId="260"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260" fontId="2" fillId="69" borderId="119" applyFont="0">
      <alignment horizontal="right"/>
    </xf>
    <xf numFmtId="260" fontId="2" fillId="69" borderId="119" applyFont="0">
      <alignment horizontal="right"/>
    </xf>
    <xf numFmtId="260" fontId="2" fillId="69" borderId="119" applyFont="0">
      <alignment horizontal="right"/>
    </xf>
    <xf numFmtId="260"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69" borderId="119" applyFont="0">
      <alignment horizontal="right"/>
    </xf>
    <xf numFmtId="0" fontId="10" fillId="0" borderId="0"/>
    <xf numFmtId="10" fontId="2" fillId="69" borderId="119" applyFont="0">
      <alignment horizontal="right"/>
    </xf>
    <xf numFmtId="0" fontId="2" fillId="0" borderId="0" applyNumberFormat="0" applyFont="0" applyFill="0" applyBorder="0" applyAlignment="0" applyProtection="0"/>
    <xf numFmtId="10" fontId="2" fillId="69" borderId="119" applyFont="0">
      <alignment horizontal="right"/>
    </xf>
    <xf numFmtId="10" fontId="2" fillId="69" borderId="119" applyFont="0">
      <alignment horizontal="right"/>
    </xf>
    <xf numFmtId="10" fontId="2" fillId="69" borderId="119" applyFont="0">
      <alignment horizontal="right"/>
    </xf>
    <xf numFmtId="10"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0" fontId="2" fillId="69" borderId="119" applyFont="0">
      <alignment horizontal="right"/>
    </xf>
    <xf numFmtId="10" fontId="2" fillId="69" borderId="119" applyFont="0">
      <alignment horizontal="right"/>
    </xf>
    <xf numFmtId="10" fontId="2" fillId="69" borderId="119" applyFont="0">
      <alignment horizontal="right"/>
    </xf>
    <xf numFmtId="10"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69" borderId="119" applyFont="0">
      <alignment horizontal="right"/>
    </xf>
    <xf numFmtId="0" fontId="10" fillId="0" borderId="0"/>
    <xf numFmtId="9" fontId="2" fillId="69" borderId="119" applyFont="0">
      <alignment horizontal="right"/>
    </xf>
    <xf numFmtId="0" fontId="2" fillId="0" borderId="0" applyNumberFormat="0" applyFont="0" applyFill="0" applyBorder="0" applyAlignment="0" applyProtection="0"/>
    <xf numFmtId="9" fontId="2" fillId="69" borderId="119" applyFont="0">
      <alignment horizontal="right"/>
    </xf>
    <xf numFmtId="9" fontId="2" fillId="69" borderId="119" applyFont="0">
      <alignment horizontal="right"/>
    </xf>
    <xf numFmtId="9" fontId="2" fillId="69" borderId="119" applyFont="0">
      <alignment horizontal="right"/>
    </xf>
    <xf numFmtId="9"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9" fontId="2" fillId="69" borderId="119" applyFont="0">
      <alignment horizontal="right"/>
    </xf>
    <xf numFmtId="9" fontId="2" fillId="69" borderId="119" applyFont="0">
      <alignment horizontal="right"/>
    </xf>
    <xf numFmtId="9" fontId="2" fillId="69" borderId="119" applyFont="0">
      <alignment horizontal="right"/>
    </xf>
    <xf numFmtId="9" fontId="2" fillId="69"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48" fontId="2" fillId="69" borderId="119" applyFont="0">
      <alignment horizontal="center" wrapText="1"/>
    </xf>
    <xf numFmtId="0" fontId="10" fillId="0" borderId="0"/>
    <xf numFmtId="348" fontId="2" fillId="69" borderId="119" applyFont="0">
      <alignment horizontal="center" wrapText="1"/>
    </xf>
    <xf numFmtId="0" fontId="2" fillId="0" borderId="0" applyNumberFormat="0" applyFont="0" applyFill="0" applyBorder="0" applyAlignment="0" applyProtection="0"/>
    <xf numFmtId="348" fontId="2" fillId="69" borderId="119" applyFont="0">
      <alignment horizontal="center" wrapText="1"/>
    </xf>
    <xf numFmtId="348" fontId="2" fillId="69" borderId="119" applyFont="0">
      <alignment horizontal="center" wrapText="1"/>
    </xf>
    <xf numFmtId="348" fontId="2" fillId="69" borderId="119" applyFont="0">
      <alignment horizontal="center" wrapText="1"/>
    </xf>
    <xf numFmtId="348" fontId="2" fillId="69" borderId="119" applyFont="0">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348" fontId="2" fillId="69" borderId="119" applyFont="0">
      <alignment horizontal="center" wrapText="1"/>
    </xf>
    <xf numFmtId="348" fontId="2" fillId="69" borderId="119" applyFont="0">
      <alignment horizontal="center" wrapText="1"/>
    </xf>
    <xf numFmtId="348" fontId="2" fillId="69" borderId="119" applyFont="0">
      <alignment horizontal="center" wrapText="1"/>
    </xf>
    <xf numFmtId="348" fontId="2" fillId="69" borderId="119" applyFont="0">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69" applyNumberFormat="0" applyBorder="0">
      <alignment horizontal="centerContinuous"/>
    </xf>
    <xf numFmtId="0" fontId="311" fillId="105" borderId="169" applyNumberFormat="0" applyBorder="0">
      <alignment horizontal="centerContinuous"/>
    </xf>
    <xf numFmtId="0" fontId="311" fillId="105" borderId="169" applyNumberFormat="0" applyBorder="0">
      <alignment horizontal="centerContinuous"/>
    </xf>
    <xf numFmtId="0" fontId="311" fillId="105" borderId="169"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1" applyBorder="0"/>
    <xf numFmtId="3" fontId="2" fillId="68" borderId="121" applyBorder="0"/>
    <xf numFmtId="3" fontId="2" fillId="68" borderId="121" applyBorder="0"/>
    <xf numFmtId="3" fontId="2" fillId="68" borderId="121" applyBorder="0"/>
    <xf numFmtId="3" fontId="2" fillId="68" borderId="121"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19" applyNumberFormat="0" applyFont="0" applyFill="0" applyBorder="0" applyAlignment="0">
      <protection hidden="1"/>
    </xf>
    <xf numFmtId="0" fontId="10" fillId="0" borderId="0"/>
    <xf numFmtId="0" fontId="161" fillId="0" borderId="119" applyNumberFormat="0" applyFont="0" applyFill="0" applyBorder="0" applyAlignment="0">
      <protection hidden="1"/>
    </xf>
    <xf numFmtId="0" fontId="10" fillId="0" borderId="0"/>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3" fontId="210" fillId="0" borderId="129">
      <alignment vertical="center"/>
    </xf>
    <xf numFmtId="0" fontId="2" fillId="0" borderId="0" applyNumberFormat="0" applyFont="0" applyFill="0" applyBorder="0" applyAlignment="0" applyProtection="0"/>
    <xf numFmtId="0" fontId="10" fillId="0" borderId="0"/>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0" fontId="161" fillId="0" borderId="119" applyNumberFormat="0" applyFont="0" applyFill="0" applyBorder="0" applyAlignment="0">
      <protection hidden="1"/>
    </xf>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 fontId="2" fillId="144" borderId="119" applyFont="0">
      <alignment horizontal="right"/>
    </xf>
    <xf numFmtId="0" fontId="10" fillId="0" borderId="0"/>
    <xf numFmtId="1" fontId="2" fillId="144" borderId="119" applyFont="0">
      <alignment horizontal="right"/>
    </xf>
    <xf numFmtId="0" fontId="2" fillId="0" borderId="0" applyNumberFormat="0" applyFont="0" applyFill="0" applyBorder="0" applyAlignment="0" applyProtection="0"/>
    <xf numFmtId="1" fontId="2" fillId="144" borderId="119" applyFont="0">
      <alignment horizontal="right"/>
    </xf>
    <xf numFmtId="1" fontId="2" fillId="144" borderId="119" applyFont="0">
      <alignment horizontal="right"/>
    </xf>
    <xf numFmtId="1" fontId="2" fillId="144" borderId="119" applyFont="0">
      <alignment horizontal="right"/>
    </xf>
    <xf numFmtId="1"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 fontId="2" fillId="144" borderId="119" applyFont="0">
      <alignment horizontal="right"/>
    </xf>
    <xf numFmtId="1" fontId="2" fillId="144" borderId="119" applyFont="0">
      <alignment horizontal="right"/>
    </xf>
    <xf numFmtId="1" fontId="2" fillId="144" borderId="119" applyFont="0">
      <alignment horizontal="right"/>
    </xf>
    <xf numFmtId="1"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04" fontId="2" fillId="144" borderId="119" applyFont="0"/>
    <xf numFmtId="0" fontId="10" fillId="0" borderId="0"/>
    <xf numFmtId="304" fontId="2" fillId="144" borderId="119" applyFont="0"/>
    <xf numFmtId="0" fontId="2" fillId="0" borderId="0" applyNumberFormat="0" applyFont="0" applyFill="0" applyBorder="0" applyAlignment="0" applyProtection="0"/>
    <xf numFmtId="304" fontId="2" fillId="144" borderId="119" applyFont="0"/>
    <xf numFmtId="304" fontId="2" fillId="144" borderId="119" applyFont="0"/>
    <xf numFmtId="304" fontId="2" fillId="144" borderId="119" applyFont="0"/>
    <xf numFmtId="304" fontId="2" fillId="144" borderId="119" applyFont="0"/>
    <xf numFmtId="3" fontId="210" fillId="0" borderId="129">
      <alignment vertical="center"/>
    </xf>
    <xf numFmtId="0" fontId="2" fillId="0" borderId="0" applyNumberFormat="0" applyFont="0" applyFill="0" applyBorder="0" applyAlignment="0" applyProtection="0"/>
    <xf numFmtId="0" fontId="10" fillId="0" borderId="0"/>
    <xf numFmtId="304" fontId="2" fillId="144" borderId="119" applyFont="0"/>
    <xf numFmtId="304" fontId="2" fillId="144" borderId="119" applyFont="0"/>
    <xf numFmtId="304" fontId="2" fillId="144" borderId="119" applyFont="0"/>
    <xf numFmtId="304" fontId="2" fillId="144" borderId="119" applyFont="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144" borderId="119" applyFont="0">
      <alignment horizontal="right"/>
    </xf>
    <xf numFmtId="0" fontId="10" fillId="0" borderId="0"/>
    <xf numFmtId="9" fontId="2" fillId="144" borderId="119" applyFont="0">
      <alignment horizontal="right"/>
    </xf>
    <xf numFmtId="0" fontId="2" fillId="0" borderId="0" applyNumberFormat="0" applyFont="0" applyFill="0" applyBorder="0" applyAlignment="0" applyProtection="0"/>
    <xf numFmtId="9" fontId="2" fillId="144" borderId="119" applyFont="0">
      <alignment horizontal="right"/>
    </xf>
    <xf numFmtId="9" fontId="2" fillId="144" borderId="119" applyFont="0">
      <alignment horizontal="right"/>
    </xf>
    <xf numFmtId="9" fontId="2" fillId="144" borderId="119" applyFont="0">
      <alignment horizontal="right"/>
    </xf>
    <xf numFmtId="9"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9" fontId="2" fillId="144" borderId="119" applyFont="0">
      <alignment horizontal="right"/>
    </xf>
    <xf numFmtId="9" fontId="2" fillId="144" borderId="119" applyFont="0">
      <alignment horizontal="right"/>
    </xf>
    <xf numFmtId="9" fontId="2" fillId="144" borderId="119" applyFont="0">
      <alignment horizontal="right"/>
    </xf>
    <xf numFmtId="9"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31" fontId="2" fillId="144" borderId="119" applyFont="0">
      <alignment horizontal="right"/>
    </xf>
    <xf numFmtId="0" fontId="10" fillId="0" borderId="0"/>
    <xf numFmtId="331" fontId="2" fillId="144" borderId="119" applyFont="0">
      <alignment horizontal="right"/>
    </xf>
    <xf numFmtId="0" fontId="2" fillId="0" borderId="0" applyNumberFormat="0" applyFont="0" applyFill="0" applyBorder="0" applyAlignment="0" applyProtection="0"/>
    <xf numFmtId="331" fontId="2" fillId="144" borderId="119" applyFont="0">
      <alignment horizontal="right"/>
    </xf>
    <xf numFmtId="331" fontId="2" fillId="144" borderId="119" applyFont="0">
      <alignment horizontal="right"/>
    </xf>
    <xf numFmtId="331" fontId="2" fillId="144" borderId="119" applyFont="0">
      <alignment horizontal="right"/>
    </xf>
    <xf numFmtId="331"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31" fontId="2" fillId="144" borderId="119" applyFont="0">
      <alignment horizontal="right"/>
    </xf>
    <xf numFmtId="331" fontId="2" fillId="144" borderId="119" applyFont="0">
      <alignment horizontal="right"/>
    </xf>
    <xf numFmtId="331" fontId="2" fillId="144" borderId="119" applyFont="0">
      <alignment horizontal="right"/>
    </xf>
    <xf numFmtId="331"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144" borderId="119" applyFont="0">
      <alignment horizontal="right"/>
    </xf>
    <xf numFmtId="0" fontId="10" fillId="0" borderId="0"/>
    <xf numFmtId="10" fontId="2" fillId="144" borderId="119" applyFont="0">
      <alignment horizontal="right"/>
    </xf>
    <xf numFmtId="0" fontId="2" fillId="0" borderId="0" applyNumberFormat="0" applyFont="0" applyFill="0" applyBorder="0" applyAlignment="0" applyProtection="0"/>
    <xf numFmtId="10" fontId="2" fillId="144" borderId="119" applyFont="0">
      <alignment horizontal="right"/>
    </xf>
    <xf numFmtId="10" fontId="2" fillId="144" borderId="119" applyFont="0">
      <alignment horizontal="right"/>
    </xf>
    <xf numFmtId="10" fontId="2" fillId="144" borderId="119" applyFont="0">
      <alignment horizontal="right"/>
    </xf>
    <xf numFmtId="10"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0" fontId="2" fillId="144" borderId="119" applyFont="0">
      <alignment horizontal="right"/>
    </xf>
    <xf numFmtId="10" fontId="2" fillId="144" borderId="119" applyFont="0">
      <alignment horizontal="right"/>
    </xf>
    <xf numFmtId="10" fontId="2" fillId="144" borderId="119" applyFont="0">
      <alignment horizontal="right"/>
    </xf>
    <xf numFmtId="10" fontId="2" fillId="144"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144" borderId="119" applyFont="0">
      <alignment horizontal="center" wrapText="1"/>
    </xf>
    <xf numFmtId="0" fontId="10" fillId="0" borderId="0"/>
    <xf numFmtId="0" fontId="2" fillId="144" borderId="119" applyFont="0">
      <alignment horizontal="center" wrapText="1"/>
    </xf>
    <xf numFmtId="0" fontId="2" fillId="0" borderId="0" applyNumberFormat="0" applyFont="0" applyFill="0" applyBorder="0" applyAlignment="0" applyProtection="0"/>
    <xf numFmtId="0" fontId="2" fillId="144" borderId="119" applyFont="0">
      <alignment horizontal="center" wrapText="1"/>
    </xf>
    <xf numFmtId="0" fontId="2" fillId="144" borderId="119" applyFont="0">
      <alignment horizontal="center" wrapText="1"/>
    </xf>
    <xf numFmtId="0" fontId="2" fillId="144" borderId="119" applyFont="0">
      <alignment horizontal="center" wrapText="1"/>
    </xf>
    <xf numFmtId="0" fontId="2" fillId="144" borderId="119" applyFont="0">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0" fontId="2" fillId="144" borderId="119" applyFont="0">
      <alignment horizontal="center" wrapText="1"/>
    </xf>
    <xf numFmtId="0" fontId="2" fillId="144" borderId="119" applyFont="0">
      <alignment horizontal="center" wrapText="1"/>
    </xf>
    <xf numFmtId="0" fontId="2" fillId="144" borderId="119" applyFont="0">
      <alignment horizontal="center" wrapText="1"/>
    </xf>
    <xf numFmtId="0" fontId="2" fillId="144" borderId="119" applyFont="0">
      <alignment horizontal="center" wrapText="1"/>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49" fontId="2" fillId="144" borderId="119" applyFont="0"/>
    <xf numFmtId="0" fontId="10" fillId="0" borderId="0"/>
    <xf numFmtId="0" fontId="10" fillId="0" borderId="0"/>
    <xf numFmtId="3" fontId="210" fillId="0" borderId="129">
      <alignment vertical="center"/>
    </xf>
    <xf numFmtId="0" fontId="10" fillId="0" borderId="0"/>
    <xf numFmtId="0" fontId="10" fillId="0" borderId="0"/>
    <xf numFmtId="49" fontId="2" fillId="144" borderId="119" applyFont="0"/>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304" fontId="2" fillId="145" borderId="119" applyFont="0"/>
    <xf numFmtId="0" fontId="10" fillId="0" borderId="0"/>
    <xf numFmtId="304" fontId="2" fillId="145" borderId="119" applyFont="0"/>
    <xf numFmtId="0" fontId="2" fillId="0" borderId="0" applyNumberFormat="0" applyFont="0" applyFill="0" applyBorder="0" applyAlignment="0" applyProtection="0"/>
    <xf numFmtId="304" fontId="2" fillId="145" borderId="119" applyFont="0"/>
    <xf numFmtId="304" fontId="2" fillId="145" borderId="119" applyFont="0"/>
    <xf numFmtId="304" fontId="2" fillId="145" borderId="119" applyFont="0"/>
    <xf numFmtId="304" fontId="2" fillId="145" borderId="119" applyFont="0"/>
    <xf numFmtId="3" fontId="210" fillId="0" borderId="129">
      <alignment vertical="center"/>
    </xf>
    <xf numFmtId="0" fontId="2" fillId="0" borderId="0" applyNumberFormat="0" applyFont="0" applyFill="0" applyBorder="0" applyAlignment="0" applyProtection="0"/>
    <xf numFmtId="0" fontId="10" fillId="0" borderId="0"/>
    <xf numFmtId="304" fontId="2" fillId="145" borderId="119" applyFont="0"/>
    <xf numFmtId="304" fontId="2" fillId="145" borderId="119" applyFont="0"/>
    <xf numFmtId="304" fontId="2" fillId="145" borderId="119" applyFont="0"/>
    <xf numFmtId="304" fontId="2" fillId="145" borderId="119" applyFont="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145" borderId="119" applyFont="0">
      <alignment horizontal="right"/>
    </xf>
    <xf numFmtId="0" fontId="10" fillId="0" borderId="0"/>
    <xf numFmtId="9" fontId="2" fillId="145" borderId="119" applyFont="0">
      <alignment horizontal="right"/>
    </xf>
    <xf numFmtId="0" fontId="2" fillId="0" borderId="0" applyNumberFormat="0" applyFont="0" applyFill="0" applyBorder="0" applyAlignment="0" applyProtection="0"/>
    <xf numFmtId="9" fontId="2" fillId="145" borderId="119" applyFont="0">
      <alignment horizontal="right"/>
    </xf>
    <xf numFmtId="9" fontId="2" fillId="145" borderId="119" applyFont="0">
      <alignment horizontal="right"/>
    </xf>
    <xf numFmtId="9" fontId="2" fillId="145" borderId="119" applyFont="0">
      <alignment horizontal="right"/>
    </xf>
    <xf numFmtId="9" fontId="2" fillId="145"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9" fontId="2" fillId="145" borderId="119" applyFont="0">
      <alignment horizontal="right"/>
    </xf>
    <xf numFmtId="9" fontId="2" fillId="145" borderId="119" applyFont="0">
      <alignment horizontal="right"/>
    </xf>
    <xf numFmtId="9" fontId="2" fillId="145" borderId="119" applyFont="0">
      <alignment horizontal="right"/>
    </xf>
    <xf numFmtId="9" fontId="2" fillId="145"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311" fontId="2" fillId="146" borderId="119">
      <alignment vertical="center"/>
    </xf>
    <xf numFmtId="311" fontId="2" fillId="146" borderId="119">
      <alignment vertical="center"/>
    </xf>
    <xf numFmtId="311" fontId="2" fillId="146" borderId="119">
      <alignment vertical="center"/>
    </xf>
    <xf numFmtId="311" fontId="2" fillId="146" borderId="119">
      <alignment vertical="center"/>
    </xf>
    <xf numFmtId="311" fontId="2" fillId="146" borderId="119">
      <alignment vertical="center"/>
    </xf>
    <xf numFmtId="304" fontId="2" fillId="93" borderId="119" applyFont="0">
      <alignment horizontal="right"/>
    </xf>
    <xf numFmtId="0" fontId="10" fillId="0" borderId="0"/>
    <xf numFmtId="304" fontId="2" fillId="93" borderId="119" applyFont="0">
      <alignment horizontal="right"/>
    </xf>
    <xf numFmtId="0" fontId="2" fillId="0" borderId="0" applyNumberFormat="0" applyFont="0" applyFill="0" applyBorder="0" applyAlignment="0" applyProtection="0"/>
    <xf numFmtId="304" fontId="2" fillId="93" borderId="119" applyFont="0">
      <alignment horizontal="right"/>
    </xf>
    <xf numFmtId="304" fontId="2" fillId="93" borderId="119" applyFont="0">
      <alignment horizontal="right"/>
    </xf>
    <xf numFmtId="304" fontId="2" fillId="93" borderId="119" applyFont="0">
      <alignment horizontal="right"/>
    </xf>
    <xf numFmtId="304"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04" fontId="2" fillId="93" borderId="119" applyFont="0">
      <alignment horizontal="right"/>
    </xf>
    <xf numFmtId="304" fontId="2" fillId="93" borderId="119" applyFont="0">
      <alignment horizontal="right"/>
    </xf>
    <xf numFmtId="304" fontId="2" fillId="93" borderId="119" applyFont="0">
      <alignment horizontal="right"/>
    </xf>
    <xf numFmtId="304"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 fontId="2" fillId="93" borderId="119" applyFont="0">
      <alignment horizontal="right"/>
    </xf>
    <xf numFmtId="0" fontId="10" fillId="0" borderId="0"/>
    <xf numFmtId="1" fontId="2" fillId="93" borderId="119" applyFont="0">
      <alignment horizontal="right"/>
    </xf>
    <xf numFmtId="0" fontId="2" fillId="0" borderId="0" applyNumberFormat="0" applyFont="0" applyFill="0" applyBorder="0" applyAlignment="0" applyProtection="0"/>
    <xf numFmtId="1" fontId="2" fillId="93" borderId="119" applyFont="0">
      <alignment horizontal="right"/>
    </xf>
    <xf numFmtId="1" fontId="2" fillId="93" borderId="119" applyFont="0">
      <alignment horizontal="right"/>
    </xf>
    <xf numFmtId="1" fontId="2" fillId="93" borderId="119" applyFont="0">
      <alignment horizontal="right"/>
    </xf>
    <xf numFmtId="1"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 fontId="2" fillId="93" borderId="119" applyFont="0">
      <alignment horizontal="right"/>
    </xf>
    <xf numFmtId="1" fontId="2" fillId="93" borderId="119" applyFont="0">
      <alignment horizontal="right"/>
    </xf>
    <xf numFmtId="1" fontId="2" fillId="93" borderId="119" applyFont="0">
      <alignment horizontal="right"/>
    </xf>
    <xf numFmtId="1"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04" fontId="2" fillId="93" borderId="119" applyFont="0"/>
    <xf numFmtId="0" fontId="10" fillId="0" borderId="0"/>
    <xf numFmtId="304" fontId="2" fillId="93" borderId="119" applyFont="0"/>
    <xf numFmtId="0" fontId="2" fillId="0" borderId="0" applyNumberFormat="0" applyFont="0" applyFill="0" applyBorder="0" applyAlignment="0" applyProtection="0"/>
    <xf numFmtId="304" fontId="2" fillId="93" borderId="119" applyFont="0"/>
    <xf numFmtId="304" fontId="2" fillId="93" borderId="119" applyFont="0"/>
    <xf numFmtId="304" fontId="2" fillId="93" borderId="119" applyFont="0"/>
    <xf numFmtId="304" fontId="2" fillId="93" borderId="119" applyFont="0"/>
    <xf numFmtId="3" fontId="210" fillId="0" borderId="129">
      <alignment vertical="center"/>
    </xf>
    <xf numFmtId="0" fontId="2" fillId="0" borderId="0" applyNumberFormat="0" applyFont="0" applyFill="0" applyBorder="0" applyAlignment="0" applyProtection="0"/>
    <xf numFmtId="0" fontId="10" fillId="0" borderId="0"/>
    <xf numFmtId="304" fontId="2" fillId="93" borderId="119" applyFont="0"/>
    <xf numFmtId="304" fontId="2" fillId="93" borderId="119" applyFont="0"/>
    <xf numFmtId="304" fontId="2" fillId="93" borderId="119" applyFont="0"/>
    <xf numFmtId="304" fontId="2" fillId="93" borderId="119" applyFont="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260" fontId="2" fillId="93" borderId="119" applyFont="0"/>
    <xf numFmtId="0" fontId="10" fillId="0" borderId="0"/>
    <xf numFmtId="260" fontId="2" fillId="93" borderId="119" applyFont="0"/>
    <xf numFmtId="0" fontId="2" fillId="0" borderId="0" applyNumberFormat="0" applyFont="0" applyFill="0" applyBorder="0" applyAlignment="0" applyProtection="0"/>
    <xf numFmtId="260" fontId="2" fillId="93" borderId="119" applyFont="0"/>
    <xf numFmtId="260" fontId="2" fillId="93" borderId="119" applyFont="0"/>
    <xf numFmtId="260" fontId="2" fillId="93" borderId="119" applyFont="0"/>
    <xf numFmtId="260" fontId="2" fillId="93" borderId="119" applyFont="0"/>
    <xf numFmtId="3" fontId="210" fillId="0" borderId="129">
      <alignment vertical="center"/>
    </xf>
    <xf numFmtId="0" fontId="2" fillId="0" borderId="0" applyNumberFormat="0" applyFont="0" applyFill="0" applyBorder="0" applyAlignment="0" applyProtection="0"/>
    <xf numFmtId="0" fontId="10" fillId="0" borderId="0"/>
    <xf numFmtId="260" fontId="2" fillId="93" borderId="119" applyFont="0"/>
    <xf numFmtId="260" fontId="2" fillId="93" borderId="119" applyFont="0"/>
    <xf numFmtId="260" fontId="2" fillId="93" borderId="119" applyFont="0"/>
    <xf numFmtId="260" fontId="2" fillId="93" borderId="119" applyFont="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93" borderId="119" applyFont="0">
      <alignment horizontal="right"/>
    </xf>
    <xf numFmtId="0" fontId="10" fillId="0" borderId="0"/>
    <xf numFmtId="10" fontId="2" fillId="93" borderId="119" applyFont="0">
      <alignment horizontal="right"/>
    </xf>
    <xf numFmtId="0" fontId="2" fillId="0" borderId="0" applyNumberFormat="0" applyFont="0" applyFill="0" applyBorder="0" applyAlignment="0" applyProtection="0"/>
    <xf numFmtId="10" fontId="2" fillId="93" borderId="119" applyFont="0">
      <alignment horizontal="right"/>
    </xf>
    <xf numFmtId="10" fontId="2" fillId="93" borderId="119" applyFont="0">
      <alignment horizontal="right"/>
    </xf>
    <xf numFmtId="10" fontId="2" fillId="93" borderId="119" applyFont="0">
      <alignment horizontal="right"/>
    </xf>
    <xf numFmtId="10"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0" fontId="2" fillId="93" borderId="119" applyFont="0">
      <alignment horizontal="right"/>
    </xf>
    <xf numFmtId="10" fontId="2" fillId="93" borderId="119" applyFont="0">
      <alignment horizontal="right"/>
    </xf>
    <xf numFmtId="10" fontId="2" fillId="93" borderId="119" applyFont="0">
      <alignment horizontal="right"/>
    </xf>
    <xf numFmtId="10"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9" fontId="2" fillId="93" borderId="119" applyFont="0">
      <alignment horizontal="right"/>
    </xf>
    <xf numFmtId="0" fontId="10" fillId="0" borderId="0"/>
    <xf numFmtId="9" fontId="2" fillId="93" borderId="119" applyFont="0">
      <alignment horizontal="right"/>
    </xf>
    <xf numFmtId="0" fontId="2" fillId="0" borderId="0" applyNumberFormat="0" applyFont="0" applyFill="0" applyBorder="0" applyAlignment="0" applyProtection="0"/>
    <xf numFmtId="9" fontId="2" fillId="93" borderId="119" applyFont="0">
      <alignment horizontal="right"/>
    </xf>
    <xf numFmtId="9" fontId="2" fillId="93" borderId="119" applyFont="0">
      <alignment horizontal="right"/>
    </xf>
    <xf numFmtId="9" fontId="2" fillId="93" borderId="119" applyFont="0">
      <alignment horizontal="right"/>
    </xf>
    <xf numFmtId="9"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9" fontId="2" fillId="93" borderId="119" applyFont="0">
      <alignment horizontal="right"/>
    </xf>
    <xf numFmtId="9" fontId="2" fillId="93" borderId="119" applyFont="0">
      <alignment horizontal="right"/>
    </xf>
    <xf numFmtId="9" fontId="2" fillId="93" borderId="119" applyFont="0">
      <alignment horizontal="right"/>
    </xf>
    <xf numFmtId="9"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31" fontId="2" fillId="93" borderId="119" applyFont="0">
      <alignment horizontal="right"/>
    </xf>
    <xf numFmtId="0" fontId="10" fillId="0" borderId="0"/>
    <xf numFmtId="331" fontId="2" fillId="93" borderId="119" applyFont="0">
      <alignment horizontal="right"/>
    </xf>
    <xf numFmtId="0" fontId="2" fillId="0" borderId="0" applyNumberFormat="0" applyFont="0" applyFill="0" applyBorder="0" applyAlignment="0" applyProtection="0"/>
    <xf numFmtId="331" fontId="2" fillId="93" borderId="119" applyFont="0">
      <alignment horizontal="right"/>
    </xf>
    <xf numFmtId="331" fontId="2" fillId="93" borderId="119" applyFont="0">
      <alignment horizontal="right"/>
    </xf>
    <xf numFmtId="331" fontId="2" fillId="93" borderId="119" applyFont="0">
      <alignment horizontal="right"/>
    </xf>
    <xf numFmtId="331"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31" fontId="2" fillId="93" borderId="119" applyFont="0">
      <alignment horizontal="right"/>
    </xf>
    <xf numFmtId="331" fontId="2" fillId="93" borderId="119" applyFont="0">
      <alignment horizontal="right"/>
    </xf>
    <xf numFmtId="331" fontId="2" fillId="93" borderId="119" applyFont="0">
      <alignment horizontal="right"/>
    </xf>
    <xf numFmtId="331" fontId="2" fillId="93" borderId="119"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10" fontId="2" fillId="93" borderId="12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93" borderId="119" applyFont="0">
      <alignment horizontal="center" wrapText="1"/>
      <protection locked="0"/>
    </xf>
    <xf numFmtId="0" fontId="10" fillId="0" borderId="0"/>
    <xf numFmtId="0" fontId="2" fillId="93" borderId="119" applyFont="0">
      <alignment horizontal="center" wrapText="1"/>
      <protection locked="0"/>
    </xf>
    <xf numFmtId="0" fontId="2" fillId="0" borderId="0" applyNumberFormat="0" applyFont="0" applyFill="0" applyBorder="0" applyAlignment="0" applyProtection="0"/>
    <xf numFmtId="0" fontId="2" fillId="93" borderId="119" applyFont="0">
      <alignment horizontal="center" wrapText="1"/>
      <protection locked="0"/>
    </xf>
    <xf numFmtId="0" fontId="2" fillId="93" borderId="119" applyFont="0">
      <alignment horizontal="center" wrapText="1"/>
      <protection locked="0"/>
    </xf>
    <xf numFmtId="0" fontId="2" fillId="93" borderId="119" applyFont="0">
      <alignment horizontal="center" wrapText="1"/>
      <protection locked="0"/>
    </xf>
    <xf numFmtId="0" fontId="2" fillId="93" borderId="119"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2" fillId="93" borderId="119" applyFont="0">
      <alignment horizontal="center" wrapText="1"/>
      <protection locked="0"/>
    </xf>
    <xf numFmtId="0" fontId="2" fillId="93" borderId="119" applyFont="0">
      <alignment horizontal="center" wrapText="1"/>
      <protection locked="0"/>
    </xf>
    <xf numFmtId="0" fontId="2" fillId="93" borderId="119" applyFont="0">
      <alignment horizontal="center" wrapText="1"/>
      <protection locked="0"/>
    </xf>
    <xf numFmtId="0" fontId="2" fillId="93" borderId="119" applyFont="0">
      <alignment horizontal="center" wrapText="1"/>
      <protection locked="0"/>
    </xf>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49" fontId="2" fillId="93" borderId="119" applyFont="0"/>
    <xf numFmtId="0" fontId="10" fillId="0" borderId="0"/>
    <xf numFmtId="0" fontId="10" fillId="0" borderId="0"/>
    <xf numFmtId="3" fontId="210" fillId="0" borderId="129">
      <alignment vertical="center"/>
    </xf>
    <xf numFmtId="0" fontId="10" fillId="0" borderId="0"/>
    <xf numFmtId="0" fontId="10" fillId="0" borderId="0"/>
    <xf numFmtId="49" fontId="2" fillId="93" borderId="119" applyFont="0"/>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 fontId="210" fillId="0" borderId="129">
      <alignment vertical="center"/>
    </xf>
    <xf numFmtId="0" fontId="317" fillId="0" borderId="170" applyNumberFormat="0" applyAlignment="0" applyProtection="0"/>
    <xf numFmtId="0" fontId="318" fillId="0" borderId="170"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1" applyNumberFormat="0" applyProtection="0">
      <alignment horizontal="left" vertical="top"/>
    </xf>
    <xf numFmtId="0" fontId="321" fillId="0" borderId="121" applyNumberFormat="0" applyProtection="0">
      <alignment horizontal="left" vertical="top"/>
    </xf>
    <xf numFmtId="0" fontId="2" fillId="0" borderId="0" applyNumberFormat="0" applyFont="0" applyFill="0" applyBorder="0" applyAlignment="0" applyProtection="0"/>
    <xf numFmtId="0" fontId="321" fillId="0" borderId="121" applyNumberFormat="0" applyProtection="0">
      <alignment horizontal="right" vertical="top"/>
    </xf>
    <xf numFmtId="0" fontId="321" fillId="0" borderId="121" applyNumberFormat="0" applyProtection="0">
      <alignment horizontal="right" vertical="top"/>
    </xf>
    <xf numFmtId="0" fontId="321" fillId="0" borderId="121" applyNumberFormat="0" applyProtection="0">
      <alignment horizontal="right" vertical="top"/>
    </xf>
    <xf numFmtId="0" fontId="321" fillId="0" borderId="121" applyNumberFormat="0" applyProtection="0">
      <alignment horizontal="right" vertical="top"/>
    </xf>
    <xf numFmtId="0" fontId="321" fillId="0" borderId="121"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1" applyNumberFormat="0" applyFont="0" applyAlignment="0" applyProtection="0"/>
    <xf numFmtId="0" fontId="2" fillId="0" borderId="172" applyNumberFormat="0" applyFont="0" applyAlignment="0" applyProtection="0"/>
    <xf numFmtId="0" fontId="2" fillId="0" borderId="173" applyNumberFormat="0" applyFont="0" applyAlignment="0" applyProtection="0"/>
    <xf numFmtId="10" fontId="322" fillId="0" borderId="0" applyNumberFormat="0" applyFill="0" applyBorder="0" applyProtection="0">
      <alignment horizontal="right" vertical="top"/>
    </xf>
    <xf numFmtId="0" fontId="318" fillId="0" borderId="121" applyNumberFormat="0" applyFill="0" applyAlignment="0" applyProtection="0"/>
    <xf numFmtId="0" fontId="318" fillId="0" borderId="121" applyNumberFormat="0" applyFill="0" applyAlignment="0" applyProtection="0"/>
    <xf numFmtId="0" fontId="318" fillId="0" borderId="121" applyNumberFormat="0" applyFill="0" applyAlignment="0" applyProtection="0"/>
    <xf numFmtId="0" fontId="318" fillId="0" borderId="121" applyNumberFormat="0" applyFill="0" applyAlignment="0" applyProtection="0"/>
    <xf numFmtId="0" fontId="318" fillId="0" borderId="121"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9">
      <alignment vertical="center" wrapText="1"/>
    </xf>
    <xf numFmtId="0" fontId="2" fillId="0" borderId="119">
      <alignment vertical="center" wrapText="1"/>
    </xf>
    <xf numFmtId="0" fontId="2" fillId="0" borderId="119">
      <alignment vertical="center" wrapText="1"/>
    </xf>
    <xf numFmtId="0" fontId="2" fillId="0" borderId="119">
      <alignment vertical="center" wrapText="1"/>
    </xf>
    <xf numFmtId="0" fontId="2" fillId="0" borderId="0" applyNumberFormat="0" applyFont="0" applyFill="0" applyBorder="0" applyAlignment="0" applyProtection="0"/>
    <xf numFmtId="0" fontId="2" fillId="0" borderId="119">
      <alignment vertical="center" wrapText="1"/>
    </xf>
    <xf numFmtId="0" fontId="2" fillId="0" borderId="119">
      <alignment vertical="center" wrapText="1"/>
    </xf>
    <xf numFmtId="0" fontId="2" fillId="0" borderId="119">
      <alignment vertical="center" wrapText="1"/>
    </xf>
    <xf numFmtId="0" fontId="2" fillId="0" borderId="11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9">
      <alignment vertical="center" wrapText="1"/>
    </xf>
    <xf numFmtId="0" fontId="2" fillId="0" borderId="119">
      <alignment vertical="center" wrapText="1"/>
    </xf>
    <xf numFmtId="0" fontId="2" fillId="0" borderId="119">
      <alignment vertical="center" wrapText="1"/>
    </xf>
    <xf numFmtId="0" fontId="2" fillId="0" borderId="119">
      <alignment vertical="center" wrapText="1"/>
    </xf>
    <xf numFmtId="0" fontId="2" fillId="0" borderId="0" applyNumberFormat="0" applyFont="0" applyFill="0" applyBorder="0" applyAlignment="0" applyProtection="0"/>
    <xf numFmtId="0" fontId="2" fillId="0" borderId="119">
      <alignment vertical="center" wrapText="1"/>
    </xf>
    <xf numFmtId="0" fontId="2" fillId="0" borderId="119">
      <alignment vertical="center" wrapText="1"/>
    </xf>
    <xf numFmtId="0" fontId="2" fillId="0" borderId="119">
      <alignment vertical="center" wrapText="1"/>
    </xf>
    <xf numFmtId="0" fontId="2" fillId="0" borderId="119">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 fillId="0" borderId="0">
      <alignment horizontal="centerContinuous"/>
    </xf>
    <xf numFmtId="0" fontId="10" fillId="0" borderId="0"/>
    <xf numFmtId="0" fontId="10" fillId="0" borderId="0"/>
    <xf numFmtId="3" fontId="210" fillId="0" borderId="129">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4"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3" fontId="210" fillId="0" borderId="129">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9">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3" fontId="210" fillId="0" borderId="129">
      <alignment vertical="center"/>
    </xf>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38" fontId="202" fillId="0" borderId="176">
      <alignment horizontal="right"/>
    </xf>
    <xf numFmtId="0" fontId="273" fillId="0" borderId="177"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77" applyProtection="0">
      <alignment horizontal="center"/>
    </xf>
    <xf numFmtId="0" fontId="273" fillId="0" borderId="177" applyProtection="0">
      <alignment horizontal="center"/>
    </xf>
    <xf numFmtId="0" fontId="273" fillId="0" borderId="177" applyProtection="0">
      <alignment horizontal="center"/>
    </xf>
    <xf numFmtId="0" fontId="273" fillId="0" borderId="177" applyProtection="0">
      <alignment horizontal="center"/>
    </xf>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05" fillId="69" borderId="0">
      <alignment horizontal="center"/>
    </xf>
    <xf numFmtId="0" fontId="105" fillId="69" borderId="0">
      <alignment horizontal="center"/>
    </xf>
    <xf numFmtId="3" fontId="210" fillId="0" borderId="129">
      <alignment vertical="center"/>
    </xf>
    <xf numFmtId="0" fontId="333" fillId="104" borderId="0" applyNumberFormat="0" applyBorder="0"/>
    <xf numFmtId="0" fontId="186" fillId="0" borderId="178" applyNumberFormat="0" applyFont="0" applyFill="0" applyAlignment="0"/>
    <xf numFmtId="0" fontId="334" fillId="0" borderId="12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180" fillId="0" borderId="59" applyNumberFormat="0" applyBorder="0">
      <protection locked="0"/>
    </xf>
    <xf numFmtId="37" fontId="335" fillId="111" borderId="0"/>
    <xf numFmtId="37" fontId="161" fillId="150" borderId="119" applyNumberFormat="0" applyAlignment="0" applyProtection="0"/>
    <xf numFmtId="0" fontId="2" fillId="0" borderId="0" applyNumberFormat="0" applyFont="0" applyFill="0" applyBorder="0" applyAlignment="0" applyProtection="0"/>
    <xf numFmtId="37" fontId="161" fillId="150" borderId="119" applyNumberFormat="0" applyAlignment="0" applyProtection="0"/>
    <xf numFmtId="37" fontId="161" fillId="150" borderId="119" applyNumberFormat="0" applyAlignment="0" applyProtection="0"/>
    <xf numFmtId="37" fontId="161" fillId="150" borderId="119" applyNumberFormat="0" applyAlignment="0" applyProtection="0"/>
    <xf numFmtId="37" fontId="161" fillId="150" borderId="119" applyNumberFormat="0" applyAlignment="0" applyProtection="0"/>
    <xf numFmtId="3" fontId="210" fillId="0" borderId="129">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338" fontId="2" fillId="0" borderId="0"/>
    <xf numFmtId="2" fontId="234" fillId="69" borderId="11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0" fontId="10" fillId="0" borderId="0"/>
    <xf numFmtId="3" fontId="210" fillId="0" borderId="129">
      <alignment vertical="center"/>
    </xf>
    <xf numFmtId="0" fontId="10" fillId="0" borderId="0"/>
    <xf numFmtId="165" fontId="340"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29">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0" fontId="10" fillId="0" borderId="0"/>
    <xf numFmtId="3" fontId="210" fillId="0" borderId="129">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29">
      <alignment vertical="center"/>
    </xf>
    <xf numFmtId="0" fontId="310" fillId="0" borderId="0" applyProtection="0">
      <alignment horizontal="center"/>
    </xf>
    <xf numFmtId="0" fontId="10" fillId="0" borderId="0"/>
    <xf numFmtId="3" fontId="210" fillId="0" borderId="129">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29">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10" fillId="0" borderId="0"/>
    <xf numFmtId="3" fontId="210" fillId="0" borderId="129">
      <alignment vertical="center"/>
    </xf>
    <xf numFmtId="0" fontId="45" fillId="0" borderId="179" applyNumberFormat="0"/>
    <xf numFmtId="14" fontId="161" fillId="0" borderId="0" applyFont="0" applyFill="0" applyBorder="0" applyProtection="0"/>
    <xf numFmtId="16" fontId="161" fillId="0" borderId="0" applyFont="0" applyFill="0" applyBorder="0" applyProtection="0"/>
    <xf numFmtId="3" fontId="210" fillId="0" borderId="129">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2" fillId="0" borderId="0" applyNumberFormat="0" applyFont="0" applyFill="0" applyBorder="0" applyAlignment="0" applyProtection="0"/>
    <xf numFmtId="0" fontId="10" fillId="0" borderId="0"/>
    <xf numFmtId="3" fontId="210" fillId="0" borderId="129">
      <alignment vertical="center"/>
    </xf>
    <xf numFmtId="0" fontId="10" fillId="0" borderId="0"/>
    <xf numFmtId="0" fontId="10" fillId="0" borderId="0"/>
    <xf numFmtId="0" fontId="10" fillId="0" borderId="0"/>
    <xf numFmtId="0" fontId="10" fillId="0" borderId="0"/>
    <xf numFmtId="3" fontId="210" fillId="0" borderId="129">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86" applyFont="0">
      <alignment horizontal="right" vertical="center"/>
      <protection locked="0"/>
    </xf>
    <xf numFmtId="0" fontId="45" fillId="69" borderId="182" applyFont="0" applyBorder="0">
      <alignment horizontal="center" wrapText="1"/>
    </xf>
    <xf numFmtId="0" fontId="148" fillId="69" borderId="185" applyNumberFormat="0" applyFill="0" applyBorder="0" applyAlignment="0" applyProtection="0">
      <alignment horizontal="left"/>
    </xf>
    <xf numFmtId="0" fontId="1" fillId="0" borderId="0"/>
    <xf numFmtId="0" fontId="175" fillId="0" borderId="190"/>
    <xf numFmtId="244" fontId="177" fillId="0" borderId="191"/>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3" fontId="182" fillId="88" borderId="186" applyNumberFormat="0" applyFont="0" applyAlignment="0"/>
    <xf numFmtId="3" fontId="182" fillId="88" borderId="186" applyNumberFormat="0" applyFont="0" applyAlignment="0"/>
    <xf numFmtId="3" fontId="182" fillId="88" borderId="186" applyNumberFormat="0" applyFont="0" applyAlignment="0"/>
    <xf numFmtId="3" fontId="182" fillId="88" borderId="186" applyNumberFormat="0" applyFont="0" applyAlignment="0"/>
    <xf numFmtId="3" fontId="182" fillId="88" borderId="186" applyNumberFormat="0" applyFont="0" applyAlignment="0"/>
    <xf numFmtId="247"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247" fontId="180" fillId="107" borderId="186" applyNumberFormat="0" applyFill="0" applyBorder="0" applyAlignment="0" applyProtection="0"/>
    <xf numFmtId="0"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0"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247" fontId="180" fillId="107" borderId="186" applyNumberFormat="0" applyFill="0" applyBorder="0" applyAlignment="0" applyProtection="0"/>
    <xf numFmtId="0" fontId="180" fillId="107" borderId="186" applyNumberFormat="0" applyFill="0" applyBorder="0" applyAlignment="0" applyProtection="0"/>
    <xf numFmtId="0" fontId="184" fillId="108" borderId="192" applyNumberFormat="0" applyAlignment="0" applyProtection="0"/>
    <xf numFmtId="0" fontId="184" fillId="108" borderId="192" applyNumberFormat="0" applyAlignment="0" applyProtection="0"/>
    <xf numFmtId="252" fontId="105" fillId="0" borderId="192" applyNumberFormat="0" applyFont="0" applyFill="0" applyAlignment="0">
      <alignment vertical="center"/>
    </xf>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252" fontId="105" fillId="0" borderId="192" applyNumberFormat="0" applyFont="0" applyFill="0" applyAlignment="0">
      <alignment vertical="center"/>
    </xf>
    <xf numFmtId="0" fontId="105" fillId="0" borderId="192" applyNumberFormat="0" applyFont="0" applyFill="0"/>
    <xf numFmtId="252" fontId="105" fillId="0" borderId="192" applyNumberFormat="0" applyFont="0" applyFill="0" applyAlignment="0">
      <alignment vertical="center"/>
    </xf>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105" fillId="0" borderId="192" applyNumberFormat="0" applyFont="0" applyFill="0"/>
    <xf numFmtId="0" fontId="202" fillId="0" borderId="181" applyNumberFormat="0" applyFont="0" applyFill="0" applyAlignment="0" applyProtection="0"/>
    <xf numFmtId="0" fontId="150" fillId="0" borderId="185" applyNumberFormat="0" applyFont="0" applyFill="0" applyAlignment="0" applyProtection="0"/>
    <xf numFmtId="0" fontId="150" fillId="0" borderId="185" applyNumberFormat="0" applyFont="0" applyFill="0" applyAlignment="0" applyProtection="0"/>
    <xf numFmtId="0" fontId="150" fillId="0" borderId="185"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84" applyNumberFormat="0" applyFont="0" applyFill="0" applyAlignment="0" applyProtection="0"/>
    <xf numFmtId="0" fontId="150" fillId="0" borderId="184" applyNumberFormat="0" applyFont="0" applyFill="0" applyAlignment="0" applyProtection="0"/>
    <xf numFmtId="0" fontId="150" fillId="0" borderId="184" applyNumberFormat="0" applyFont="0" applyFill="0" applyAlignment="0" applyProtection="0"/>
    <xf numFmtId="0" fontId="150" fillId="0" borderId="184" applyNumberFormat="0" applyFont="0" applyFill="0" applyAlignment="0" applyProtection="0"/>
    <xf numFmtId="0" fontId="150" fillId="0" borderId="184" applyNumberFormat="0" applyFont="0" applyFill="0" applyAlignment="0" applyProtection="0"/>
    <xf numFmtId="0" fontId="150" fillId="0" borderId="184" applyNumberFormat="0" applyFont="0" applyFill="0" applyAlignment="0" applyProtection="0"/>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3" fontId="45" fillId="41" borderId="185">
      <protection hidden="1"/>
    </xf>
    <xf numFmtId="0" fontId="205" fillId="0" borderId="185" applyBorder="0"/>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vertical="center"/>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3" fontId="207" fillId="69" borderId="186"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3" applyNumberFormat="0" applyFill="0" applyBorder="0" applyAlignment="0" applyProtection="0">
      <alignment horizontal="center"/>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1" fillId="0" borderId="193" applyNumberFormat="0" applyFill="0" applyBorder="0" applyAlignment="0" applyProtection="0">
      <alignment horizontal="center"/>
      <protection locked="0"/>
    </xf>
    <xf numFmtId="0" fontId="221" fillId="0" borderId="193" applyNumberFormat="0" applyFill="0" applyBorder="0" applyAlignment="0" applyProtection="0">
      <alignment horizontal="center"/>
      <protection locked="0"/>
    </xf>
    <xf numFmtId="0" fontId="221" fillId="0" borderId="193" applyNumberFormat="0" applyFill="0" applyBorder="0" applyAlignment="0" applyProtection="0">
      <alignment horizontal="center"/>
      <protection locked="0"/>
    </xf>
    <xf numFmtId="0" fontId="221" fillId="0" borderId="193" applyNumberFormat="0" applyFill="0" applyBorder="0" applyAlignment="0" applyProtection="0">
      <alignment horizontal="center"/>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22" fillId="0" borderId="193"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28" fillId="119" borderId="183" applyNumberFormat="0" applyBorder="0">
      <alignment horizontal="left"/>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0" fontId="233" fillId="120" borderId="186" applyNumberFormat="0" applyBorder="0" applyAlignment="0">
      <alignment horizontal="center"/>
      <protection locked="0"/>
    </xf>
    <xf numFmtId="0" fontId="233" fillId="120" borderId="186" applyNumberFormat="0" applyBorder="0" applyAlignment="0">
      <alignment horizontal="center"/>
      <protection locked="0"/>
    </xf>
    <xf numFmtId="3" fontId="234" fillId="121" borderId="193" applyNumberFormat="0" applyBorder="0" applyAlignment="0" applyProtection="0">
      <protection hidden="1"/>
    </xf>
    <xf numFmtId="281" fontId="2" fillId="0" borderId="0" applyFont="0" applyFill="0" applyBorder="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45" fillId="113" borderId="188" applyAlignment="0" applyProtection="0"/>
    <xf numFmtId="0" fontId="45" fillId="113" borderId="188" applyAlignment="0" applyProtection="0"/>
    <xf numFmtId="0" fontId="45" fillId="113" borderId="188" applyAlignment="0" applyProtection="0"/>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37" fillId="0" borderId="188">
      <alignment horizontal="left" vertical="center"/>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0" borderId="0" applyNumberFormat="0" applyFont="0" applyFill="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0" fontId="272" fillId="0" borderId="191">
      <protection locked="0"/>
    </xf>
    <xf numFmtId="2" fontId="234" fillId="129" borderId="191" applyNumberFormat="0" applyBorder="0" applyAlignment="0" applyProtection="0">
      <alignment horizontal="center"/>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49" fontId="2" fillId="71" borderId="186" applyFont="0" applyAlignment="0">
      <protection locked="0"/>
    </xf>
    <xf numFmtId="49" fontId="2" fillId="71" borderId="186" applyFont="0" applyAlignment="0">
      <protection locked="0"/>
    </xf>
    <xf numFmtId="317" fontId="161" fillId="0" borderId="191" applyBorder="0"/>
    <xf numFmtId="253" fontId="229" fillId="96" borderId="191" applyBorder="0"/>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2" fontId="234" fillId="107" borderId="186" applyNumberFormat="0" applyBorder="0" applyAlignment="0">
      <protection locked="0"/>
    </xf>
    <xf numFmtId="3" fontId="210" fillId="0" borderId="129">
      <alignment vertical="center"/>
    </xf>
    <xf numFmtId="37" fontId="202" fillId="0" borderId="0" applyNumberFormat="0" applyFill="0" applyAlignment="0"/>
    <xf numFmtId="0" fontId="284" fillId="104" borderId="187">
      <alignment horizontal="center" vertical="top" wrapText="1"/>
    </xf>
    <xf numFmtId="0" fontId="284" fillId="104" borderId="187">
      <alignment horizontal="center" vertical="top" wrapText="1"/>
    </xf>
    <xf numFmtId="0" fontId="284" fillId="104" borderId="187">
      <alignment horizontal="center" vertical="top" wrapText="1"/>
    </xf>
    <xf numFmtId="0" fontId="284" fillId="104" borderId="187">
      <alignment horizontal="center" vertical="top" wrapText="1"/>
    </xf>
    <xf numFmtId="0" fontId="2" fillId="0" borderId="188"/>
    <xf numFmtId="0" fontId="2" fillId="0" borderId="188"/>
    <xf numFmtId="0" fontId="2" fillId="0" borderId="188"/>
    <xf numFmtId="0" fontId="2" fillId="0" borderId="188"/>
    <xf numFmtId="0" fontId="45" fillId="70" borderId="182"/>
    <xf numFmtId="0" fontId="45" fillId="70" borderId="182"/>
    <xf numFmtId="0" fontId="45" fillId="70" borderId="182"/>
    <xf numFmtId="0" fontId="45" fillId="70" borderId="182"/>
    <xf numFmtId="0" fontId="45" fillId="0" borderId="183"/>
    <xf numFmtId="0" fontId="45" fillId="0" borderId="183"/>
    <xf numFmtId="0" fontId="45"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84" fillId="132" borderId="187">
      <alignment horizontal="center" vertical="top"/>
    </xf>
    <xf numFmtId="0" fontId="284" fillId="132" borderId="187">
      <alignment horizontal="center" vertical="top"/>
    </xf>
    <xf numFmtId="0" fontId="45" fillId="0" borderId="182"/>
    <xf numFmtId="0" fontId="45" fillId="0" borderId="182"/>
    <xf numFmtId="0" fontId="45" fillId="0" borderId="182"/>
    <xf numFmtId="0" fontId="45" fillId="0" borderId="182"/>
    <xf numFmtId="0" fontId="2" fillId="0" borderId="187"/>
    <xf numFmtId="0" fontId="2" fillId="0" borderId="187"/>
    <xf numFmtId="0" fontId="2" fillId="0" borderId="187"/>
    <xf numFmtId="0" fontId="2" fillId="0" borderId="187"/>
    <xf numFmtId="0" fontId="2" fillId="0" borderId="187"/>
    <xf numFmtId="0" fontId="285" fillId="70" borderId="193"/>
    <xf numFmtId="0" fontId="285" fillId="70" borderId="193"/>
    <xf numFmtId="0" fontId="2" fillId="0" borderId="183">
      <alignment horizontal="center"/>
    </xf>
    <xf numFmtId="0" fontId="2" fillId="0" borderId="183">
      <alignment horizontal="center"/>
    </xf>
    <xf numFmtId="0" fontId="2" fillId="0" borderId="183">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9">
      <alignment horizontal="center"/>
    </xf>
    <xf numFmtId="0" fontId="2" fillId="0" borderId="189">
      <alignment horizontal="center"/>
    </xf>
    <xf numFmtId="0" fontId="284" fillId="132" borderId="187">
      <alignment horizontal="center" vertical="top" wrapText="1"/>
    </xf>
    <xf numFmtId="0" fontId="284" fillId="132" borderId="187">
      <alignment horizontal="center" vertical="top" wrapText="1"/>
    </xf>
    <xf numFmtId="0" fontId="284" fillId="132" borderId="187">
      <alignment horizontal="center" vertical="top" wrapText="1"/>
    </xf>
    <xf numFmtId="0" fontId="284" fillId="132" borderId="187">
      <alignment horizontal="center" vertical="top" wrapText="1"/>
    </xf>
    <xf numFmtId="3" fontId="2" fillId="0" borderId="188"/>
    <xf numFmtId="3" fontId="2" fillId="0" borderId="188"/>
    <xf numFmtId="3" fontId="2" fillId="0" borderId="188"/>
    <xf numFmtId="3" fontId="2" fillId="0" borderId="188"/>
    <xf numFmtId="0" fontId="45" fillId="70" borderId="182">
      <alignment horizontal="center"/>
    </xf>
    <xf numFmtId="0" fontId="45" fillId="70" borderId="182">
      <alignment horizontal="center"/>
    </xf>
    <xf numFmtId="0" fontId="45" fillId="70" borderId="182">
      <alignment horizontal="center"/>
    </xf>
    <xf numFmtId="0" fontId="45" fillId="70" borderId="182">
      <alignment horizontal="center"/>
    </xf>
    <xf numFmtId="0" fontId="45" fillId="70" borderId="188">
      <alignment horizontal="center"/>
    </xf>
    <xf numFmtId="0" fontId="45" fillId="70" borderId="188">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3">
      <alignment horizontal="left" vertical="top"/>
    </xf>
    <xf numFmtId="0" fontId="45" fillId="70" borderId="183">
      <alignment horizontal="left" vertical="top"/>
    </xf>
    <xf numFmtId="0" fontId="45" fillId="70" borderId="183">
      <alignment horizontal="left" vertical="top"/>
    </xf>
    <xf numFmtId="0" fontId="284" fillId="132" borderId="188">
      <alignment horizontal="center" vertical="center"/>
    </xf>
    <xf numFmtId="0" fontId="284" fillId="132" borderId="188">
      <alignment horizontal="center" vertical="center"/>
    </xf>
    <xf numFmtId="0" fontId="284" fillId="132" borderId="187">
      <alignment horizontal="center" vertical="center"/>
    </xf>
    <xf numFmtId="0" fontId="284" fillId="132" borderId="187">
      <alignment horizontal="center" vertical="center"/>
    </xf>
    <xf numFmtId="0" fontId="284" fillId="132" borderId="187">
      <alignment horizontal="center" vertical="center"/>
    </xf>
    <xf numFmtId="0" fontId="284" fillId="132" borderId="187">
      <alignment horizontal="center" vertical="center"/>
    </xf>
    <xf numFmtId="0" fontId="284" fillId="104" borderId="182">
      <alignment horizontal="center" vertical="center"/>
    </xf>
    <xf numFmtId="0" fontId="284" fillId="104" borderId="182">
      <alignment horizontal="center" vertical="center"/>
    </xf>
    <xf numFmtId="0" fontId="284" fillId="104" borderId="182">
      <alignment horizontal="center" vertical="center"/>
    </xf>
    <xf numFmtId="0" fontId="284" fillId="104" borderId="182">
      <alignment horizontal="center" vertical="center"/>
    </xf>
    <xf numFmtId="0" fontId="284" fillId="104" borderId="188">
      <alignment horizontal="center" vertical="center"/>
    </xf>
    <xf numFmtId="0" fontId="284" fillId="104" borderId="188">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 fillId="0" borderId="184"/>
    <xf numFmtId="0" fontId="2" fillId="0" borderId="184"/>
    <xf numFmtId="0" fontId="2" fillId="0" borderId="184"/>
    <xf numFmtId="0" fontId="2" fillId="0" borderId="184"/>
    <xf numFmtId="0" fontId="2" fillId="0" borderId="189"/>
    <xf numFmtId="0" fontId="2" fillId="0" borderId="189"/>
    <xf numFmtId="0" fontId="2" fillId="0" borderId="0" applyNumberFormat="0" applyFont="0" applyFill="0" applyBorder="0" applyAlignment="0" applyProtection="0"/>
    <xf numFmtId="0" fontId="287" fillId="0" borderId="191"/>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173" fontId="234" fillId="134" borderId="191" applyNumberFormat="0" applyBorder="0" applyAlignment="0" applyProtection="0">
      <alignment horizontal="center"/>
      <protection hidden="1"/>
    </xf>
    <xf numFmtId="3" fontId="288" fillId="57" borderId="186" applyNumberFormat="0" applyBorder="0" applyAlignment="0" applyProtection="0">
      <protection hidden="1"/>
    </xf>
    <xf numFmtId="3" fontId="289" fillId="135" borderId="193" applyNumberFormat="0" applyBorder="0" applyAlignment="0" applyProtection="0">
      <protection hidden="1"/>
    </xf>
    <xf numFmtId="0" fontId="19" fillId="131" borderId="191" applyNumberFormat="0" applyFont="0" applyBorder="0" applyAlignment="0" applyProtection="0">
      <alignment horizontal="center"/>
    </xf>
    <xf numFmtId="0" fontId="19" fillId="131"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61" fillId="0" borderId="194" applyNumberFormat="0" applyAlignment="0" applyProtection="0"/>
    <xf numFmtId="0" fontId="10" fillId="0" borderId="0"/>
    <xf numFmtId="0" fontId="46" fillId="69" borderId="185">
      <alignment horizontal="center"/>
    </xf>
    <xf numFmtId="0" fontId="41" fillId="0" borderId="181">
      <alignment horizontal="center"/>
    </xf>
    <xf numFmtId="0" fontId="45" fillId="92" borderId="185" applyNumberFormat="0" applyBorder="0" applyAlignment="0"/>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0" fontId="298" fillId="45" borderId="186"/>
    <xf numFmtId="0" fontId="2" fillId="0" borderId="195">
      <alignment vertical="center"/>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 fontId="2" fillId="69" borderId="186" applyFont="0">
      <alignment horizontal="right"/>
    </xf>
    <xf numFmtId="3" fontId="2" fillId="69" borderId="186" applyFont="0">
      <alignment horizontal="right"/>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 fontId="2" fillId="68" borderId="188" applyBorder="0"/>
    <xf numFmtId="3" fontId="2" fillId="68" borderId="188" applyBorder="0"/>
    <xf numFmtId="3" fontId="2" fillId="68" borderId="188" applyBorder="0"/>
    <xf numFmtId="3" fontId="2" fillId="68" borderId="188" applyBorder="0"/>
    <xf numFmtId="3" fontId="2" fillId="68" borderId="188" applyBorder="0"/>
    <xf numFmtId="2" fontId="314" fillId="0" borderId="191" applyNumberFormat="0" applyFill="0" applyBorder="0" applyAlignment="0" applyProtection="0">
      <alignment horizontal="center"/>
      <protection locked="0"/>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0" fontId="161" fillId="0" borderId="186" applyNumberFormat="0" applyFont="0" applyFill="0" applyBorder="0" applyAlignment="0">
      <protection hidden="1"/>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49" fontId="2" fillId="144" borderId="186" applyFont="0"/>
    <xf numFmtId="49" fontId="2" fillId="144"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49" fontId="2" fillId="93" borderId="186" applyFont="0"/>
    <xf numFmtId="49" fontId="2" fillId="93" borderId="186" applyFont="0"/>
    <xf numFmtId="0" fontId="321" fillId="0" borderId="188" applyNumberFormat="0" applyProtection="0">
      <alignment horizontal="left" vertical="top"/>
    </xf>
    <xf numFmtId="0" fontId="321" fillId="0" borderId="188" applyNumberFormat="0" applyProtection="0">
      <alignment horizontal="left" vertical="top"/>
    </xf>
    <xf numFmtId="0" fontId="321" fillId="0" borderId="188" applyNumberFormat="0" applyProtection="0">
      <alignment horizontal="left" vertical="top"/>
    </xf>
    <xf numFmtId="0" fontId="321" fillId="0" borderId="188" applyNumberFormat="0" applyProtection="0">
      <alignment horizontal="right" vertical="top"/>
    </xf>
    <xf numFmtId="0" fontId="321" fillId="0" borderId="188" applyNumberFormat="0" applyProtection="0">
      <alignment horizontal="right" vertical="top"/>
    </xf>
    <xf numFmtId="0" fontId="321" fillId="0" borderId="188" applyNumberFormat="0" applyProtection="0">
      <alignment horizontal="right" vertical="top"/>
    </xf>
    <xf numFmtId="0" fontId="321" fillId="0" borderId="188" applyNumberFormat="0" applyProtection="0">
      <alignment horizontal="right" vertical="top"/>
    </xf>
    <xf numFmtId="0" fontId="321" fillId="0" borderId="188" applyNumberFormat="0" applyProtection="0">
      <alignment horizontal="right" vertical="top"/>
    </xf>
    <xf numFmtId="0" fontId="318" fillId="0" borderId="188" applyNumberFormat="0" applyFill="0" applyAlignment="0" applyProtection="0"/>
    <xf numFmtId="0" fontId="318" fillId="0" borderId="188" applyNumberFormat="0" applyFill="0" applyAlignment="0" applyProtection="0"/>
    <xf numFmtId="0" fontId="318" fillId="0" borderId="188" applyNumberFormat="0" applyFill="0" applyAlignment="0" applyProtection="0"/>
    <xf numFmtId="0" fontId="318" fillId="0" borderId="188" applyNumberFormat="0" applyFill="0" applyAlignment="0" applyProtection="0"/>
    <xf numFmtId="0" fontId="318" fillId="0" borderId="188" applyNumberFormat="0" applyFill="0" applyAlignment="0" applyProtection="0"/>
    <xf numFmtId="0" fontId="317" fillId="0" borderId="184" applyNumberFormat="0" applyFont="0" applyFill="0" applyAlignment="0" applyProtection="0">
      <alignment horizontal="left" vertical="top"/>
    </xf>
    <xf numFmtId="0" fontId="317" fillId="0" borderId="184" applyNumberFormat="0" applyFont="0" applyFill="0" applyAlignment="0" applyProtection="0">
      <alignment horizontal="left" vertical="top"/>
    </xf>
    <xf numFmtId="0" fontId="317" fillId="0" borderId="184" applyNumberFormat="0" applyFont="0" applyFill="0" applyAlignment="0" applyProtection="0">
      <alignment horizontal="left" vertical="top"/>
    </xf>
    <xf numFmtId="0" fontId="317" fillId="0" borderId="184" applyNumberFormat="0" applyFont="0" applyFill="0" applyAlignment="0" applyProtection="0">
      <alignment horizontal="left" vertical="top"/>
    </xf>
    <xf numFmtId="0" fontId="317" fillId="0" borderId="184" applyNumberFormat="0" applyFont="0" applyFill="0" applyAlignment="0" applyProtection="0">
      <alignment horizontal="left" vertical="top"/>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56" fillId="0" borderId="185" applyFill="0" applyBorder="0" applyProtection="0">
      <alignment horizontal="left" vertical="top"/>
    </xf>
    <xf numFmtId="0" fontId="186" fillId="131" borderId="197" applyNumberFormat="0" applyFont="0">
      <alignment horizontal="center" vertical="center"/>
    </xf>
    <xf numFmtId="350" fontId="45" fillId="68" borderId="193" applyNumberFormat="0" applyBorder="0" applyAlignment="0">
      <alignment horizontal="right"/>
    </xf>
    <xf numFmtId="0" fontId="332" fillId="0" borderId="183"/>
    <xf numFmtId="0" fontId="332" fillId="0" borderId="183"/>
    <xf numFmtId="0" fontId="332" fillId="0" borderId="183"/>
    <xf numFmtId="0" fontId="332" fillId="0" borderId="183"/>
    <xf numFmtId="0" fontId="332"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73" fillId="0" borderId="198" applyProtection="0">
      <alignment horizontal="center"/>
    </xf>
    <xf numFmtId="0" fontId="273" fillId="0" borderId="198" applyProtection="0">
      <alignment horizontal="center"/>
    </xf>
    <xf numFmtId="0" fontId="273" fillId="0" borderId="198" applyProtection="0">
      <alignment horizontal="center"/>
    </xf>
    <xf numFmtId="0" fontId="273" fillId="0" borderId="198" applyProtection="0">
      <alignment horizontal="center"/>
    </xf>
    <xf numFmtId="0" fontId="273" fillId="0" borderId="198" applyProtection="0">
      <alignment horizontal="center"/>
    </xf>
    <xf numFmtId="0" fontId="334" fillId="0" borderId="193" applyNumberFormat="0" applyFill="0" applyBorder="0" applyAlignment="0" applyProtection="0">
      <alignment horizontal="center"/>
      <protection locked="0"/>
    </xf>
    <xf numFmtId="37" fontId="161" fillId="150" borderId="186" applyNumberFormat="0" applyAlignment="0" applyProtection="0"/>
    <xf numFmtId="37" fontId="161" fillId="150" borderId="186" applyNumberFormat="0" applyAlignment="0" applyProtection="0"/>
    <xf numFmtId="37" fontId="161" fillId="150" borderId="186" applyNumberFormat="0" applyAlignment="0" applyProtection="0"/>
    <xf numFmtId="37" fontId="161" fillId="150" borderId="186" applyNumberFormat="0" applyAlignment="0" applyProtection="0"/>
    <xf numFmtId="37" fontId="161" fillId="150" borderId="186" applyNumberForma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2" fontId="234" fillId="69" borderId="186" applyBorder="0" applyAlignment="0"/>
    <xf numFmtId="165" fontId="340" fillId="69" borderId="185">
      <alignment horizontal="center"/>
    </xf>
    <xf numFmtId="0" fontId="347" fillId="0" borderId="0" applyNumberFormat="0" applyFill="0" applyBorder="0" applyAlignment="0" applyProtection="0"/>
    <xf numFmtId="0" fontId="1" fillId="0" borderId="0"/>
    <xf numFmtId="0" fontId="1" fillId="0" borderId="0"/>
  </cellStyleXfs>
  <cellXfs count="809">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6" xfId="0" applyFont="1" applyBorder="1" applyAlignment="1">
      <alignment horizontal="right" vertical="center" wrapText="1"/>
    </xf>
    <xf numFmtId="0" fontId="2" fillId="0" borderId="14" xfId="0" applyFont="1" applyBorder="1" applyAlignment="1">
      <alignment vertical="center" wrapText="1"/>
    </xf>
    <xf numFmtId="0" fontId="2" fillId="0" borderId="16"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7"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7" xfId="0" applyNumberFormat="1" applyFont="1" applyFill="1" applyBorder="1" applyAlignment="1" applyProtection="1">
      <alignment vertical="center"/>
      <protection locked="0"/>
    </xf>
    <xf numFmtId="191" fontId="2" fillId="2" borderId="20" xfId="0" applyNumberFormat="1" applyFont="1" applyFill="1" applyBorder="1" applyAlignment="1" applyProtection="1">
      <alignment vertical="center"/>
      <protection locked="0"/>
    </xf>
    <xf numFmtId="191" fontId="87" fillId="2" borderId="20" xfId="0" applyNumberFormat="1" applyFont="1" applyFill="1" applyBorder="1" applyAlignment="1" applyProtection="1">
      <alignment vertical="center"/>
      <protection locked="0"/>
    </xf>
    <xf numFmtId="191" fontId="87" fillId="2" borderId="21"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6" xfId="0" applyFont="1" applyBorder="1" applyAlignment="1">
      <alignment horizontal="center" vertical="center" wrapText="1"/>
    </xf>
    <xf numFmtId="0" fontId="84" fillId="0" borderId="3" xfId="0" applyFont="1" applyBorder="1" applyAlignment="1">
      <alignment vertical="center" wrapText="1"/>
    </xf>
    <xf numFmtId="0" fontId="84" fillId="0" borderId="19" xfId="0" applyFont="1" applyBorder="1" applyAlignment="1">
      <alignment horizontal="center" vertical="center" wrapText="1"/>
    </xf>
    <xf numFmtId="0" fontId="86" fillId="0" borderId="20"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3" xfId="0" applyFont="1" applyBorder="1"/>
    <xf numFmtId="0" fontId="2" fillId="0" borderId="16" xfId="0" applyFont="1" applyBorder="1" applyAlignment="1">
      <alignment vertical="center"/>
    </xf>
    <xf numFmtId="0" fontId="2" fillId="0" borderId="6" xfId="0" applyFont="1" applyBorder="1" applyAlignment="1">
      <alignment wrapText="1"/>
    </xf>
    <xf numFmtId="0" fontId="84" fillId="0" borderId="18" xfId="0" applyFont="1" applyBorder="1"/>
    <xf numFmtId="0" fontId="85" fillId="0" borderId="0" xfId="0" applyFont="1" applyAlignment="1">
      <alignment wrapText="1"/>
    </xf>
    <xf numFmtId="0" fontId="2" fillId="0" borderId="18" xfId="0" applyFont="1" applyBorder="1" applyAlignment="1">
      <alignment wrapText="1"/>
    </xf>
    <xf numFmtId="0" fontId="2" fillId="0" borderId="19" xfId="0" applyFont="1" applyBorder="1"/>
    <xf numFmtId="0" fontId="2" fillId="0" borderId="22" xfId="0" applyFont="1" applyBorder="1" applyAlignment="1">
      <alignment wrapText="1"/>
    </xf>
    <xf numFmtId="0" fontId="84" fillId="0" borderId="35"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6" xfId="0" applyFont="1" applyBorder="1" applyAlignment="1">
      <alignment horizontal="center" vertical="center"/>
    </xf>
    <xf numFmtId="0" fontId="84" fillId="0" borderId="9" xfId="0" applyFont="1" applyBorder="1" applyAlignment="1">
      <alignment wrapText="1"/>
    </xf>
    <xf numFmtId="0" fontId="84" fillId="0" borderId="0" xfId="0" applyFont="1" applyAlignment="1">
      <alignment horizontal="center" vertical="center"/>
    </xf>
    <xf numFmtId="0" fontId="2" fillId="0" borderId="13" xfId="9" applyFont="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5" xfId="2" applyNumberFormat="1" applyFont="1" applyFill="1" applyBorder="1" applyAlignment="1" applyProtection="1">
      <alignment horizontal="center" vertical="center"/>
      <protection locked="0"/>
    </xf>
    <xf numFmtId="0" fontId="2" fillId="0" borderId="16"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7" xfId="2" applyNumberFormat="1" applyFont="1" applyFill="1" applyBorder="1" applyAlignment="1" applyProtection="1">
      <alignment vertical="top"/>
    </xf>
    <xf numFmtId="0" fontId="2" fillId="3" borderId="5" xfId="13" applyFont="1" applyFill="1" applyBorder="1" applyAlignment="1" applyProtection="1">
      <alignment vertical="center" wrapText="1"/>
      <protection locked="0"/>
    </xf>
    <xf numFmtId="191" fontId="2" fillId="3" borderId="17"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7" xfId="2" applyNumberFormat="1" applyFont="1" applyFill="1" applyBorder="1" applyAlignment="1" applyProtection="1">
      <alignment vertical="top" wrapText="1"/>
    </xf>
    <xf numFmtId="0" fontId="2" fillId="3" borderId="5" xfId="13" applyFont="1" applyFill="1" applyBorder="1" applyAlignment="1" applyProtection="1">
      <alignment horizontal="left" vertical="center" wrapText="1"/>
      <protection locked="0"/>
    </xf>
    <xf numFmtId="191" fontId="2" fillId="3"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6"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0" xfId="13" applyFont="1" applyFill="1" applyBorder="1" applyAlignment="1" applyProtection="1">
      <alignment vertical="center" wrapText="1"/>
      <protection locked="0"/>
    </xf>
    <xf numFmtId="191" fontId="2" fillId="35" borderId="21" xfId="2" applyNumberFormat="1" applyFont="1" applyFill="1" applyBorder="1" applyAlignment="1" applyProtection="1">
      <alignment vertical="top" wrapText="1"/>
    </xf>
    <xf numFmtId="0" fontId="45" fillId="0" borderId="0" xfId="11" applyFont="1"/>
    <xf numFmtId="167" fontId="85" fillId="0" borderId="0" xfId="0" applyNumberFormat="1" applyFont="1" applyAlignment="1">
      <alignment horizontal="center"/>
    </xf>
    <xf numFmtId="167" fontId="84" fillId="0" borderId="55" xfId="0" applyNumberFormat="1" applyFont="1" applyBorder="1" applyAlignment="1">
      <alignment horizontal="center"/>
    </xf>
    <xf numFmtId="167" fontId="92" fillId="0" borderId="0" xfId="0" applyNumberFormat="1" applyFont="1" applyAlignment="1">
      <alignment horizontal="center"/>
    </xf>
    <xf numFmtId="167" fontId="84" fillId="0" borderId="57" xfId="0" applyNumberFormat="1" applyFont="1" applyBorder="1" applyAlignment="1">
      <alignment horizontal="center"/>
    </xf>
    <xf numFmtId="167" fontId="90" fillId="0" borderId="0" xfId="0" applyNumberFormat="1" applyFont="1" applyAlignment="1">
      <alignment horizontal="center"/>
    </xf>
    <xf numFmtId="191" fontId="88" fillId="0" borderId="10" xfId="0" applyNumberFormat="1" applyFont="1" applyBorder="1" applyAlignment="1">
      <alignment vertical="center"/>
    </xf>
    <xf numFmtId="167" fontId="84" fillId="0" borderId="58" xfId="0" applyNumberFormat="1" applyFont="1" applyBorder="1" applyAlignment="1">
      <alignment horizontal="center"/>
    </xf>
    <xf numFmtId="0" fontId="84" fillId="0" borderId="16" xfId="0" applyFont="1" applyBorder="1" applyAlignment="1">
      <alignment vertical="center"/>
    </xf>
    <xf numFmtId="191" fontId="84" fillId="0" borderId="3" xfId="0" applyNumberFormat="1" applyFont="1" applyBorder="1"/>
    <xf numFmtId="0" fontId="2" fillId="3" borderId="19" xfId="9" applyFont="1" applyFill="1" applyBorder="1" applyAlignment="1" applyProtection="1">
      <alignment horizontal="left" vertical="center"/>
      <protection locked="0"/>
    </xf>
    <xf numFmtId="0" fontId="45" fillId="3" borderId="20" xfId="16" applyFont="1" applyFill="1" applyBorder="1" applyProtection="1">
      <protection locked="0"/>
    </xf>
    <xf numFmtId="191" fontId="84" fillId="35" borderId="20" xfId="0" applyNumberFormat="1" applyFont="1" applyFill="1" applyBorder="1"/>
    <xf numFmtId="0" fontId="86" fillId="0" borderId="0" xfId="0" applyFont="1" applyAlignment="1">
      <alignment horizontal="center"/>
    </xf>
    <xf numFmtId="0" fontId="84" fillId="0" borderId="13" xfId="0" applyFont="1" applyBorder="1"/>
    <xf numFmtId="0" fontId="84" fillId="0" borderId="15" xfId="0" applyFont="1" applyBorder="1"/>
    <xf numFmtId="0" fontId="84" fillId="0" borderId="17" xfId="0" applyFont="1" applyBorder="1" applyAlignment="1">
      <alignment horizontal="center" vertical="center"/>
    </xf>
    <xf numFmtId="164" fontId="2" fillId="3" borderId="16"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7" xfId="1" applyNumberFormat="1" applyFont="1" applyFill="1" applyBorder="1" applyAlignment="1" applyProtection="1">
      <alignment horizontal="center" vertical="center" wrapText="1"/>
      <protection locked="0"/>
    </xf>
    <xf numFmtId="0" fontId="2" fillId="3" borderId="16" xfId="5" applyFill="1" applyBorder="1" applyAlignment="1" applyProtection="1">
      <alignment horizontal="right" vertical="center"/>
      <protection locked="0"/>
    </xf>
    <xf numFmtId="191" fontId="84" fillId="0" borderId="16" xfId="0" applyNumberFormat="1" applyFont="1" applyBorder="1"/>
    <xf numFmtId="191" fontId="84" fillId="0" borderId="17" xfId="0" applyNumberFormat="1" applyFont="1" applyBorder="1"/>
    <xf numFmtId="191" fontId="84" fillId="35" borderId="49" xfId="0" applyNumberFormat="1" applyFont="1" applyFill="1" applyBorder="1"/>
    <xf numFmtId="0" fontId="45" fillId="3" borderId="21" xfId="16" applyFont="1" applyFill="1" applyBorder="1" applyProtection="1">
      <protection locked="0"/>
    </xf>
    <xf numFmtId="191" fontId="84" fillId="35" borderId="19" xfId="0" applyNumberFormat="1" applyFont="1" applyFill="1" applyBorder="1"/>
    <xf numFmtId="191" fontId="84" fillId="35" borderId="21" xfId="0" applyNumberFormat="1" applyFont="1" applyFill="1" applyBorder="1"/>
    <xf numFmtId="191" fontId="84" fillId="35" borderId="50" xfId="0" applyNumberFormat="1" applyFont="1" applyFill="1" applyBorder="1"/>
    <xf numFmtId="0" fontId="84" fillId="0" borderId="14" xfId="0" applyFont="1" applyBorder="1"/>
    <xf numFmtId="0" fontId="89" fillId="0" borderId="0" xfId="0" applyFont="1" applyAlignment="1">
      <alignment wrapText="1"/>
    </xf>
    <xf numFmtId="0" fontId="84" fillId="0" borderId="16" xfId="0" applyFont="1" applyBorder="1"/>
    <xf numFmtId="0" fontId="84" fillId="0" borderId="3" xfId="0" applyFont="1" applyBorder="1"/>
    <xf numFmtId="0" fontId="84" fillId="0" borderId="59" xfId="0" applyFont="1" applyBorder="1" applyAlignment="1">
      <alignment wrapText="1"/>
    </xf>
    <xf numFmtId="0" fontId="84" fillId="0" borderId="19" xfId="0" applyFont="1" applyBorder="1"/>
    <xf numFmtId="0" fontId="86" fillId="0" borderId="20" xfId="0" applyFont="1" applyBorder="1"/>
    <xf numFmtId="0" fontId="2" fillId="0" borderId="3" xfId="13" applyFont="1" applyBorder="1" applyAlignment="1" applyProtection="1">
      <alignment horizontal="center" vertical="center" wrapText="1"/>
      <protection locked="0"/>
    </xf>
    <xf numFmtId="0" fontId="45" fillId="0" borderId="23"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0" xfId="0" applyFont="1" applyBorder="1" applyAlignment="1">
      <alignment vertical="center" wrapText="1"/>
    </xf>
    <xf numFmtId="0" fontId="84" fillId="0" borderId="3" xfId="0" applyFont="1" applyBorder="1" applyAlignment="1">
      <alignment wrapText="1"/>
    </xf>
    <xf numFmtId="0" fontId="86" fillId="35" borderId="3" xfId="0" applyFont="1" applyFill="1" applyBorder="1" applyAlignment="1">
      <alignment wrapText="1"/>
    </xf>
    <xf numFmtId="0" fontId="86" fillId="35" borderId="20" xfId="0" applyFont="1" applyFill="1" applyBorder="1" applyAlignment="1">
      <alignment wrapText="1"/>
    </xf>
    <xf numFmtId="0" fontId="84" fillId="0" borderId="13" xfId="0" applyFont="1" applyBorder="1" applyAlignment="1">
      <alignment horizontal="center" vertical="center"/>
    </xf>
    <xf numFmtId="191" fontId="84" fillId="35" borderId="15" xfId="0" applyNumberFormat="1" applyFont="1" applyFill="1" applyBorder="1" applyAlignment="1">
      <alignment horizontal="center" vertical="center"/>
    </xf>
    <xf numFmtId="191" fontId="84" fillId="0" borderId="17" xfId="0" applyNumberFormat="1" applyFont="1" applyBorder="1" applyAlignment="1">
      <alignment wrapText="1"/>
    </xf>
    <xf numFmtId="191" fontId="84" fillId="35" borderId="17" xfId="0" applyNumberFormat="1" applyFont="1" applyFill="1" applyBorder="1" applyAlignment="1">
      <alignment horizontal="center" vertical="center" wrapText="1"/>
    </xf>
    <xf numFmtId="191" fontId="84" fillId="35" borderId="21"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3" xfId="0" applyFont="1" applyBorder="1" applyAlignment="1">
      <alignment horizontal="center" vertical="center" wrapText="1"/>
    </xf>
    <xf numFmtId="0" fontId="84" fillId="0" borderId="14"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7"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4"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xf>
    <xf numFmtId="0" fontId="97" fillId="0" borderId="0" xfId="0" applyFont="1"/>
    <xf numFmtId="0" fontId="3" fillId="0" borderId="59" xfId="0" applyFont="1" applyBorder="1"/>
    <xf numFmtId="191" fontId="84" fillId="0" borderId="18" xfId="0" applyNumberFormat="1" applyFont="1" applyBorder="1"/>
    <xf numFmtId="0" fontId="3" fillId="0" borderId="14" xfId="0" applyFont="1" applyBorder="1" applyAlignment="1">
      <alignment wrapText="1"/>
    </xf>
    <xf numFmtId="0" fontId="3" fillId="0" borderId="24" xfId="0" applyFont="1" applyBorder="1" applyAlignment="1">
      <alignment wrapText="1"/>
    </xf>
    <xf numFmtId="0" fontId="3" fillId="0" borderId="15"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6" xfId="0" applyNumberFormat="1" applyFont="1" applyBorder="1"/>
    <xf numFmtId="191" fontId="3" fillId="35" borderId="20" xfId="0" applyNumberFormat="1" applyFont="1" applyFill="1" applyBorder="1"/>
    <xf numFmtId="9" fontId="3" fillId="0" borderId="17" xfId="20950" applyFont="1" applyBorder="1"/>
    <xf numFmtId="9" fontId="3" fillId="35" borderId="21"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0" xfId="0" applyNumberFormat="1" applyFont="1" applyFill="1" applyBorder="1"/>
    <xf numFmtId="0" fontId="84" fillId="0" borderId="64" xfId="0" applyFont="1" applyBorder="1" applyAlignment="1">
      <alignment vertical="center" wrapText="1"/>
    </xf>
    <xf numFmtId="0" fontId="86" fillId="0" borderId="1" xfId="0" applyFont="1" applyBorder="1" applyAlignment="1">
      <alignment horizontal="left"/>
    </xf>
    <xf numFmtId="0" fontId="86" fillId="35" borderId="72"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4" xfId="0" applyFont="1" applyFill="1" applyBorder="1" applyAlignment="1">
      <alignment horizontal="left"/>
    </xf>
    <xf numFmtId="0" fontId="99"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5" xfId="0" applyFont="1" applyBorder="1" applyAlignment="1">
      <alignment vertical="center"/>
    </xf>
    <xf numFmtId="169" fontId="9" fillId="36" borderId="0" xfId="20"/>
    <xf numFmtId="0" fontId="3" fillId="0" borderId="16" xfId="0" applyFont="1" applyBorder="1" applyAlignment="1">
      <alignment horizontal="center" vertical="center"/>
    </xf>
    <xf numFmtId="0" fontId="3" fillId="0" borderId="76" xfId="0" applyFont="1" applyBorder="1" applyAlignment="1">
      <alignment vertical="center"/>
    </xf>
    <xf numFmtId="0" fontId="3" fillId="0" borderId="82" xfId="0" applyFont="1" applyBorder="1" applyAlignment="1">
      <alignment vertical="center"/>
    </xf>
    <xf numFmtId="0" fontId="4" fillId="0" borderId="76" xfId="0" applyFont="1" applyBorder="1" applyAlignment="1">
      <alignment vertical="center"/>
    </xf>
    <xf numFmtId="0" fontId="3" fillId="0" borderId="19" xfId="0" applyFont="1" applyBorder="1" applyAlignment="1">
      <alignment horizontal="center" vertical="center"/>
    </xf>
    <xf numFmtId="0" fontId="4" fillId="0" borderId="20" xfId="0" applyFont="1" applyBorder="1" applyAlignment="1">
      <alignment vertical="center"/>
    </xf>
    <xf numFmtId="0" fontId="3" fillId="0" borderId="20" xfId="0" applyFont="1" applyBorder="1" applyAlignment="1">
      <alignment vertical="center"/>
    </xf>
    <xf numFmtId="0" fontId="3" fillId="0" borderId="22"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3" xfId="0" applyFont="1" applyBorder="1" applyAlignment="1">
      <alignment horizontal="center" vertical="center"/>
    </xf>
    <xf numFmtId="0" fontId="3" fillId="0" borderId="14" xfId="0" applyFont="1" applyBorder="1" applyAlignment="1">
      <alignment vertical="center"/>
    </xf>
    <xf numFmtId="169" fontId="9" fillId="36" borderId="52" xfId="20" applyBorder="1"/>
    <xf numFmtId="0" fontId="3" fillId="0" borderId="83" xfId="0" applyFont="1" applyBorder="1" applyAlignment="1">
      <alignment horizontal="center" vertical="center"/>
    </xf>
    <xf numFmtId="0" fontId="3" fillId="0" borderId="84" xfId="0" applyFont="1" applyBorder="1" applyAlignment="1">
      <alignment vertical="center"/>
    </xf>
    <xf numFmtId="169" fontId="9" fillId="36" borderId="22" xfId="20" applyBorder="1"/>
    <xf numFmtId="169" fontId="9" fillId="36" borderId="85" xfId="20" applyBorder="1"/>
    <xf numFmtId="169" fontId="9" fillId="36" borderId="23" xfId="20" applyBorder="1"/>
    <xf numFmtId="0" fontId="3" fillId="0" borderId="88" xfId="0" applyFont="1" applyBorder="1" applyAlignment="1">
      <alignment horizontal="center" vertical="center"/>
    </xf>
    <xf numFmtId="0" fontId="3" fillId="0" borderId="89" xfId="0" applyFont="1" applyBorder="1" applyAlignment="1">
      <alignment vertical="center"/>
    </xf>
    <xf numFmtId="169" fontId="9" fillId="36" borderId="28" xfId="20" applyBorder="1"/>
    <xf numFmtId="0" fontId="3" fillId="0" borderId="90" xfId="0" applyFont="1" applyBorder="1" applyAlignment="1">
      <alignment vertical="center"/>
    </xf>
    <xf numFmtId="0" fontId="3" fillId="0" borderId="91" xfId="0" applyFont="1" applyBorder="1" applyAlignment="1">
      <alignment vertical="center"/>
    </xf>
    <xf numFmtId="0" fontId="4" fillId="0" borderId="0" xfId="0" applyFont="1" applyAlignment="1">
      <alignment horizontal="center"/>
    </xf>
    <xf numFmtId="0" fontId="86" fillId="0" borderId="77" xfId="0" applyFont="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6" xfId="0" applyFont="1" applyBorder="1" applyAlignment="1">
      <alignment horizontal="right" vertical="center" wrapText="1"/>
    </xf>
    <xf numFmtId="0" fontId="100" fillId="0" borderId="16" xfId="0" applyFont="1" applyBorder="1" applyAlignment="1">
      <alignment horizontal="right" vertical="center" wrapText="1"/>
    </xf>
    <xf numFmtId="0" fontId="4" fillId="0" borderId="16"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9" xfId="5" applyNumberFormat="1" applyFont="1" applyBorder="1" applyAlignment="1" applyProtection="1">
      <alignment horizontal="left" vertical="center"/>
      <protection locked="0"/>
    </xf>
    <xf numFmtId="0" fontId="102" fillId="0" borderId="20" xfId="9"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103" fillId="35" borderId="77" xfId="0" applyNumberFormat="1" applyFont="1" applyFill="1" applyBorder="1" applyAlignment="1">
      <alignment vertical="center" wrapText="1"/>
    </xf>
    <xf numFmtId="3" fontId="103" fillId="35" borderId="20"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 fontId="3" fillId="0" borderId="77" xfId="0" applyNumberFormat="1" applyFont="1" applyBorder="1" applyAlignment="1">
      <alignment horizontal="righ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0"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10" fontId="4" fillId="35" borderId="77" xfId="0" applyNumberFormat="1" applyFont="1" applyFill="1" applyBorder="1" applyAlignment="1">
      <alignment horizontal="left" vertical="center" wrapText="1"/>
    </xf>
    <xf numFmtId="10" fontId="4" fillId="35" borderId="77" xfId="20950" applyNumberFormat="1" applyFont="1" applyFill="1" applyBorder="1" applyAlignment="1">
      <alignment horizontal="left" vertical="center" wrapText="1"/>
    </xf>
    <xf numFmtId="0" fontId="4" fillId="35" borderId="77" xfId="0" applyFont="1" applyFill="1" applyBorder="1" applyAlignment="1">
      <alignment horizontal="center" vertical="center" wrapText="1"/>
    </xf>
    <xf numFmtId="1" fontId="3" fillId="0" borderId="21" xfId="0" applyNumberFormat="1" applyFont="1" applyBorder="1" applyAlignment="1">
      <alignment horizontal="right" vertical="center" wrapText="1"/>
    </xf>
    <xf numFmtId="0" fontId="4" fillId="35" borderId="78" xfId="0" applyFont="1" applyFill="1" applyBorder="1" applyAlignment="1">
      <alignment vertical="center" wrapText="1"/>
    </xf>
    <xf numFmtId="0" fontId="4" fillId="35" borderId="94" xfId="0" applyFont="1" applyFill="1" applyBorder="1" applyAlignment="1">
      <alignment vertical="center" wrapText="1"/>
    </xf>
    <xf numFmtId="0" fontId="4" fillId="35" borderId="65" xfId="0" applyFont="1" applyFill="1" applyBorder="1" applyAlignment="1">
      <alignment vertical="center" wrapText="1"/>
    </xf>
    <xf numFmtId="0" fontId="4" fillId="35" borderId="27"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2" fillId="0" borderId="3" xfId="0" applyFont="1" applyBorder="1" applyAlignment="1">
      <alignment wrapText="1"/>
    </xf>
    <xf numFmtId="0" fontId="84" fillId="0" borderId="17" xfId="0" applyFont="1" applyBorder="1"/>
    <xf numFmtId="0" fontId="45" fillId="0" borderId="17" xfId="0" applyFont="1" applyBorder="1" applyAlignment="1">
      <alignment horizontal="center" vertical="center" wrapText="1"/>
    </xf>
    <xf numFmtId="3" fontId="103" fillId="35" borderId="95" xfId="0" applyNumberFormat="1" applyFont="1" applyFill="1" applyBorder="1" applyAlignment="1">
      <alignment vertical="center" wrapText="1"/>
    </xf>
    <xf numFmtId="3" fontId="103" fillId="0" borderId="95" xfId="0" applyNumberFormat="1" applyFont="1" applyBorder="1" applyAlignment="1">
      <alignment vertical="center" wrapText="1"/>
    </xf>
    <xf numFmtId="3" fontId="103" fillId="35" borderId="96" xfId="0" applyNumberFormat="1" applyFont="1" applyFill="1" applyBorder="1" applyAlignment="1">
      <alignment vertical="center" wrapText="1"/>
    </xf>
    <xf numFmtId="3" fontId="103" fillId="0" borderId="96" xfId="0" applyNumberFormat="1" applyFont="1" applyBorder="1" applyAlignment="1">
      <alignment vertical="center" wrapText="1"/>
    </xf>
    <xf numFmtId="3" fontId="103" fillId="35" borderId="22" xfId="0" applyNumberFormat="1" applyFont="1" applyFill="1" applyBorder="1" applyAlignment="1">
      <alignment vertical="center" wrapText="1"/>
    </xf>
    <xf numFmtId="3" fontId="103" fillId="35" borderId="80" xfId="0" applyNumberFormat="1" applyFont="1" applyFill="1" applyBorder="1" applyAlignment="1">
      <alignment vertical="center" wrapText="1"/>
    </xf>
    <xf numFmtId="3" fontId="103" fillId="0" borderId="80" xfId="0" applyNumberFormat="1" applyFont="1" applyBorder="1" applyAlignment="1">
      <alignment vertical="center" wrapText="1"/>
    </xf>
    <xf numFmtId="3" fontId="103" fillId="35" borderId="35" xfId="0" applyNumberFormat="1" applyFont="1" applyFill="1" applyBorder="1" applyAlignment="1">
      <alignment vertical="center" wrapText="1"/>
    </xf>
    <xf numFmtId="0" fontId="2" fillId="0" borderId="14" xfId="0" applyFont="1" applyBorder="1" applyAlignment="1">
      <alignment horizontal="left" vertical="center" wrapText="1" indent="1"/>
    </xf>
    <xf numFmtId="0" fontId="2" fillId="0" borderId="15"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6" xfId="0" applyFont="1" applyFill="1" applyBorder="1" applyAlignment="1">
      <alignment horizontal="right" vertical="center"/>
    </xf>
    <xf numFmtId="0" fontId="45" fillId="0" borderId="16" xfId="0" applyFont="1" applyBorder="1" applyAlignment="1">
      <alignment horizontal="center" vertical="center" wrapText="1"/>
    </xf>
    <xf numFmtId="0" fontId="2" fillId="2" borderId="19" xfId="0" applyFont="1" applyFill="1" applyBorder="1" applyAlignment="1">
      <alignment horizontal="right" vertical="center"/>
    </xf>
    <xf numFmtId="0" fontId="4" fillId="0" borderId="0" xfId="0" applyFont="1" applyAlignment="1">
      <alignment horizontal="center" wrapText="1"/>
    </xf>
    <xf numFmtId="0" fontId="3" fillId="3" borderId="51"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1" xfId="0" applyFont="1" applyFill="1" applyBorder="1" applyAlignment="1">
      <alignment horizontal="center" wrapText="1"/>
    </xf>
    <xf numFmtId="0" fontId="3" fillId="0" borderId="95"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6" xfId="0" applyFont="1" applyBorder="1"/>
    <xf numFmtId="0" fontId="3" fillId="0" borderId="95" xfId="0" applyFont="1" applyBorder="1" applyAlignment="1">
      <alignment wrapText="1"/>
    </xf>
    <xf numFmtId="164" fontId="3" fillId="0" borderId="95" xfId="7" applyNumberFormat="1" applyFont="1" applyBorder="1"/>
    <xf numFmtId="164" fontId="3" fillId="0" borderId="77"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6" xfId="0" applyFont="1" applyBorder="1"/>
    <xf numFmtId="0" fontId="4" fillId="0" borderId="95" xfId="0" applyFont="1" applyBorder="1" applyAlignment="1">
      <alignment wrapText="1"/>
    </xf>
    <xf numFmtId="164" fontId="4" fillId="0" borderId="77" xfId="7" applyNumberFormat="1" applyFont="1" applyBorder="1"/>
    <xf numFmtId="0" fontId="109" fillId="3" borderId="59"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19" xfId="0" applyFont="1" applyBorder="1"/>
    <xf numFmtId="0" fontId="4" fillId="0" borderId="20" xfId="0" applyFont="1" applyBorder="1" applyAlignment="1">
      <alignment wrapText="1"/>
    </xf>
    <xf numFmtId="10" fontId="4" fillId="0" borderId="21" xfId="20950" applyNumberFormat="1" applyFont="1" applyBorder="1"/>
    <xf numFmtId="0" fontId="2" fillId="2" borderId="83"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7"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4"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191" fontId="2" fillId="3" borderId="77" xfId="2" applyNumberFormat="1" applyFont="1" applyFill="1" applyBorder="1" applyAlignment="1" applyProtection="1">
      <alignment vertical="top" wrapText="1"/>
      <protection locked="0"/>
    </xf>
    <xf numFmtId="0" fontId="124" fillId="3" borderId="116" xfId="0" applyFont="1" applyFill="1" applyBorder="1" applyAlignment="1">
      <alignment horizontal="left" vertical="center" wrapText="1"/>
    </xf>
    <xf numFmtId="0" fontId="122" fillId="0" borderId="116" xfId="0" applyFont="1" applyBorder="1" applyAlignment="1">
      <alignment horizontal="left" vertical="center" wrapText="1"/>
    </xf>
    <xf numFmtId="0" fontId="124" fillId="0" borderId="116" xfId="0" applyFont="1" applyBorder="1" applyAlignment="1">
      <alignment horizontal="left" vertical="center" wrapText="1"/>
    </xf>
    <xf numFmtId="0" fontId="124" fillId="0" borderId="116" xfId="0" applyFont="1" applyBorder="1" applyAlignment="1">
      <alignment vertical="center" wrapText="1"/>
    </xf>
    <xf numFmtId="0" fontId="125" fillId="0" borderId="116" xfId="0" applyFont="1" applyBorder="1" applyAlignment="1">
      <alignment horizontal="left" vertical="center" wrapText="1" indent="1"/>
    </xf>
    <xf numFmtId="0" fontId="125" fillId="3" borderId="116" xfId="0" applyFont="1" applyFill="1" applyBorder="1" applyAlignment="1">
      <alignment horizontal="left" vertical="center" wrapText="1" indent="1"/>
    </xf>
    <xf numFmtId="0" fontId="124" fillId="3" borderId="117" xfId="0" applyFont="1" applyFill="1" applyBorder="1" applyAlignment="1">
      <alignment horizontal="left" vertical="center" wrapText="1"/>
    </xf>
    <xf numFmtId="0" fontId="124" fillId="3" borderId="118" xfId="0" applyFont="1" applyFill="1" applyBorder="1" applyAlignment="1">
      <alignment horizontal="left" vertical="center" wrapText="1"/>
    </xf>
    <xf numFmtId="0" fontId="123" fillId="3" borderId="116" xfId="0" applyFont="1" applyFill="1" applyBorder="1" applyAlignment="1">
      <alignment horizontal="left" vertical="center" wrapText="1" indent="1"/>
    </xf>
    <xf numFmtId="0" fontId="2" fillId="0" borderId="119" xfId="0" applyFont="1" applyBorder="1" applyAlignment="1">
      <alignment horizontal="center" vertical="center" wrapText="1"/>
    </xf>
    <xf numFmtId="0" fontId="124" fillId="0" borderId="124" xfId="0" applyFont="1" applyBorder="1" applyAlignment="1">
      <alignment horizontal="justify" vertical="center" wrapText="1"/>
    </xf>
    <xf numFmtId="0" fontId="123" fillId="0" borderId="116" xfId="0" applyFont="1" applyBorder="1" applyAlignment="1">
      <alignment horizontal="left" vertical="center" wrapText="1" indent="1"/>
    </xf>
    <xf numFmtId="0" fontId="123" fillId="0" borderId="117" xfId="0" applyFont="1" applyBorder="1" applyAlignment="1">
      <alignment horizontal="left" vertical="center" wrapText="1" indent="1"/>
    </xf>
    <xf numFmtId="0" fontId="124" fillId="0" borderId="116" xfId="0" applyFont="1" applyBorder="1" applyAlignment="1">
      <alignment horizontal="justify" vertical="center" wrapText="1"/>
    </xf>
    <xf numFmtId="0" fontId="122" fillId="0" borderId="116" xfId="0" applyFont="1" applyBorder="1" applyAlignment="1">
      <alignment horizontal="justify" vertical="center" wrapText="1"/>
    </xf>
    <xf numFmtId="0" fontId="124" fillId="3" borderId="116" xfId="0" applyFont="1" applyFill="1" applyBorder="1" applyAlignment="1">
      <alignment horizontal="justify" vertical="center" wrapText="1"/>
    </xf>
    <xf numFmtId="0" fontId="124" fillId="0" borderId="117" xfId="0" applyFont="1" applyBorder="1" applyAlignment="1">
      <alignment horizontal="justify" vertical="center" wrapText="1"/>
    </xf>
    <xf numFmtId="0" fontId="124" fillId="0" borderId="118" xfId="0" applyFont="1" applyBorder="1" applyAlignment="1">
      <alignment horizontal="justify" vertical="center" wrapText="1"/>
    </xf>
    <xf numFmtId="0" fontId="122" fillId="0" borderId="116" xfId="0" applyFont="1" applyBorder="1" applyAlignment="1">
      <alignment vertical="center" wrapText="1"/>
    </xf>
    <xf numFmtId="0" fontId="123" fillId="0" borderId="116" xfId="0" applyFont="1" applyBorder="1" applyAlignment="1">
      <alignment horizontal="left" vertical="center" wrapText="1"/>
    </xf>
    <xf numFmtId="0" fontId="2" fillId="0" borderId="122" xfId="0" applyFont="1" applyBorder="1" applyAlignment="1">
      <alignment horizontal="left" vertical="center" wrapText="1" indent="4"/>
    </xf>
    <xf numFmtId="0" fontId="45" fillId="0" borderId="122" xfId="0" applyFont="1" applyBorder="1" applyAlignment="1">
      <alignment vertical="center" wrapText="1"/>
    </xf>
    <xf numFmtId="0" fontId="2" fillId="0" borderId="119" xfId="0" applyFont="1" applyBorder="1" applyAlignment="1" applyProtection="1">
      <alignment horizontal="left" vertical="center" indent="11"/>
      <protection locked="0"/>
    </xf>
    <xf numFmtId="0" fontId="46" fillId="0" borderId="119" xfId="0" applyFont="1" applyBorder="1" applyAlignment="1" applyProtection="1">
      <alignment horizontal="left" vertical="center" indent="17"/>
      <protection locked="0"/>
    </xf>
    <xf numFmtId="0" fontId="2" fillId="0" borderId="122" xfId="0" applyFont="1" applyBorder="1" applyAlignment="1">
      <alignment horizontal="left" vertical="center" wrapText="1"/>
    </xf>
    <xf numFmtId="191" fontId="94" fillId="0" borderId="0" xfId="0" applyNumberFormat="1" applyFont="1" applyAlignment="1">
      <alignment horizontal="right"/>
    </xf>
    <xf numFmtId="0" fontId="123" fillId="3" borderId="117" xfId="0" applyFont="1" applyFill="1" applyBorder="1" applyAlignment="1">
      <alignment horizontal="left" vertical="center" wrapText="1" indent="1"/>
    </xf>
    <xf numFmtId="167" fontId="86" fillId="0" borderId="53" xfId="0" applyNumberFormat="1" applyFont="1" applyBorder="1" applyAlignment="1">
      <alignment horizontal="center"/>
    </xf>
    <xf numFmtId="167" fontId="88" fillId="0" borderId="55" xfId="0" applyNumberFormat="1" applyFont="1" applyBorder="1" applyAlignment="1">
      <alignment horizontal="center"/>
    </xf>
    <xf numFmtId="167" fontId="46" fillId="0" borderId="55" xfId="0" applyNumberFormat="1" applyFont="1" applyBorder="1" applyAlignment="1">
      <alignment horizontal="center"/>
    </xf>
    <xf numFmtId="191" fontId="84" fillId="0" borderId="9" xfId="0" applyNumberFormat="1" applyFont="1" applyBorder="1" applyAlignment="1">
      <alignment horizontal="center" vertical="center"/>
    </xf>
    <xf numFmtId="191" fontId="88" fillId="0" borderId="9" xfId="0" applyNumberFormat="1" applyFont="1" applyBorder="1" applyAlignment="1">
      <alignment horizontal="center" vertical="center"/>
    </xf>
    <xf numFmtId="191" fontId="84" fillId="0" borderId="10" xfId="0" applyNumberFormat="1" applyFont="1" applyBorder="1" applyAlignment="1">
      <alignment horizontal="center" vertical="center"/>
    </xf>
    <xf numFmtId="191" fontId="86" fillId="0" borderId="11" xfId="0" applyNumberFormat="1" applyFont="1" applyBorder="1" applyAlignment="1">
      <alignment horizontal="center" vertical="center"/>
    </xf>
    <xf numFmtId="191" fontId="84" fillId="0" borderId="12" xfId="0" applyNumberFormat="1" applyFont="1" applyBorder="1" applyAlignment="1">
      <alignment horizontal="center" vertical="center"/>
    </xf>
    <xf numFmtId="0" fontId="84" fillId="0" borderId="119" xfId="0" applyFont="1" applyBorder="1" applyAlignment="1">
      <alignment horizontal="center"/>
    </xf>
    <xf numFmtId="0" fontId="114" fillId="0" borderId="119" xfId="0" applyFont="1" applyBorder="1"/>
    <xf numFmtId="49" fontId="116" fillId="0" borderId="119" xfId="5" applyNumberFormat="1" applyFont="1" applyBorder="1" applyAlignment="1" applyProtection="1">
      <alignment horizontal="right" vertical="center"/>
      <protection locked="0"/>
    </xf>
    <xf numFmtId="0" fontId="115" fillId="3" borderId="119" xfId="13" applyFont="1" applyFill="1" applyBorder="1" applyAlignment="1" applyProtection="1">
      <alignment horizontal="left" vertical="center" wrapText="1"/>
      <protection locked="0"/>
    </xf>
    <xf numFmtId="49" fontId="115" fillId="3" borderId="119" xfId="5" applyNumberFormat="1" applyFont="1" applyFill="1" applyBorder="1" applyAlignment="1" applyProtection="1">
      <alignment horizontal="right" vertical="center"/>
      <protection locked="0"/>
    </xf>
    <xf numFmtId="0" fontId="115" fillId="0" borderId="119" xfId="13" applyFont="1" applyBorder="1" applyAlignment="1" applyProtection="1">
      <alignment horizontal="left" vertical="center" wrapText="1"/>
      <protection locked="0"/>
    </xf>
    <xf numFmtId="49" fontId="115" fillId="0" borderId="119" xfId="5" applyNumberFormat="1" applyFont="1" applyBorder="1" applyAlignment="1" applyProtection="1">
      <alignment horizontal="right" vertical="center"/>
      <protection locked="0"/>
    </xf>
    <xf numFmtId="0" fontId="117" fillId="0" borderId="119" xfId="13" applyFont="1" applyBorder="1" applyAlignment="1" applyProtection="1">
      <alignment horizontal="left" vertical="center" wrapText="1"/>
      <protection locked="0"/>
    </xf>
    <xf numFmtId="0" fontId="114" fillId="0" borderId="119"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19" xfId="0" applyFont="1" applyBorder="1"/>
    <xf numFmtId="0" fontId="110" fillId="0" borderId="119" xfId="0" applyFont="1" applyBorder="1" applyAlignment="1">
      <alignment horizontal="left" indent="8"/>
    </xf>
    <xf numFmtId="0" fontId="110" fillId="0" borderId="119" xfId="0" applyFont="1" applyBorder="1" applyAlignment="1">
      <alignment wrapText="1"/>
    </xf>
    <xf numFmtId="0" fontId="114" fillId="0" borderId="0" xfId="0" applyFont="1"/>
    <xf numFmtId="0" fontId="113" fillId="0" borderId="119" xfId="0" applyFont="1" applyBorder="1"/>
    <xf numFmtId="49" fontId="116" fillId="0" borderId="119" xfId="5" applyNumberFormat="1" applyFont="1" applyBorder="1" applyAlignment="1" applyProtection="1">
      <alignment horizontal="right" vertical="center" wrapText="1"/>
      <protection locked="0"/>
    </xf>
    <xf numFmtId="49" fontId="115" fillId="3" borderId="119" xfId="5" applyNumberFormat="1" applyFont="1" applyFill="1" applyBorder="1" applyAlignment="1" applyProtection="1">
      <alignment horizontal="right" vertical="center" wrapText="1"/>
      <protection locked="0"/>
    </xf>
    <xf numFmtId="49" fontId="115" fillId="0" borderId="119" xfId="5" applyNumberFormat="1" applyFont="1" applyBorder="1" applyAlignment="1" applyProtection="1">
      <alignment horizontal="right" vertical="center" wrapText="1"/>
      <protection locked="0"/>
    </xf>
    <xf numFmtId="0" fontId="110" fillId="0" borderId="119" xfId="0" applyFont="1" applyBorder="1" applyAlignment="1">
      <alignment horizontal="center" vertical="center" wrapText="1"/>
    </xf>
    <xf numFmtId="0" fontId="110" fillId="0" borderId="123" xfId="0" applyFont="1" applyBorder="1" applyAlignment="1">
      <alignment horizontal="center" vertical="center" wrapText="1"/>
    </xf>
    <xf numFmtId="0" fontId="110" fillId="0" borderId="119"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19" xfId="0" applyFont="1" applyBorder="1" applyAlignment="1">
      <alignment horizontal="left" vertical="center" wrapText="1"/>
    </xf>
    <xf numFmtId="0" fontId="113" fillId="0" borderId="119" xfId="0" applyFont="1" applyBorder="1" applyAlignment="1">
      <alignment horizontal="left" wrapText="1" indent="1"/>
    </xf>
    <xf numFmtId="0" fontId="113" fillId="0" borderId="119" xfId="0" applyFont="1" applyBorder="1" applyAlignment="1">
      <alignment horizontal="left" vertical="center" indent="1"/>
    </xf>
    <xf numFmtId="0" fontId="111" fillId="0" borderId="119" xfId="0" applyFont="1" applyBorder="1"/>
    <xf numFmtId="0" fontId="110" fillId="0" borderId="119" xfId="0" applyFont="1" applyBorder="1" applyAlignment="1">
      <alignment horizontal="left" wrapText="1" indent="1"/>
    </xf>
    <xf numFmtId="0" fontId="110" fillId="0" borderId="119" xfId="0" applyFont="1" applyBorder="1" applyAlignment="1">
      <alignment horizontal="left" indent="1"/>
    </xf>
    <xf numFmtId="0" fontId="110" fillId="0" borderId="119" xfId="0" applyFont="1" applyBorder="1" applyAlignment="1">
      <alignment horizontal="left" wrapText="1" indent="4"/>
    </xf>
    <xf numFmtId="0" fontId="110" fillId="0" borderId="119" xfId="0" applyFont="1" applyBorder="1" applyAlignment="1">
      <alignment horizontal="left" indent="3"/>
    </xf>
    <xf numFmtId="0" fontId="113" fillId="0" borderId="119" xfId="0" applyFont="1" applyBorder="1" applyAlignment="1">
      <alignment horizontal="left" indent="1"/>
    </xf>
    <xf numFmtId="0" fontId="111" fillId="77" borderId="119" xfId="0" applyFont="1" applyFill="1" applyBorder="1"/>
    <xf numFmtId="0" fontId="114" fillId="0" borderId="5" xfId="0" applyFont="1" applyBorder="1"/>
    <xf numFmtId="0" fontId="111" fillId="0" borderId="119" xfId="0" applyFont="1" applyBorder="1" applyAlignment="1">
      <alignment horizontal="left" wrapText="1" indent="2"/>
    </xf>
    <xf numFmtId="0" fontId="111" fillId="0" borderId="119" xfId="0" applyFont="1" applyBorder="1" applyAlignment="1">
      <alignment horizontal="left" wrapText="1"/>
    </xf>
    <xf numFmtId="0" fontId="113" fillId="75" borderId="119" xfId="0" applyFont="1" applyFill="1" applyBorder="1"/>
    <xf numFmtId="0" fontId="110" fillId="0" borderId="119" xfId="0" applyFont="1" applyBorder="1" applyAlignment="1">
      <alignment horizontal="center"/>
    </xf>
    <xf numFmtId="0" fontId="110" fillId="0" borderId="0" xfId="0" applyFont="1" applyAlignment="1">
      <alignment horizontal="center" vertical="center"/>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2"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21" xfId="0" applyFont="1" applyBorder="1"/>
    <xf numFmtId="0" fontId="110" fillId="0" borderId="20" xfId="0" applyFont="1" applyBorder="1"/>
    <xf numFmtId="0" fontId="110" fillId="0" borderId="23" xfId="0" applyFont="1" applyBorder="1"/>
    <xf numFmtId="49" fontId="110" fillId="0" borderId="19" xfId="0" applyNumberFormat="1" applyFont="1" applyBorder="1" applyAlignment="1">
      <alignment horizontal="left" wrapText="1" indent="1"/>
    </xf>
    <xf numFmtId="49" fontId="110" fillId="0" borderId="21" xfId="0" applyNumberFormat="1" applyFont="1" applyBorder="1" applyAlignment="1">
      <alignment horizontal="left" wrapText="1" indent="1"/>
    </xf>
    <xf numFmtId="0" fontId="110" fillId="0" borderId="19" xfId="0" applyFont="1" applyBorder="1" applyAlignment="1">
      <alignment horizontal="left" wrapText="1" indent="1"/>
    </xf>
    <xf numFmtId="0" fontId="110" fillId="0" borderId="77" xfId="0" applyFont="1" applyBorder="1"/>
    <xf numFmtId="0" fontId="110" fillId="0" borderId="122" xfId="0" applyFont="1" applyBorder="1"/>
    <xf numFmtId="49" fontId="110" fillId="0" borderId="16" xfId="0" applyNumberFormat="1" applyFont="1" applyBorder="1" applyAlignment="1">
      <alignment horizontal="left" wrapText="1" indent="1"/>
    </xf>
    <xf numFmtId="49" fontId="110" fillId="0" borderId="77" xfId="0" applyNumberFormat="1" applyFont="1" applyBorder="1" applyAlignment="1">
      <alignment horizontal="left" wrapText="1" indent="1"/>
    </xf>
    <xf numFmtId="0" fontId="110" fillId="0" borderId="16" xfId="0" applyFont="1" applyBorder="1" applyAlignment="1">
      <alignment horizontal="left" wrapText="1" indent="1"/>
    </xf>
    <xf numFmtId="49" fontId="110" fillId="0" borderId="16" xfId="0" applyNumberFormat="1" applyFont="1" applyBorder="1" applyAlignment="1">
      <alignment horizontal="left" wrapText="1" indent="3"/>
    </xf>
    <xf numFmtId="49" fontId="110" fillId="0" borderId="77" xfId="0" applyNumberFormat="1" applyFont="1" applyBorder="1" applyAlignment="1">
      <alignment horizontal="left" wrapText="1" indent="3"/>
    </xf>
    <xf numFmtId="49" fontId="110" fillId="0" borderId="16" xfId="0" applyNumberFormat="1" applyFont="1" applyBorder="1" applyAlignment="1">
      <alignment horizontal="left" wrapText="1" indent="2"/>
    </xf>
    <xf numFmtId="49" fontId="110" fillId="0" borderId="77" xfId="0" applyNumberFormat="1" applyFont="1" applyBorder="1" applyAlignment="1">
      <alignment horizontal="left" wrapText="1" indent="2"/>
    </xf>
    <xf numFmtId="49" fontId="110" fillId="0" borderId="16" xfId="0" applyNumberFormat="1" applyFont="1" applyBorder="1" applyAlignment="1">
      <alignment horizontal="left" vertical="top" wrapText="1" indent="2"/>
    </xf>
    <xf numFmtId="49" fontId="110" fillId="0" borderId="77" xfId="0" applyNumberFormat="1" applyFont="1" applyBorder="1" applyAlignment="1">
      <alignment horizontal="left" vertical="top" wrapText="1" indent="2"/>
    </xf>
    <xf numFmtId="0" fontId="110" fillId="78" borderId="77" xfId="0" applyFont="1" applyFill="1" applyBorder="1"/>
    <xf numFmtId="0" fontId="110" fillId="78" borderId="119" xfId="0" applyFont="1" applyFill="1" applyBorder="1"/>
    <xf numFmtId="0" fontId="110" fillId="78" borderId="122" xfId="0" applyFont="1" applyFill="1" applyBorder="1"/>
    <xf numFmtId="0" fontId="110" fillId="78" borderId="16" xfId="0" applyFont="1" applyFill="1" applyBorder="1"/>
    <xf numFmtId="49" fontId="110" fillId="0" borderId="77" xfId="0" applyNumberFormat="1" applyFont="1" applyBorder="1" applyAlignment="1">
      <alignment horizontal="left" indent="1"/>
    </xf>
    <xf numFmtId="0" fontId="110" fillId="0" borderId="16" xfId="0" applyFont="1" applyBorder="1" applyAlignment="1">
      <alignment horizontal="left" indent="1"/>
    </xf>
    <xf numFmtId="49" fontId="110" fillId="0" borderId="16" xfId="0" applyNumberFormat="1" applyFont="1" applyBorder="1" applyAlignment="1">
      <alignment horizontal="left" indent="1"/>
    </xf>
    <xf numFmtId="49" fontId="110" fillId="0" borderId="16" xfId="0" applyNumberFormat="1" applyFont="1" applyBorder="1" applyAlignment="1">
      <alignment horizontal="left" indent="3"/>
    </xf>
    <xf numFmtId="49" fontId="110" fillId="0" borderId="77" xfId="0" applyNumberFormat="1" applyFont="1" applyBorder="1" applyAlignment="1">
      <alignment horizontal="left" indent="3"/>
    </xf>
    <xf numFmtId="0" fontId="110" fillId="0" borderId="16" xfId="0" applyFont="1" applyBorder="1" applyAlignment="1">
      <alignment horizontal="left" indent="2"/>
    </xf>
    <xf numFmtId="0" fontId="110" fillId="0" borderId="77" xfId="0" applyFont="1" applyBorder="1" applyAlignment="1">
      <alignment horizontal="left" indent="2"/>
    </xf>
    <xf numFmtId="0" fontId="110" fillId="0" borderId="77" xfId="0" applyFont="1" applyBorder="1" applyAlignment="1">
      <alignment horizontal="left" indent="1"/>
    </xf>
    <xf numFmtId="0" fontId="113" fillId="0" borderId="16" xfId="0" applyFont="1" applyBorder="1"/>
    <xf numFmtId="0" fontId="113" fillId="0" borderId="60" xfId="0" applyFont="1" applyBorder="1"/>
    <xf numFmtId="0" fontId="110" fillId="0" borderId="63" xfId="0" applyFont="1" applyBorder="1"/>
    <xf numFmtId="0" fontId="110" fillId="0" borderId="71" xfId="0" applyFont="1" applyBorder="1" applyAlignment="1">
      <alignment horizontal="center" vertical="center" wrapText="1"/>
    </xf>
    <xf numFmtId="0" fontId="110" fillId="0" borderId="77" xfId="0" applyFont="1" applyBorder="1" applyAlignment="1">
      <alignment horizontal="center" vertical="center" wrapText="1"/>
    </xf>
    <xf numFmtId="0" fontId="110" fillId="0" borderId="0" xfId="0" applyFont="1" applyAlignment="1">
      <alignment horizontal="left"/>
    </xf>
    <xf numFmtId="0" fontId="113" fillId="0" borderId="119" xfId="0" applyFont="1" applyBorder="1" applyAlignment="1">
      <alignment horizontal="left" vertical="center" wrapText="1"/>
    </xf>
    <xf numFmtId="0" fontId="110" fillId="0" borderId="119" xfId="0" applyFont="1" applyBorder="1" applyAlignment="1">
      <alignment horizontal="center" vertical="center" textRotation="90" wrapText="1"/>
    </xf>
    <xf numFmtId="0" fontId="115" fillId="0" borderId="0" xfId="0" applyFont="1"/>
    <xf numFmtId="0" fontId="94" fillId="0" borderId="0" xfId="0" applyFont="1" applyAlignment="1">
      <alignment wrapText="1"/>
    </xf>
    <xf numFmtId="0" fontId="115" fillId="0" borderId="119" xfId="0" applyFont="1" applyBorder="1"/>
    <xf numFmtId="0" fontId="113" fillId="0" borderId="119"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4" xfId="0" applyFont="1" applyBorder="1" applyAlignment="1">
      <alignment horizontal="left" vertical="center" wrapText="1" indent="1" readingOrder="1"/>
    </xf>
    <xf numFmtId="0" fontId="131" fillId="0" borderId="119" xfId="0" applyFont="1" applyBorder="1" applyAlignment="1">
      <alignment horizontal="left" indent="3"/>
    </xf>
    <xf numFmtId="0" fontId="113" fillId="0" borderId="119" xfId="0" applyFont="1" applyBorder="1" applyAlignment="1">
      <alignment vertical="center" wrapText="1" readingOrder="1"/>
    </xf>
    <xf numFmtId="0" fontId="131" fillId="0" borderId="119" xfId="0" applyFont="1" applyBorder="1" applyAlignment="1">
      <alignment horizontal="left" indent="2"/>
    </xf>
    <xf numFmtId="0" fontId="115" fillId="0" borderId="123" xfId="0" applyFont="1" applyBorder="1"/>
    <xf numFmtId="0" fontId="110" fillId="0" borderId="115" xfId="0" applyFont="1" applyBorder="1" applyAlignment="1">
      <alignment vertical="center" wrapText="1" readingOrder="1"/>
    </xf>
    <xf numFmtId="0" fontId="131" fillId="0" borderId="123" xfId="0" applyFont="1" applyBorder="1" applyAlignment="1">
      <alignment horizontal="left" indent="2"/>
    </xf>
    <xf numFmtId="0" fontId="110" fillId="0" borderId="114" xfId="0" applyFont="1" applyBorder="1" applyAlignment="1">
      <alignment vertical="center" wrapText="1" readingOrder="1"/>
    </xf>
    <xf numFmtId="0" fontId="110" fillId="0" borderId="113" xfId="0" applyFont="1" applyBorder="1" applyAlignment="1">
      <alignment vertical="center" wrapText="1" readingOrder="1"/>
    </xf>
    <xf numFmtId="0" fontId="131" fillId="0" borderId="5" xfId="0" applyFont="1" applyBorder="1"/>
    <xf numFmtId="167" fontId="132" fillId="79" borderId="54"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4" xfId="0" applyFont="1" applyFill="1" applyBorder="1" applyAlignment="1">
      <alignment horizontal="center" vertical="center"/>
    </xf>
    <xf numFmtId="0" fontId="135" fillId="80" borderId="15" xfId="0" applyFont="1" applyFill="1" applyBorder="1" applyAlignment="1">
      <alignment horizontal="center" vertical="center"/>
    </xf>
    <xf numFmtId="0" fontId="135" fillId="81" borderId="119" xfId="0" applyFont="1" applyFill="1" applyBorder="1" applyAlignment="1">
      <alignment horizontal="left" vertical="center"/>
    </xf>
    <xf numFmtId="192" fontId="135" fillId="81" borderId="77" xfId="7" applyNumberFormat="1" applyFont="1" applyFill="1" applyBorder="1" applyAlignment="1">
      <alignment horizontal="left" vertical="center"/>
    </xf>
    <xf numFmtId="49" fontId="137" fillId="0" borderId="119" xfId="0" applyNumberFormat="1" applyFont="1" applyBorder="1" applyAlignment="1">
      <alignment horizontal="left" vertical="center"/>
    </xf>
    <xf numFmtId="192" fontId="137" fillId="0" borderId="77" xfId="7" applyNumberFormat="1" applyFont="1" applyFill="1" applyBorder="1" applyAlignment="1">
      <alignment horizontal="left" vertical="center"/>
    </xf>
    <xf numFmtId="0" fontId="137" fillId="0" borderId="119" xfId="0" applyFont="1" applyBorder="1" applyAlignment="1">
      <alignment horizontal="left" vertical="center"/>
    </xf>
    <xf numFmtId="0" fontId="135" fillId="0" borderId="119" xfId="0" applyFont="1" applyBorder="1" applyAlignment="1">
      <alignment horizontal="left" vertical="center"/>
    </xf>
    <xf numFmtId="10" fontId="96" fillId="0" borderId="77" xfId="0" applyNumberFormat="1" applyFont="1" applyBorder="1" applyAlignment="1">
      <alignment horizontal="right" vertical="center" wrapText="1"/>
    </xf>
    <xf numFmtId="0" fontId="139" fillId="82" borderId="20" xfId="0" applyFont="1" applyFill="1" applyBorder="1" applyAlignment="1">
      <alignment horizontal="left" vertical="center"/>
    </xf>
    <xf numFmtId="10" fontId="133" fillId="83" borderId="21"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19" xfId="0" applyFont="1" applyFill="1" applyBorder="1" applyAlignment="1">
      <alignment horizontal="center" vertical="center" wrapText="1"/>
    </xf>
    <xf numFmtId="0" fontId="4" fillId="83" borderId="119" xfId="0" applyFont="1" applyFill="1" applyBorder="1" applyAlignment="1">
      <alignment vertical="center" wrapText="1"/>
    </xf>
    <xf numFmtId="192" fontId="4" fillId="83" borderId="119" xfId="7" applyNumberFormat="1" applyFont="1" applyFill="1" applyBorder="1" applyAlignment="1">
      <alignment vertical="center"/>
    </xf>
    <xf numFmtId="192" fontId="4" fillId="83" borderId="77" xfId="7" applyNumberFormat="1" applyFont="1" applyFill="1" applyBorder="1" applyAlignment="1">
      <alignment vertical="center"/>
    </xf>
    <xf numFmtId="0" fontId="137" fillId="81" borderId="119" xfId="0" applyFont="1" applyFill="1" applyBorder="1" applyAlignment="1">
      <alignment horizontal="left" vertical="center" wrapText="1" indent="3"/>
    </xf>
    <xf numFmtId="192" fontId="4" fillId="35" borderId="119" xfId="7" applyNumberFormat="1" applyFont="1" applyFill="1" applyBorder="1" applyAlignment="1">
      <alignment vertical="center"/>
    </xf>
    <xf numFmtId="0" fontId="143" fillId="81" borderId="119" xfId="0" applyFont="1" applyFill="1" applyBorder="1" applyAlignment="1">
      <alignment horizontal="left" vertical="center" wrapText="1" indent="5"/>
    </xf>
    <xf numFmtId="0" fontId="144" fillId="80" borderId="119" xfId="0" applyFont="1" applyFill="1" applyBorder="1" applyAlignment="1">
      <alignment horizontal="left" vertical="center" wrapText="1" indent="1"/>
    </xf>
    <xf numFmtId="192" fontId="144" fillId="80" borderId="119" xfId="7" applyNumberFormat="1" applyFont="1" applyFill="1" applyBorder="1" applyAlignment="1">
      <alignment vertical="center"/>
    </xf>
    <xf numFmtId="192" fontId="144" fillId="82" borderId="77" xfId="7" applyNumberFormat="1" applyFont="1" applyFill="1" applyBorder="1" applyAlignment="1">
      <alignment vertical="center"/>
    </xf>
    <xf numFmtId="192" fontId="145" fillId="81" borderId="119" xfId="7" applyNumberFormat="1" applyFont="1" applyFill="1" applyBorder="1" applyAlignment="1">
      <alignment vertical="center"/>
    </xf>
    <xf numFmtId="192" fontId="145" fillId="82" borderId="77" xfId="7" applyNumberFormat="1" applyFont="1" applyFill="1" applyBorder="1" applyAlignment="1">
      <alignment vertical="center"/>
    </xf>
    <xf numFmtId="192" fontId="145" fillId="81" borderId="20" xfId="7" applyNumberFormat="1" applyFont="1" applyFill="1" applyBorder="1" applyAlignment="1">
      <alignment vertical="center"/>
    </xf>
    <xf numFmtId="192" fontId="145" fillId="82" borderId="21" xfId="7" applyNumberFormat="1" applyFont="1" applyFill="1" applyBorder="1" applyAlignment="1">
      <alignment vertical="center"/>
    </xf>
    <xf numFmtId="0" fontId="349" fillId="0" borderId="0" xfId="0" applyFont="1"/>
    <xf numFmtId="169" fontId="9" fillId="36" borderId="92" xfId="20" applyBorder="1"/>
    <xf numFmtId="0" fontId="94" fillId="0" borderId="180"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352" fillId="3" borderId="116" xfId="0" applyFont="1" applyFill="1" applyBorder="1" applyAlignment="1">
      <alignment horizontal="left" vertical="center" wrapText="1"/>
    </xf>
    <xf numFmtId="0" fontId="120" fillId="0" borderId="116" xfId="0" applyFont="1" applyBorder="1" applyAlignment="1">
      <alignment horizontal="left" vertical="center" wrapText="1"/>
    </xf>
    <xf numFmtId="0" fontId="352" fillId="0" borderId="116" xfId="0" applyFont="1" applyBorder="1" applyAlignment="1">
      <alignment horizontal="left" vertical="center" wrapText="1"/>
    </xf>
    <xf numFmtId="0" fontId="352" fillId="0" borderId="116" xfId="0" applyFont="1" applyBorder="1" applyAlignment="1">
      <alignment vertical="center" wrapText="1"/>
    </xf>
    <xf numFmtId="0" fontId="353" fillId="0" borderId="116" xfId="0" applyFont="1" applyBorder="1" applyAlignment="1">
      <alignment horizontal="left" vertical="center" wrapText="1" indent="1"/>
    </xf>
    <xf numFmtId="0" fontId="353" fillId="3" borderId="116" xfId="0" applyFont="1" applyFill="1" applyBorder="1" applyAlignment="1">
      <alignment horizontal="left" vertical="center" wrapText="1" indent="1"/>
    </xf>
    <xf numFmtId="0" fontId="352" fillId="3" borderId="117" xfId="0" applyFont="1" applyFill="1" applyBorder="1" applyAlignment="1">
      <alignment horizontal="left" vertical="center" wrapText="1"/>
    </xf>
    <xf numFmtId="0" fontId="352" fillId="3" borderId="118" xfId="0" applyFont="1" applyFill="1" applyBorder="1" applyAlignment="1">
      <alignment horizontal="left" vertical="center" wrapText="1"/>
    </xf>
    <xf numFmtId="0" fontId="94" fillId="3" borderId="116" xfId="0" applyFont="1" applyFill="1" applyBorder="1" applyAlignment="1">
      <alignment horizontal="left" vertical="center" wrapText="1" indent="1"/>
    </xf>
    <xf numFmtId="0" fontId="94" fillId="0" borderId="116" xfId="0" applyFont="1" applyBorder="1" applyAlignment="1">
      <alignment horizontal="left" vertical="center" wrapText="1" indent="1"/>
    </xf>
    <xf numFmtId="0" fontId="94" fillId="0" borderId="117" xfId="0" applyFont="1" applyBorder="1" applyAlignment="1">
      <alignment horizontal="left" vertical="center" wrapText="1" indent="1"/>
    </xf>
    <xf numFmtId="0" fontId="350" fillId="0" borderId="0" xfId="0" applyFont="1" applyAlignment="1">
      <alignment horizontal="center"/>
    </xf>
    <xf numFmtId="0" fontId="350" fillId="0" borderId="0" xfId="0" applyFont="1" applyAlignment="1">
      <alignment horizontal="left" vertical="center"/>
    </xf>
    <xf numFmtId="191" fontId="2" fillId="0" borderId="119" xfId="0" applyNumberFormat="1" applyFont="1" applyBorder="1" applyAlignment="1">
      <alignment horizontal="right"/>
    </xf>
    <xf numFmtId="191" fontId="2" fillId="35" borderId="119" xfId="0" applyNumberFormat="1" applyFont="1" applyFill="1" applyBorder="1" applyAlignment="1">
      <alignment horizontal="right"/>
    </xf>
    <xf numFmtId="191" fontId="2" fillId="35" borderId="77" xfId="0" applyNumberFormat="1" applyFont="1" applyFill="1" applyBorder="1" applyAlignment="1">
      <alignment horizontal="right"/>
    </xf>
    <xf numFmtId="0" fontId="86" fillId="0" borderId="119" xfId="0" applyFont="1" applyBorder="1" applyAlignment="1">
      <alignment vertical="center"/>
    </xf>
    <xf numFmtId="0" fontId="45" fillId="0" borderId="119" xfId="0" applyFont="1" applyBorder="1" applyAlignment="1">
      <alignment vertical="center" wrapText="1"/>
    </xf>
    <xf numFmtId="191" fontId="94" fillId="35" borderId="186" xfId="0" applyNumberFormat="1" applyFont="1" applyFill="1" applyBorder="1" applyAlignment="1">
      <alignment horizontal="right"/>
    </xf>
    <xf numFmtId="0" fontId="352" fillId="0" borderId="186" xfId="20954" applyFont="1" applyBorder="1" applyAlignment="1">
      <alignment horizontal="left" vertical="center" wrapText="1"/>
    </xf>
    <xf numFmtId="191" fontId="94" fillId="0" borderId="186" xfId="0" applyNumberFormat="1" applyFont="1" applyBorder="1" applyAlignment="1">
      <alignment horizontal="right"/>
    </xf>
    <xf numFmtId="0" fontId="6" fillId="0" borderId="186" xfId="17" applyFill="1" applyBorder="1" applyAlignment="1" applyProtection="1"/>
    <xf numFmtId="49" fontId="84" fillId="0" borderId="186" xfId="0" applyNumberFormat="1" applyFont="1" applyBorder="1" applyAlignment="1">
      <alignment horizontal="right"/>
    </xf>
    <xf numFmtId="0" fontId="84" fillId="0" borderId="186" xfId="0" applyFont="1" applyBorder="1"/>
    <xf numFmtId="0" fontId="355" fillId="3" borderId="0" xfId="37364" applyFont="1" applyFill="1" applyAlignment="1" applyProtection="1">
      <alignment vertical="center"/>
      <protection locked="0"/>
    </xf>
    <xf numFmtId="0" fontId="131" fillId="3" borderId="186" xfId="5" applyFont="1" applyFill="1" applyBorder="1" applyAlignment="1" applyProtection="1">
      <alignment vertical="center" wrapText="1"/>
      <protection locked="0"/>
    </xf>
    <xf numFmtId="0" fontId="131" fillId="0" borderId="186" xfId="37365" applyFont="1" applyBorder="1" applyAlignment="1" applyProtection="1">
      <alignment horizontal="center" vertical="center" wrapText="1"/>
      <protection locked="0"/>
    </xf>
    <xf numFmtId="3" fontId="131" fillId="3" borderId="186" xfId="1" applyNumberFormat="1" applyFont="1" applyFill="1" applyBorder="1" applyAlignment="1" applyProtection="1">
      <alignment horizontal="center" vertical="center" wrapText="1"/>
      <protection locked="0"/>
    </xf>
    <xf numFmtId="9" fontId="131" fillId="3" borderId="186" xfId="15" applyNumberFormat="1" applyFont="1" applyFill="1" applyBorder="1" applyAlignment="1" applyProtection="1">
      <alignment horizontal="center" vertical="center" wrapText="1"/>
      <protection locked="0"/>
    </xf>
    <xf numFmtId="0" fontId="131" fillId="3" borderId="186" xfId="37365" applyFont="1" applyFill="1" applyBorder="1" applyAlignment="1" applyProtection="1">
      <alignment horizontal="center" vertical="center" wrapText="1"/>
      <protection locked="0"/>
    </xf>
    <xf numFmtId="0" fontId="355" fillId="3" borderId="186" xfId="37365" applyFont="1" applyFill="1" applyBorder="1" applyProtection="1">
      <protection locked="0"/>
    </xf>
    <xf numFmtId="3" fontId="131" fillId="151" borderId="186" xfId="5" applyNumberFormat="1" applyFont="1" applyFill="1" applyBorder="1"/>
    <xf numFmtId="0" fontId="356" fillId="3" borderId="186" xfId="37365" applyFont="1" applyFill="1" applyBorder="1" applyAlignment="1" applyProtection="1">
      <alignment horizontal="right"/>
      <protection locked="0"/>
    </xf>
    <xf numFmtId="359" fontId="131" fillId="151" borderId="186" xfId="5" applyNumberFormat="1" applyFont="1" applyFill="1" applyBorder="1" applyProtection="1">
      <protection locked="0"/>
    </xf>
    <xf numFmtId="164" fontId="131" fillId="151" borderId="186" xfId="1" applyNumberFormat="1" applyFont="1" applyFill="1" applyBorder="1" applyAlignment="1" applyProtection="1"/>
    <xf numFmtId="0" fontId="131" fillId="3" borderId="186" xfId="37365" applyFont="1" applyFill="1" applyBorder="1" applyAlignment="1" applyProtection="1">
      <alignment horizontal="left" vertical="center"/>
      <protection locked="0"/>
    </xf>
    <xf numFmtId="3" fontId="131" fillId="3" borderId="186" xfId="5" applyNumberFormat="1" applyFont="1" applyFill="1" applyBorder="1" applyProtection="1">
      <protection locked="0"/>
    </xf>
    <xf numFmtId="0" fontId="131" fillId="3" borderId="186" xfId="5" applyFont="1" applyFill="1" applyBorder="1" applyProtection="1">
      <protection locked="0"/>
    </xf>
    <xf numFmtId="0" fontId="357" fillId="3" borderId="186" xfId="37365" applyFont="1" applyFill="1" applyBorder="1" applyAlignment="1" applyProtection="1">
      <alignment horizontal="right"/>
      <protection locked="0"/>
    </xf>
    <xf numFmtId="0" fontId="131" fillId="0" borderId="186" xfId="37365" applyFont="1" applyBorder="1" applyAlignment="1" applyProtection="1">
      <alignment horizontal="left" vertical="center"/>
      <protection locked="0"/>
    </xf>
    <xf numFmtId="0" fontId="355" fillId="3" borderId="186" xfId="16" applyFont="1" applyFill="1" applyBorder="1" applyProtection="1">
      <protection locked="0"/>
    </xf>
    <xf numFmtId="3" fontId="355" fillId="75" borderId="186" xfId="16" applyNumberFormat="1" applyFont="1" applyFill="1" applyBorder="1"/>
    <xf numFmtId="0" fontId="360" fillId="0" borderId="0" xfId="37364" applyFont="1" applyAlignment="1" applyProtection="1">
      <alignment vertical="center"/>
      <protection locked="0"/>
    </xf>
    <xf numFmtId="0" fontId="131" fillId="0" borderId="186" xfId="37365" applyFont="1" applyBorder="1" applyAlignment="1" applyProtection="1">
      <alignment horizontal="center" vertical="top" wrapText="1"/>
      <protection locked="0"/>
    </xf>
    <xf numFmtId="0" fontId="355" fillId="3" borderId="186" xfId="37365" applyFont="1" applyFill="1" applyBorder="1" applyAlignment="1" applyProtection="1">
      <alignment wrapText="1"/>
      <protection locked="0"/>
    </xf>
    <xf numFmtId="3" fontId="131" fillId="0" borderId="186"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3" xfId="20952" applyFont="1" applyFill="1" applyBorder="1" applyAlignment="1" applyProtection="1">
      <alignment horizontal="center" vertical="center"/>
      <protection locked="0"/>
    </xf>
    <xf numFmtId="0" fontId="107" fillId="76" borderId="186" xfId="20952" applyFont="1" applyFill="1" applyBorder="1" applyAlignment="1" applyProtection="1">
      <alignment horizontal="center" vertical="center"/>
      <protection locked="0"/>
    </xf>
    <xf numFmtId="164" fontId="105" fillId="76" borderId="186" xfId="948" applyNumberFormat="1" applyFont="1" applyFill="1" applyBorder="1" applyAlignment="1" applyProtection="1">
      <alignment horizontal="right" vertical="center"/>
    </xf>
    <xf numFmtId="9" fontId="94" fillId="0" borderId="95" xfId="7" applyNumberFormat="1" applyFont="1" applyFill="1" applyBorder="1" applyAlignment="1" applyProtection="1">
      <alignment horizontal="right" vertical="center"/>
      <protection locked="0"/>
    </xf>
    <xf numFmtId="164" fontId="3" fillId="0" borderId="186" xfId="7" applyNumberFormat="1" applyFont="1" applyFill="1" applyBorder="1" applyAlignment="1">
      <alignment vertical="center"/>
    </xf>
    <xf numFmtId="164" fontId="3" fillId="0" borderId="186" xfId="7" applyNumberFormat="1" applyFont="1" applyFill="1" applyBorder="1"/>
    <xf numFmtId="9" fontId="2" fillId="0" borderId="3" xfId="0" applyNumberFormat="1" applyFont="1" applyBorder="1" applyAlignment="1" applyProtection="1">
      <alignment horizontal="right" vertical="center" wrapText="1"/>
      <protection locked="0"/>
    </xf>
    <xf numFmtId="9" fontId="84" fillId="0" borderId="3" xfId="0" applyNumberFormat="1" applyFont="1" applyBorder="1" applyAlignment="1" applyProtection="1">
      <alignment vertical="center" wrapText="1"/>
      <protection locked="0"/>
    </xf>
    <xf numFmtId="9" fontId="84" fillId="0" borderId="17" xfId="0" applyNumberFormat="1" applyFont="1" applyBorder="1" applyAlignment="1" applyProtection="1">
      <alignment vertical="center" wrapText="1"/>
      <protection locked="0"/>
    </xf>
    <xf numFmtId="9" fontId="2" fillId="2" borderId="93" xfId="0" applyNumberFormat="1" applyFont="1" applyFill="1" applyBorder="1" applyAlignment="1" applyProtection="1">
      <alignment vertical="center"/>
      <protection locked="0"/>
    </xf>
    <xf numFmtId="9" fontId="84" fillId="0" borderId="18" xfId="0" applyNumberFormat="1" applyFont="1" applyBorder="1"/>
    <xf numFmtId="0" fontId="2" fillId="0" borderId="199" xfId="0" applyFont="1" applyBorder="1" applyAlignment="1">
      <alignment vertical="center"/>
    </xf>
    <xf numFmtId="0" fontId="2" fillId="0" borderId="200" xfId="0" applyFont="1" applyBorder="1" applyAlignment="1">
      <alignment wrapText="1"/>
    </xf>
    <xf numFmtId="0" fontId="84" fillId="0" borderId="201" xfId="0" applyFont="1" applyBorder="1"/>
    <xf numFmtId="0" fontId="6" fillId="0" borderId="3" xfId="17" applyBorder="1" applyAlignment="1" applyProtection="1"/>
    <xf numFmtId="9" fontId="2" fillId="2" borderId="3" xfId="20950" applyFont="1" applyFill="1" applyBorder="1" applyAlignment="1" applyProtection="1">
      <alignment vertical="center"/>
      <protection locked="0"/>
    </xf>
    <xf numFmtId="9" fontId="87" fillId="2" borderId="3" xfId="20950" applyFont="1" applyFill="1" applyBorder="1" applyAlignment="1" applyProtection="1">
      <alignment vertical="center"/>
      <protection locked="0"/>
    </xf>
    <xf numFmtId="9" fontId="87" fillId="2" borderId="17" xfId="20950" applyFont="1" applyFill="1" applyBorder="1" applyAlignment="1" applyProtection="1">
      <alignment vertical="center"/>
      <protection locked="0"/>
    </xf>
    <xf numFmtId="9" fontId="2" fillId="36" borderId="0" xfId="20950" applyFont="1" applyFill="1"/>
    <xf numFmtId="9" fontId="2" fillId="36" borderId="92" xfId="20950" applyFont="1" applyFill="1" applyBorder="1"/>
    <xf numFmtId="9" fontId="45" fillId="0" borderId="3" xfId="20950" applyFont="1" applyBorder="1" applyAlignment="1" applyProtection="1">
      <alignment horizontal="center" vertical="center" wrapText="1"/>
      <protection locked="0"/>
    </xf>
    <xf numFmtId="9" fontId="84" fillId="0" borderId="3" xfId="20950" applyFont="1" applyBorder="1" applyAlignment="1" applyProtection="1">
      <alignment horizontal="center" vertical="center" wrapText="1"/>
      <protection locked="0"/>
    </xf>
    <xf numFmtId="9" fontId="84" fillId="0" borderId="17" xfId="20950" applyFont="1" applyBorder="1" applyAlignment="1" applyProtection="1">
      <alignment horizontal="center" vertical="center" wrapText="1"/>
      <protection locked="0"/>
    </xf>
    <xf numFmtId="164" fontId="0" fillId="0" borderId="186" xfId="7" applyNumberFormat="1" applyFont="1" applyBorder="1"/>
    <xf numFmtId="164" fontId="0" fillId="35" borderId="186" xfId="7" applyNumberFormat="1" applyFont="1" applyFill="1" applyBorder="1"/>
    <xf numFmtId="0" fontId="94" fillId="0" borderId="186" xfId="0" applyFont="1" applyBorder="1" applyAlignment="1">
      <alignment horizontal="center" vertical="center" wrapText="1"/>
    </xf>
    <xf numFmtId="0" fontId="94" fillId="0" borderId="77" xfId="0" applyFont="1" applyBorder="1" applyAlignment="1">
      <alignment horizontal="center" vertical="center" wrapText="1"/>
    </xf>
    <xf numFmtId="0" fontId="351" fillId="0" borderId="186" xfId="0" applyFont="1" applyBorder="1" applyAlignment="1">
      <alignment horizontal="center" vertical="center"/>
    </xf>
    <xf numFmtId="0" fontId="350" fillId="0" borderId="180" xfId="0" applyFont="1" applyBorder="1" applyAlignment="1">
      <alignment horizontal="center"/>
    </xf>
    <xf numFmtId="0" fontId="120" fillId="3" borderId="186" xfId="20954" applyFont="1" applyFill="1" applyBorder="1" applyAlignment="1">
      <alignment horizontal="left" vertical="center" wrapText="1"/>
    </xf>
    <xf numFmtId="164" fontId="350" fillId="0" borderId="186" xfId="7" applyNumberFormat="1" applyFont="1" applyBorder="1"/>
    <xf numFmtId="164" fontId="350" fillId="35" borderId="186" xfId="7" applyNumberFormat="1" applyFont="1" applyFill="1" applyBorder="1"/>
    <xf numFmtId="164" fontId="350" fillId="35" borderId="77" xfId="7" applyNumberFormat="1" applyFont="1" applyFill="1" applyBorder="1"/>
    <xf numFmtId="0" fontId="94" fillId="0" borderId="186" xfId="20954" applyFont="1" applyBorder="1" applyAlignment="1">
      <alignment horizontal="left" vertical="center" wrapText="1" indent="1"/>
    </xf>
    <xf numFmtId="0" fontId="94" fillId="3" borderId="186" xfId="20954" applyFont="1" applyFill="1" applyBorder="1" applyAlignment="1">
      <alignment horizontal="left" vertical="center" wrapText="1" indent="1"/>
    </xf>
    <xf numFmtId="164" fontId="350" fillId="0" borderId="186" xfId="7" applyNumberFormat="1" applyFont="1" applyBorder="1" applyAlignment="1">
      <alignment vertical="center"/>
    </xf>
    <xf numFmtId="164" fontId="350" fillId="35" borderId="186" xfId="7" applyNumberFormat="1" applyFont="1" applyFill="1" applyBorder="1" applyAlignment="1">
      <alignment vertical="center"/>
    </xf>
    <xf numFmtId="164" fontId="350" fillId="35" borderId="77" xfId="7" applyNumberFormat="1" applyFont="1" applyFill="1" applyBorder="1" applyAlignment="1">
      <alignment vertical="center"/>
    </xf>
    <xf numFmtId="0" fontId="353" fillId="0" borderId="186" xfId="20954" applyFont="1" applyBorder="1" applyAlignment="1">
      <alignment horizontal="left" vertical="center" wrapText="1" indent="1"/>
    </xf>
    <xf numFmtId="0" fontId="352" fillId="0" borderId="186" xfId="0" applyFont="1" applyBorder="1" applyAlignment="1">
      <alignment horizontal="left" vertical="center" wrapText="1"/>
    </xf>
    <xf numFmtId="0" fontId="352" fillId="0" borderId="186" xfId="20954" applyFont="1" applyBorder="1" applyAlignment="1">
      <alignment horizontal="center" vertical="center" wrapText="1"/>
    </xf>
    <xf numFmtId="0" fontId="352" fillId="0" borderId="186" xfId="0" applyFont="1" applyBorder="1" applyAlignment="1">
      <alignment vertical="center" wrapText="1"/>
    </xf>
    <xf numFmtId="0" fontId="352" fillId="3" borderId="186" xfId="20954" applyFont="1" applyFill="1" applyBorder="1" applyAlignment="1">
      <alignment horizontal="left" vertical="center" wrapText="1"/>
    </xf>
    <xf numFmtId="0" fontId="354" fillId="0" borderId="0" xfId="0" applyFont="1" applyAlignment="1">
      <alignment horizontal="justify"/>
    </xf>
    <xf numFmtId="0" fontId="350" fillId="0" borderId="206" xfId="0" applyFont="1" applyBorder="1" applyAlignment="1">
      <alignment horizontal="center"/>
    </xf>
    <xf numFmtId="0" fontId="352" fillId="0" borderId="207" xfId="0" applyFont="1" applyBorder="1" applyAlignment="1">
      <alignment horizontal="left" vertical="center" wrapText="1"/>
    </xf>
    <xf numFmtId="164" fontId="350" fillId="0" borderId="207" xfId="7" applyNumberFormat="1" applyFont="1" applyBorder="1"/>
    <xf numFmtId="164" fontId="350" fillId="35" borderId="207" xfId="7" applyNumberFormat="1" applyFont="1" applyFill="1" applyBorder="1"/>
    <xf numFmtId="164" fontId="350" fillId="35" borderId="208" xfId="7" applyNumberFormat="1" applyFont="1" applyFill="1" applyBorder="1"/>
    <xf numFmtId="0" fontId="2" fillId="0" borderId="186" xfId="0" applyFont="1" applyBorder="1" applyAlignment="1">
      <alignment horizontal="center" vertical="center" wrapText="1"/>
    </xf>
    <xf numFmtId="0" fontId="2" fillId="0" borderId="77" xfId="0" applyFont="1" applyBorder="1" applyAlignment="1">
      <alignment horizontal="center" vertical="center" wrapText="1"/>
    </xf>
    <xf numFmtId="0" fontId="0" fillId="0" borderId="180" xfId="0" applyBorder="1" applyAlignment="1">
      <alignment horizontal="center" vertical="center"/>
    </xf>
    <xf numFmtId="164" fontId="0" fillId="35" borderId="77" xfId="7" applyNumberFormat="1" applyFont="1" applyFill="1" applyBorder="1"/>
    <xf numFmtId="0" fontId="124" fillId="0" borderId="210" xfId="0" applyFont="1" applyBorder="1" applyAlignment="1">
      <alignment vertical="center" wrapText="1"/>
    </xf>
    <xf numFmtId="0" fontId="0" fillId="0" borderId="206" xfId="0" applyBorder="1" applyAlignment="1">
      <alignment horizontal="center" vertical="center"/>
    </xf>
    <xf numFmtId="0" fontId="124" fillId="3" borderId="211" xfId="0" applyFont="1" applyFill="1" applyBorder="1" applyAlignment="1">
      <alignment vertical="center" wrapText="1"/>
    </xf>
    <xf numFmtId="164" fontId="0" fillId="0" borderId="207" xfId="7" applyNumberFormat="1" applyFont="1" applyBorder="1"/>
    <xf numFmtId="164" fontId="0" fillId="35" borderId="207" xfId="7" applyNumberFormat="1" applyFont="1" applyFill="1" applyBorder="1"/>
    <xf numFmtId="164" fontId="0" fillId="35" borderId="208" xfId="7" applyNumberFormat="1" applyFont="1" applyFill="1" applyBorder="1"/>
    <xf numFmtId="0" fontId="2" fillId="0" borderId="202" xfId="11" applyBorder="1" applyAlignment="1">
      <alignment vertical="center"/>
    </xf>
    <xf numFmtId="0" fontId="2" fillId="0" borderId="204" xfId="11" applyBorder="1" applyAlignment="1">
      <alignment vertical="center"/>
    </xf>
    <xf numFmtId="0" fontId="45" fillId="0" borderId="204" xfId="11" applyFont="1" applyBorder="1" applyAlignment="1">
      <alignment horizontal="center" vertical="center"/>
    </xf>
    <xf numFmtId="0" fontId="45" fillId="0" borderId="205" xfId="11" applyFont="1" applyBorder="1" applyAlignment="1">
      <alignment horizontal="center" vertical="center"/>
    </xf>
    <xf numFmtId="0" fontId="84" fillId="0" borderId="180" xfId="0" applyFont="1" applyBorder="1"/>
    <xf numFmtId="0" fontId="86" fillId="0" borderId="186" xfId="0" applyFont="1" applyBorder="1" applyAlignment="1">
      <alignment horizontal="center" vertical="center" wrapText="1"/>
    </xf>
    <xf numFmtId="0" fontId="0" fillId="0" borderId="180" xfId="0" applyBorder="1" applyAlignment="1">
      <alignment horizontal="center"/>
    </xf>
    <xf numFmtId="0" fontId="122" fillId="3" borderId="186" xfId="20954" applyFont="1" applyFill="1" applyBorder="1" applyAlignment="1">
      <alignment horizontal="left" vertical="center" wrapText="1"/>
    </xf>
    <xf numFmtId="43" fontId="84" fillId="0" borderId="186" xfId="7" applyFont="1" applyFill="1" applyBorder="1" applyAlignment="1">
      <alignment horizontal="center" vertical="center"/>
    </xf>
    <xf numFmtId="43" fontId="84" fillId="0" borderId="77" xfId="7" applyFont="1" applyFill="1" applyBorder="1" applyAlignment="1">
      <alignment horizontal="center" vertical="center"/>
    </xf>
    <xf numFmtId="0" fontId="123" fillId="0" borderId="186" xfId="20954" applyFont="1" applyBorder="1" applyAlignment="1">
      <alignment horizontal="left" vertical="center" wrapText="1" indent="1"/>
    </xf>
    <xf numFmtId="0" fontId="123" fillId="3" borderId="186" xfId="20954" applyFont="1" applyFill="1" applyBorder="1" applyAlignment="1">
      <alignment horizontal="left" vertical="center" wrapText="1" indent="1"/>
    </xf>
    <xf numFmtId="0" fontId="125" fillId="0" borderId="186" xfId="20954" applyFont="1" applyBorder="1" applyAlignment="1">
      <alignment horizontal="left" vertical="center" wrapText="1" indent="1"/>
    </xf>
    <xf numFmtId="0" fontId="84" fillId="0" borderId="206" xfId="0" applyFont="1" applyBorder="1"/>
    <xf numFmtId="191" fontId="86" fillId="35" borderId="207" xfId="0" applyNumberFormat="1" applyFont="1" applyFill="1" applyBorder="1" applyAlignment="1">
      <alignment horizontal="left" vertical="center" wrapText="1"/>
    </xf>
    <xf numFmtId="191" fontId="86" fillId="35" borderId="207" xfId="0" applyNumberFormat="1" applyFont="1" applyFill="1" applyBorder="1" applyAlignment="1">
      <alignment horizontal="center" vertical="center"/>
    </xf>
    <xf numFmtId="191" fontId="86" fillId="35" borderId="208" xfId="0" applyNumberFormat="1" applyFont="1" applyFill="1" applyBorder="1" applyAlignment="1">
      <alignment horizontal="center" vertical="center"/>
    </xf>
    <xf numFmtId="0" fontId="84" fillId="0" borderId="209" xfId="0" applyFont="1" applyBorder="1" applyAlignment="1">
      <alignment horizontal="center" vertical="center" wrapText="1"/>
    </xf>
    <xf numFmtId="0" fontId="86" fillId="0" borderId="203" xfId="0" applyFont="1" applyBorder="1" applyAlignment="1">
      <alignment horizontal="center" vertical="center" wrapText="1"/>
    </xf>
    <xf numFmtId="0" fontId="84" fillId="0" borderId="212" xfId="0" applyFont="1" applyBorder="1" applyAlignment="1">
      <alignment horizontal="center" vertical="center" wrapText="1"/>
    </xf>
    <xf numFmtId="0" fontId="84" fillId="0" borderId="213" xfId="0" applyFont="1" applyBorder="1" applyAlignment="1">
      <alignment horizontal="center" vertical="center" wrapText="1"/>
    </xf>
    <xf numFmtId="191" fontId="84" fillId="0" borderId="214" xfId="0" applyNumberFormat="1" applyFont="1" applyBorder="1" applyAlignment="1">
      <alignment horizontal="center" vertical="center"/>
    </xf>
    <xf numFmtId="167" fontId="84" fillId="0" borderId="215" xfId="0" applyNumberFormat="1" applyFont="1" applyBorder="1" applyAlignment="1">
      <alignment horizontal="center"/>
    </xf>
    <xf numFmtId="0" fontId="124" fillId="0" borderId="186" xfId="0" applyFont="1" applyBorder="1" applyAlignment="1">
      <alignment horizontal="left" vertical="center" wrapText="1"/>
    </xf>
    <xf numFmtId="0" fontId="126" fillId="0" borderId="186" xfId="20954" applyFont="1" applyBorder="1" applyAlignment="1">
      <alignment horizontal="center" vertical="center" wrapText="1"/>
    </xf>
    <xf numFmtId="0" fontId="123" fillId="3" borderId="186" xfId="0" applyFont="1" applyFill="1" applyBorder="1" applyAlignment="1">
      <alignment horizontal="left" vertical="center" wrapText="1" indent="1"/>
    </xf>
    <xf numFmtId="167" fontId="84" fillId="0" borderId="77" xfId="0" applyNumberFormat="1" applyFont="1" applyBorder="1" applyAlignment="1">
      <alignment horizontal="center"/>
    </xf>
    <xf numFmtId="167" fontId="86" fillId="0" borderId="77" xfId="0" applyNumberFormat="1" applyFont="1" applyBorder="1" applyAlignment="1">
      <alignment horizontal="center"/>
    </xf>
    <xf numFmtId="0" fontId="84" fillId="0" borderId="77" xfId="0" applyFont="1" applyBorder="1"/>
    <xf numFmtId="0" fontId="123" fillId="0" borderId="186" xfId="0" applyFont="1" applyBorder="1" applyAlignment="1">
      <alignment horizontal="left" vertical="center" wrapText="1" indent="1"/>
    </xf>
    <xf numFmtId="0" fontId="124" fillId="0" borderId="186" xfId="20954" applyFont="1" applyBorder="1" applyAlignment="1">
      <alignment horizontal="left" vertical="center" wrapText="1"/>
    </xf>
    <xf numFmtId="0" fontId="124" fillId="3" borderId="186" xfId="0" applyFont="1" applyFill="1" applyBorder="1" applyAlignment="1">
      <alignment horizontal="left" vertical="center" wrapText="1"/>
    </xf>
    <xf numFmtId="0" fontId="124" fillId="0" borderId="186" xfId="0" applyFont="1" applyBorder="1" applyAlignment="1">
      <alignment vertical="center" wrapText="1"/>
    </xf>
    <xf numFmtId="0" fontId="124" fillId="3" borderId="186" xfId="20954" applyFont="1" applyFill="1" applyBorder="1" applyAlignment="1">
      <alignment horizontal="left" vertical="center" wrapText="1"/>
    </xf>
    <xf numFmtId="0" fontId="125" fillId="3" borderId="186" xfId="0" applyFont="1" applyFill="1" applyBorder="1" applyAlignment="1">
      <alignment horizontal="left" vertical="center" wrapText="1" indent="1"/>
    </xf>
    <xf numFmtId="0" fontId="127" fillId="0" borderId="186" xfId="0" applyFont="1" applyBorder="1" applyAlignment="1">
      <alignment horizontal="justify"/>
    </xf>
    <xf numFmtId="0" fontId="0" fillId="0" borderId="206" xfId="0" applyBorder="1" applyAlignment="1">
      <alignment horizontal="center"/>
    </xf>
    <xf numFmtId="0" fontId="124" fillId="0" borderId="207" xfId="0" applyFont="1" applyBorder="1" applyAlignment="1">
      <alignment horizontal="left" vertical="center" wrapText="1"/>
    </xf>
    <xf numFmtId="0" fontId="84" fillId="0" borderId="208" xfId="0" applyFont="1" applyBorder="1"/>
    <xf numFmtId="191" fontId="84" fillId="0" borderId="216" xfId="0" applyNumberFormat="1" applyFont="1" applyBorder="1" applyAlignment="1">
      <alignment horizontal="center" vertical="center"/>
    </xf>
    <xf numFmtId="164" fontId="3" fillId="0" borderId="81" xfId="7" applyNumberFormat="1" applyFont="1" applyBorder="1" applyAlignment="1">
      <alignment vertical="center"/>
    </xf>
    <xf numFmtId="164" fontId="3" fillId="0" borderId="60" xfId="7" applyNumberFormat="1" applyFont="1" applyBorder="1" applyAlignment="1">
      <alignment vertical="center"/>
    </xf>
    <xf numFmtId="164" fontId="3" fillId="3" borderId="79" xfId="7" applyNumberFormat="1" applyFont="1" applyFill="1" applyBorder="1" applyAlignment="1">
      <alignment vertical="center"/>
    </xf>
    <xf numFmtId="164" fontId="3" fillId="3" borderId="80" xfId="7" applyNumberFormat="1" applyFont="1" applyFill="1" applyBorder="1" applyAlignment="1">
      <alignment vertical="center"/>
    </xf>
    <xf numFmtId="164" fontId="3" fillId="0" borderId="82" xfId="7" applyNumberFormat="1" applyFont="1" applyBorder="1" applyAlignment="1">
      <alignment vertical="center"/>
    </xf>
    <xf numFmtId="164" fontId="3" fillId="0" borderId="77" xfId="7" applyNumberFormat="1" applyFont="1" applyBorder="1" applyAlignment="1">
      <alignment vertical="center"/>
    </xf>
    <xf numFmtId="164" fontId="3" fillId="0" borderId="22" xfId="7" applyNumberFormat="1" applyFont="1" applyBorder="1" applyAlignment="1">
      <alignment vertical="center"/>
    </xf>
    <xf numFmtId="164" fontId="3" fillId="0" borderId="21" xfId="7" applyNumberFormat="1" applyFont="1" applyBorder="1" applyAlignment="1">
      <alignment vertical="center"/>
    </xf>
    <xf numFmtId="164" fontId="3" fillId="0" borderId="20" xfId="7" applyNumberFormat="1" applyFont="1" applyBorder="1" applyAlignment="1">
      <alignment vertical="center"/>
    </xf>
    <xf numFmtId="164" fontId="3" fillId="0" borderId="24" xfId="7" applyNumberFormat="1" applyFont="1" applyBorder="1" applyAlignment="1">
      <alignment vertical="center"/>
    </xf>
    <xf numFmtId="164" fontId="3" fillId="0" borderId="15" xfId="7" applyNumberFormat="1" applyFont="1" applyBorder="1" applyAlignment="1">
      <alignment vertical="center"/>
    </xf>
    <xf numFmtId="164" fontId="3" fillId="0" borderId="86" xfId="7" applyNumberFormat="1" applyFont="1" applyBorder="1" applyAlignment="1">
      <alignment vertical="center"/>
    </xf>
    <xf numFmtId="164" fontId="3" fillId="0" borderId="87" xfId="7" applyNumberFormat="1" applyFont="1" applyBorder="1" applyAlignment="1">
      <alignment vertical="center"/>
    </xf>
    <xf numFmtId="164" fontId="114" fillId="0" borderId="119" xfId="7" applyNumberFormat="1" applyFont="1" applyBorder="1"/>
    <xf numFmtId="164" fontId="110" fillId="0" borderId="119" xfId="7" applyNumberFormat="1" applyFont="1" applyBorder="1"/>
    <xf numFmtId="164" fontId="110" fillId="35" borderId="119" xfId="7" applyNumberFormat="1" applyFont="1" applyFill="1" applyBorder="1"/>
    <xf numFmtId="164" fontId="113" fillId="0" borderId="119" xfId="7" applyNumberFormat="1" applyFont="1" applyBorder="1"/>
    <xf numFmtId="0" fontId="93" fillId="0" borderId="62" xfId="0" applyFont="1" applyBorder="1" applyAlignment="1">
      <alignment horizontal="left" wrapText="1"/>
    </xf>
    <xf numFmtId="0" fontId="93" fillId="0" borderId="61" xfId="0" applyFont="1" applyBorder="1" applyAlignment="1">
      <alignment horizontal="left" wrapText="1"/>
    </xf>
    <xf numFmtId="0" fontId="93" fillId="0" borderId="126" xfId="0" applyFont="1" applyBorder="1" applyAlignment="1">
      <alignment horizontal="center" vertical="center"/>
    </xf>
    <xf numFmtId="0" fontId="93" fillId="0" borderId="28" xfId="0" applyFont="1" applyBorder="1" applyAlignment="1">
      <alignment horizontal="center" vertical="center"/>
    </xf>
    <xf numFmtId="0" fontId="93" fillId="0" borderId="127" xfId="0" applyFont="1" applyBorder="1" applyAlignment="1">
      <alignment horizontal="center" vertical="center"/>
    </xf>
    <xf numFmtId="164" fontId="350" fillId="0" borderId="182" xfId="7" applyNumberFormat="1" applyFont="1" applyBorder="1" applyAlignment="1">
      <alignment horizontal="center"/>
    </xf>
    <xf numFmtId="164" fontId="350" fillId="0" borderId="188" xfId="7" applyNumberFormat="1" applyFont="1" applyBorder="1" applyAlignment="1">
      <alignment horizontal="center"/>
    </xf>
    <xf numFmtId="164" fontId="350" fillId="0" borderId="80" xfId="7" applyNumberFormat="1" applyFont="1" applyBorder="1" applyAlignment="1">
      <alignment horizontal="center"/>
    </xf>
    <xf numFmtId="0" fontId="350" fillId="0" borderId="202" xfId="0" applyFont="1" applyBorder="1" applyAlignment="1">
      <alignment horizontal="center" vertical="center"/>
    </xf>
    <xf numFmtId="0" fontId="350" fillId="0" borderId="180" xfId="0" applyFont="1" applyBorder="1" applyAlignment="1">
      <alignment horizontal="center" vertical="center"/>
    </xf>
    <xf numFmtId="0" fontId="351" fillId="0" borderId="203" xfId="0" applyFont="1" applyBorder="1" applyAlignment="1">
      <alignment horizontal="center" vertical="center"/>
    </xf>
    <xf numFmtId="0" fontId="351" fillId="0" borderId="5" xfId="0" applyFont="1" applyBorder="1" applyAlignment="1">
      <alignment horizontal="center" vertical="center"/>
    </xf>
    <xf numFmtId="0" fontId="120" fillId="0" borderId="204" xfId="0" applyFont="1" applyBorder="1" applyAlignment="1">
      <alignment horizontal="center" vertical="center"/>
    </xf>
    <xf numFmtId="0" fontId="120" fillId="0" borderId="205" xfId="0" applyFont="1" applyBorder="1" applyAlignment="1">
      <alignment horizontal="center" vertical="center"/>
    </xf>
    <xf numFmtId="0" fontId="350" fillId="0" borderId="182" xfId="0" applyFont="1" applyBorder="1" applyAlignment="1">
      <alignment horizontal="center"/>
    </xf>
    <xf numFmtId="0" fontId="350" fillId="0" borderId="188" xfId="0" applyFont="1" applyBorder="1" applyAlignment="1">
      <alignment horizontal="center"/>
    </xf>
    <xf numFmtId="0" fontId="350" fillId="0" borderId="80" xfId="0" applyFont="1" applyBorder="1" applyAlignment="1">
      <alignment horizontal="center"/>
    </xf>
    <xf numFmtId="0" fontId="0" fillId="0" borderId="209" xfId="0" applyBorder="1" applyAlignment="1">
      <alignment horizontal="center" vertical="center"/>
    </xf>
    <xf numFmtId="0" fontId="0" fillId="0" borderId="63" xfId="0" applyBorder="1" applyAlignment="1">
      <alignment horizontal="center" vertical="center"/>
    </xf>
    <xf numFmtId="0" fontId="119" fillId="0" borderId="203" xfId="0" applyFont="1" applyBorder="1" applyAlignment="1">
      <alignment horizontal="center" vertical="center" wrapText="1"/>
    </xf>
    <xf numFmtId="0" fontId="119" fillId="0" borderId="5" xfId="0" applyFont="1" applyBorder="1" applyAlignment="1">
      <alignment horizontal="center" vertical="center" wrapText="1"/>
    </xf>
    <xf numFmtId="0" fontId="84" fillId="0" borderId="119" xfId="0" applyFont="1" applyBorder="1" applyAlignment="1">
      <alignment horizontal="center" vertical="center"/>
    </xf>
    <xf numFmtId="0" fontId="84" fillId="0" borderId="119" xfId="0" applyFont="1" applyBorder="1" applyAlignment="1">
      <alignment horizontal="center" vertical="center" wrapText="1"/>
    </xf>
    <xf numFmtId="0" fontId="45" fillId="0" borderId="14" xfId="0" applyFont="1" applyBorder="1" applyAlignment="1">
      <alignment horizontal="center" vertical="center"/>
    </xf>
    <xf numFmtId="0" fontId="45" fillId="0" borderId="15" xfId="0" applyFont="1" applyBorder="1" applyAlignment="1">
      <alignment horizontal="center" vertical="center"/>
    </xf>
    <xf numFmtId="0" fontId="45" fillId="0" borderId="3" xfId="0" applyFont="1" applyBorder="1" applyAlignment="1">
      <alignment horizontal="center" vertical="center" wrapText="1"/>
    </xf>
    <xf numFmtId="0" fontId="45" fillId="0" borderId="17" xfId="0" applyFont="1" applyBorder="1" applyAlignment="1">
      <alignment horizontal="center" vertical="center" wrapText="1"/>
    </xf>
    <xf numFmtId="0" fontId="86" fillId="0" borderId="186" xfId="0" applyFont="1" applyBorder="1" applyAlignment="1">
      <alignment horizontal="center" vertical="center" wrapText="1"/>
    </xf>
    <xf numFmtId="0" fontId="84" fillId="0" borderId="186" xfId="0" applyFont="1" applyBorder="1" applyAlignment="1">
      <alignment horizontal="center" vertical="center" wrapText="1"/>
    </xf>
    <xf numFmtId="0" fontId="45" fillId="0" borderId="186" xfId="11" applyFont="1" applyBorder="1" applyAlignment="1">
      <alignment horizontal="center" vertical="center" wrapText="1"/>
    </xf>
    <xf numFmtId="0" fontId="45" fillId="0" borderId="77" xfId="11" applyFont="1" applyBorder="1" applyAlignment="1">
      <alignment horizontal="center" vertical="center" wrapText="1"/>
    </xf>
    <xf numFmtId="0" fontId="45" fillId="0" borderId="66" xfId="11" applyFont="1" applyBorder="1" applyAlignment="1">
      <alignment horizontal="center" vertical="center" wrapText="1"/>
    </xf>
    <xf numFmtId="0" fontId="45" fillId="0" borderId="0" xfId="11" applyFont="1" applyAlignment="1">
      <alignment horizontal="center" vertical="center" wrapText="1"/>
    </xf>
    <xf numFmtId="0" fontId="3" fillId="84" borderId="5" xfId="0" applyFont="1" applyFill="1" applyBorder="1" applyAlignment="1">
      <alignment horizontal="center" vertical="center" wrapText="1"/>
    </xf>
    <xf numFmtId="0" fontId="3" fillId="84" borderId="119" xfId="0" applyFont="1" applyFill="1" applyBorder="1" applyAlignment="1">
      <alignment horizontal="center" vertical="center" wrapText="1"/>
    </xf>
    <xf numFmtId="0" fontId="3" fillId="84" borderId="5" xfId="11"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8" fillId="3" borderId="67" xfId="13" applyFont="1" applyFill="1" applyBorder="1" applyAlignment="1" applyProtection="1">
      <alignment horizontal="center" vertical="center" wrapText="1"/>
      <protection locked="0"/>
    </xf>
    <xf numFmtId="0" fontId="98" fillId="3" borderId="60"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6" xfId="0" applyFont="1" applyBorder="1" applyAlignment="1">
      <alignment horizontal="center" wrapText="1"/>
    </xf>
    <xf numFmtId="0" fontId="3" fillId="0" borderId="8" xfId="0" applyFont="1" applyBorder="1" applyAlignment="1">
      <alignment horizontal="center" wrapText="1"/>
    </xf>
    <xf numFmtId="0" fontId="99" fillId="0" borderId="51" xfId="0" applyFont="1" applyBorder="1" applyAlignment="1">
      <alignment horizontal="left" vertical="center"/>
    </xf>
    <xf numFmtId="0" fontId="99" fillId="0" borderId="52" xfId="0" applyFont="1" applyBorder="1" applyAlignment="1">
      <alignment horizontal="left" vertical="center"/>
    </xf>
    <xf numFmtId="0" fontId="3" fillId="0" borderId="52"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4" xfId="0" applyFont="1" applyBorder="1" applyAlignment="1">
      <alignment horizontal="center"/>
    </xf>
    <xf numFmtId="0" fontId="3" fillId="0" borderId="15" xfId="0" applyFont="1" applyBorder="1" applyAlignment="1">
      <alignment horizontal="center" vertical="center" wrapText="1"/>
    </xf>
    <xf numFmtId="0" fontId="3" fillId="0" borderId="77"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1"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1" xfId="0" applyFont="1" applyBorder="1" applyAlignment="1">
      <alignment horizontal="center" vertical="center" wrapText="1"/>
    </xf>
    <xf numFmtId="0" fontId="110" fillId="0" borderId="123" xfId="0" applyFont="1" applyBorder="1" applyAlignment="1">
      <alignment horizontal="center" vertical="center" wrapText="1"/>
    </xf>
    <xf numFmtId="0" fontId="110" fillId="0" borderId="5" xfId="0" applyFont="1" applyBorder="1" applyAlignment="1">
      <alignment horizontal="center" vertical="center" wrapText="1"/>
    </xf>
    <xf numFmtId="0" fontId="110" fillId="0" borderId="119" xfId="0" applyFont="1" applyBorder="1" applyAlignment="1">
      <alignment horizontal="center" vertical="center" wrapText="1"/>
    </xf>
    <xf numFmtId="0" fontId="118" fillId="0" borderId="119"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1" xfId="0" applyFont="1" applyBorder="1" applyAlignment="1">
      <alignment horizontal="center" vertical="center"/>
    </xf>
    <xf numFmtId="0" fontId="118" fillId="0" borderId="71" xfId="0" applyFont="1" applyBorder="1" applyAlignment="1">
      <alignment horizontal="center" vertical="center"/>
    </xf>
    <xf numFmtId="0" fontId="114" fillId="0" borderId="119" xfId="0" applyFont="1" applyBorder="1" applyAlignment="1">
      <alignment horizontal="center" vertical="center" wrapText="1"/>
    </xf>
    <xf numFmtId="0" fontId="110" fillId="0" borderId="122"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6" xfId="0" applyFont="1" applyBorder="1" applyAlignment="1">
      <alignment horizontal="center" vertical="center" wrapText="1"/>
    </xf>
    <xf numFmtId="0" fontId="113" fillId="0" borderId="64" xfId="0" applyFont="1" applyBorder="1" applyAlignment="1">
      <alignment horizontal="center" vertical="center" wrapText="1"/>
    </xf>
    <xf numFmtId="0" fontId="113" fillId="0" borderId="81" xfId="0" applyFont="1" applyBorder="1" applyAlignment="1">
      <alignment horizontal="center" vertical="center" wrapText="1"/>
    </xf>
    <xf numFmtId="0" fontId="113" fillId="0" borderId="71" xfId="0" applyFont="1" applyBorder="1" applyAlignment="1">
      <alignment horizontal="center" vertical="center" wrapText="1"/>
    </xf>
    <xf numFmtId="0" fontId="110" fillId="0" borderId="120" xfId="0" applyFont="1" applyBorder="1" applyAlignment="1">
      <alignment horizontal="center" vertical="center" wrapText="1"/>
    </xf>
    <xf numFmtId="0" fontId="110" fillId="0" borderId="121" xfId="0" applyFont="1" applyBorder="1" applyAlignment="1">
      <alignment horizontal="center" vertical="center" wrapText="1"/>
    </xf>
    <xf numFmtId="0" fontId="113" fillId="0" borderId="72" xfId="0" applyFont="1" applyBorder="1" applyAlignment="1">
      <alignment horizontal="center" vertical="center" wrapText="1"/>
    </xf>
    <xf numFmtId="0" fontId="113" fillId="0" borderId="5" xfId="0" applyFont="1" applyBorder="1" applyAlignment="1">
      <alignment horizontal="center" vertical="center" wrapText="1"/>
    </xf>
    <xf numFmtId="0" fontId="110" fillId="0" borderId="72" xfId="0" applyFont="1" applyBorder="1" applyAlignment="1">
      <alignment horizontal="center" vertical="center" wrapText="1"/>
    </xf>
    <xf numFmtId="0" fontId="110" fillId="0" borderId="71" xfId="0" applyFont="1" applyBorder="1" applyAlignment="1">
      <alignment horizontal="center" vertical="center" wrapText="1"/>
    </xf>
    <xf numFmtId="0" fontId="113" fillId="0" borderId="51" xfId="0" applyFont="1" applyBorder="1" applyAlignment="1">
      <alignment horizontal="left" vertical="top" wrapText="1"/>
    </xf>
    <xf numFmtId="0" fontId="113" fillId="0" borderId="73" xfId="0" applyFont="1" applyBorder="1" applyAlignment="1">
      <alignment horizontal="left" vertical="top" wrapText="1"/>
    </xf>
    <xf numFmtId="0" fontId="113" fillId="0" borderId="59"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25" xfId="0" applyFont="1" applyBorder="1" applyAlignment="1">
      <alignment horizontal="left" vertical="top" wrapText="1"/>
    </xf>
    <xf numFmtId="0" fontId="113" fillId="0" borderId="83" xfId="0" applyFont="1" applyBorder="1" applyAlignment="1">
      <alignment horizontal="center" vertical="center" wrapText="1"/>
    </xf>
    <xf numFmtId="0" fontId="113" fillId="0" borderId="63" xfId="0" applyFont="1" applyBorder="1" applyAlignment="1">
      <alignment horizontal="center" vertical="center" wrapText="1"/>
    </xf>
    <xf numFmtId="0" fontId="110" fillId="0" borderId="60" xfId="0" applyFont="1" applyBorder="1" applyAlignment="1">
      <alignment horizontal="center" vertical="center" wrapText="1"/>
    </xf>
    <xf numFmtId="0" fontId="110" fillId="0" borderId="65" xfId="0" applyFont="1" applyBorder="1" applyAlignment="1">
      <alignment horizontal="center" vertical="center" wrapText="1"/>
    </xf>
    <xf numFmtId="0" fontId="110" fillId="0" borderId="25"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1" xfId="0" applyFont="1" applyBorder="1" applyAlignment="1">
      <alignment horizontal="center" vertical="top" wrapText="1"/>
    </xf>
    <xf numFmtId="0" fontId="110" fillId="0" borderId="122" xfId="0" applyFont="1" applyBorder="1" applyAlignment="1">
      <alignment horizontal="center" vertical="top" wrapText="1"/>
    </xf>
    <xf numFmtId="0" fontId="130" fillId="0" borderId="111" xfId="0" applyFont="1" applyBorder="1" applyAlignment="1">
      <alignment horizontal="left" vertical="top" wrapText="1"/>
    </xf>
    <xf numFmtId="0" fontId="130" fillId="0" borderId="112"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0" fontId="115" fillId="0" borderId="119" xfId="0" applyFont="1" applyBorder="1" applyAlignment="1">
      <alignment horizontal="center" vertical="center" wrapText="1"/>
    </xf>
    <xf numFmtId="0" fontId="115" fillId="0" borderId="123"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vebank.com/e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E3" sqref="E3"/>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8"/>
      <c r="B1" s="114" t="s">
        <v>209</v>
      </c>
      <c r="C1" s="108"/>
    </row>
    <row r="2" spans="1:3">
      <c r="A2" s="115">
        <v>1</v>
      </c>
      <c r="B2" s="228" t="s">
        <v>210</v>
      </c>
      <c r="C2" s="47" t="s">
        <v>755</v>
      </c>
    </row>
    <row r="3" spans="1:3">
      <c r="A3" s="115">
        <v>2</v>
      </c>
      <c r="B3" s="229" t="s">
        <v>206</v>
      </c>
      <c r="C3" s="47" t="s">
        <v>756</v>
      </c>
    </row>
    <row r="4" spans="1:3">
      <c r="A4" s="115">
        <v>3</v>
      </c>
      <c r="B4" s="230" t="s">
        <v>211</v>
      </c>
      <c r="C4" s="47" t="s">
        <v>757</v>
      </c>
    </row>
    <row r="5" spans="1:3">
      <c r="A5" s="116">
        <v>4</v>
      </c>
      <c r="B5" s="231" t="s">
        <v>207</v>
      </c>
      <c r="C5" s="581" t="s">
        <v>758</v>
      </c>
    </row>
    <row r="6" spans="1:3" s="117" customFormat="1" ht="45.75" customHeight="1">
      <c r="A6" s="683" t="s">
        <v>283</v>
      </c>
      <c r="B6" s="684"/>
      <c r="C6" s="684"/>
    </row>
    <row r="7" spans="1:3">
      <c r="A7" s="118" t="s">
        <v>29</v>
      </c>
      <c r="B7" s="114" t="s">
        <v>208</v>
      </c>
    </row>
    <row r="8" spans="1:3">
      <c r="A8" s="108">
        <v>1</v>
      </c>
      <c r="B8" s="144" t="s">
        <v>20</v>
      </c>
    </row>
    <row r="9" spans="1:3">
      <c r="A9" s="108">
        <v>2</v>
      </c>
      <c r="B9" s="145" t="s">
        <v>21</v>
      </c>
    </row>
    <row r="10" spans="1:3">
      <c r="A10" s="108">
        <v>3</v>
      </c>
      <c r="B10" s="145" t="s">
        <v>22</v>
      </c>
    </row>
    <row r="11" spans="1:3">
      <c r="A11" s="108">
        <v>4</v>
      </c>
      <c r="B11" s="145" t="s">
        <v>23</v>
      </c>
    </row>
    <row r="12" spans="1:3">
      <c r="A12" s="108">
        <v>5</v>
      </c>
      <c r="B12" s="145" t="s">
        <v>24</v>
      </c>
    </row>
    <row r="13" spans="1:3">
      <c r="A13" s="108">
        <v>6</v>
      </c>
      <c r="B13" s="146" t="s">
        <v>218</v>
      </c>
    </row>
    <row r="14" spans="1:3">
      <c r="A14" s="108">
        <v>7</v>
      </c>
      <c r="B14" s="145" t="s">
        <v>212</v>
      </c>
    </row>
    <row r="15" spans="1:3">
      <c r="A15" s="108">
        <v>8</v>
      </c>
      <c r="B15" s="145" t="s">
        <v>213</v>
      </c>
    </row>
    <row r="16" spans="1:3">
      <c r="A16" s="108">
        <v>9</v>
      </c>
      <c r="B16" s="145" t="s">
        <v>25</v>
      </c>
    </row>
    <row r="17" spans="1:2">
      <c r="A17" s="227" t="s">
        <v>282</v>
      </c>
      <c r="B17" s="226" t="s">
        <v>269</v>
      </c>
    </row>
    <row r="18" spans="1:2">
      <c r="A18" s="227" t="s">
        <v>711</v>
      </c>
      <c r="B18" s="523" t="s">
        <v>713</v>
      </c>
    </row>
    <row r="19" spans="1:2">
      <c r="A19" s="524" t="s">
        <v>712</v>
      </c>
      <c r="B19" s="523" t="s">
        <v>714</v>
      </c>
    </row>
    <row r="20" spans="1:2">
      <c r="A20" s="108">
        <v>10</v>
      </c>
      <c r="B20" s="145" t="s">
        <v>26</v>
      </c>
    </row>
    <row r="21" spans="1:2">
      <c r="A21" s="108">
        <v>11</v>
      </c>
      <c r="B21" s="146" t="s">
        <v>214</v>
      </c>
    </row>
    <row r="22" spans="1:2">
      <c r="A22" s="108">
        <v>12</v>
      </c>
      <c r="B22" s="146" t="s">
        <v>27</v>
      </c>
    </row>
    <row r="23" spans="1:2">
      <c r="A23" s="252">
        <v>13</v>
      </c>
      <c r="B23" s="253" t="s">
        <v>215</v>
      </c>
    </row>
    <row r="24" spans="1:2">
      <c r="A24" s="252">
        <v>14</v>
      </c>
      <c r="B24" s="254" t="s">
        <v>240</v>
      </c>
    </row>
    <row r="25" spans="1:2">
      <c r="A25" s="252">
        <v>15</v>
      </c>
      <c r="B25" s="255" t="s">
        <v>28</v>
      </c>
    </row>
    <row r="26" spans="1:2">
      <c r="A26" s="252">
        <v>15.1</v>
      </c>
      <c r="B26" s="256" t="s">
        <v>296</v>
      </c>
    </row>
    <row r="27" spans="1:2">
      <c r="A27" s="525">
        <v>15.2</v>
      </c>
      <c r="B27" s="523" t="s">
        <v>716</v>
      </c>
    </row>
    <row r="28" spans="1:2">
      <c r="A28" s="252">
        <v>16</v>
      </c>
      <c r="B28" s="256" t="s">
        <v>337</v>
      </c>
    </row>
    <row r="29" spans="1:2">
      <c r="A29" s="252">
        <v>17</v>
      </c>
      <c r="B29" s="256" t="s">
        <v>378</v>
      </c>
    </row>
    <row r="30" spans="1:2">
      <c r="A30" s="252">
        <v>18</v>
      </c>
      <c r="B30" s="256" t="s">
        <v>666</v>
      </c>
    </row>
    <row r="31" spans="1:2">
      <c r="A31" s="252">
        <v>19</v>
      </c>
      <c r="B31" s="256" t="s">
        <v>667</v>
      </c>
    </row>
    <row r="32" spans="1:2">
      <c r="A32" s="252">
        <v>20</v>
      </c>
      <c r="B32" s="320" t="s">
        <v>668</v>
      </c>
    </row>
    <row r="33" spans="1:2">
      <c r="A33" s="252">
        <v>21</v>
      </c>
      <c r="B33" s="256" t="s">
        <v>494</v>
      </c>
    </row>
    <row r="34" spans="1:2">
      <c r="A34" s="252">
        <v>22</v>
      </c>
      <c r="B34" s="256" t="s">
        <v>669</v>
      </c>
    </row>
    <row r="35" spans="1:2">
      <c r="A35" s="252">
        <v>23</v>
      </c>
      <c r="B35" s="256" t="s">
        <v>670</v>
      </c>
    </row>
    <row r="36" spans="1:2">
      <c r="A36" s="252">
        <v>24</v>
      </c>
      <c r="B36" s="256" t="s">
        <v>671</v>
      </c>
    </row>
    <row r="37" spans="1:2">
      <c r="A37" s="252">
        <v>25</v>
      </c>
      <c r="B37" s="256" t="s">
        <v>379</v>
      </c>
    </row>
    <row r="38" spans="1:2">
      <c r="A38" s="252">
        <v>26</v>
      </c>
      <c r="B38" s="256"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61318350-7D35-4CA9-89FF-93B477FB22EC}"/>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24" sqref="G24"/>
    </sheetView>
  </sheetViews>
  <sheetFormatPr defaultColWidth="9.21875" defaultRowHeight="13.2"/>
  <cols>
    <col min="1" max="1" width="9.5546875" style="4" bestFit="1" customWidth="1"/>
    <col min="2" max="2" width="132.44140625" style="4" customWidth="1"/>
    <col min="3" max="3" width="18.44140625" style="4" customWidth="1"/>
    <col min="4" max="16384" width="9.21875" style="4"/>
  </cols>
  <sheetData>
    <row r="1" spans="1:3">
      <c r="A1" s="2" t="s">
        <v>30</v>
      </c>
      <c r="B1" s="3" t="str">
        <f>'Info '!C2</f>
        <v>JSC Pave Bank Georgia</v>
      </c>
    </row>
    <row r="2" spans="1:3" s="2" customFormat="1" ht="15.75" customHeight="1">
      <c r="A2" s="2" t="s">
        <v>31</v>
      </c>
      <c r="B2" s="272">
        <f>'1. key ratios '!B2</f>
        <v>45747</v>
      </c>
    </row>
    <row r="3" spans="1:3" s="2" customFormat="1" ht="15.75" customHeight="1"/>
    <row r="4" spans="1:3" ht="13.8" thickBot="1">
      <c r="A4" s="4" t="s">
        <v>143</v>
      </c>
      <c r="B4" s="90" t="s">
        <v>142</v>
      </c>
    </row>
    <row r="5" spans="1:3">
      <c r="A5" s="52" t="s">
        <v>6</v>
      </c>
      <c r="B5" s="53"/>
      <c r="C5" s="54" t="s">
        <v>35</v>
      </c>
    </row>
    <row r="6" spans="1:3">
      <c r="A6" s="55">
        <v>1</v>
      </c>
      <c r="B6" s="56" t="s">
        <v>141</v>
      </c>
      <c r="C6" s="57">
        <f>SUM(C7:C11)</f>
        <v>7248796.7599999998</v>
      </c>
    </row>
    <row r="7" spans="1:3">
      <c r="A7" s="55">
        <v>2</v>
      </c>
      <c r="B7" s="58" t="s">
        <v>140</v>
      </c>
      <c r="C7" s="59">
        <v>8052000</v>
      </c>
    </row>
    <row r="8" spans="1:3">
      <c r="A8" s="55">
        <v>3</v>
      </c>
      <c r="B8" s="60" t="s">
        <v>139</v>
      </c>
      <c r="C8" s="59">
        <v>0</v>
      </c>
    </row>
    <row r="9" spans="1:3">
      <c r="A9" s="55">
        <v>4</v>
      </c>
      <c r="B9" s="60" t="s">
        <v>138</v>
      </c>
      <c r="C9" s="59">
        <v>0</v>
      </c>
    </row>
    <row r="10" spans="1:3">
      <c r="A10" s="55">
        <v>5</v>
      </c>
      <c r="B10" s="60" t="s">
        <v>137</v>
      </c>
      <c r="C10" s="59">
        <v>0</v>
      </c>
    </row>
    <row r="11" spans="1:3">
      <c r="A11" s="55">
        <v>6</v>
      </c>
      <c r="B11" s="61" t="s">
        <v>136</v>
      </c>
      <c r="C11" s="59">
        <v>-803203.23999999987</v>
      </c>
    </row>
    <row r="12" spans="1:3" s="32" customFormat="1">
      <c r="A12" s="55">
        <v>7</v>
      </c>
      <c r="B12" s="56" t="s">
        <v>135</v>
      </c>
      <c r="C12" s="62">
        <f>SUM(C13:C28)</f>
        <v>259105.8</v>
      </c>
    </row>
    <row r="13" spans="1:3" s="32" customFormat="1">
      <c r="A13" s="55">
        <v>8</v>
      </c>
      <c r="B13" s="63" t="s">
        <v>134</v>
      </c>
      <c r="C13" s="64">
        <v>0</v>
      </c>
    </row>
    <row r="14" spans="1:3" s="32" customFormat="1" ht="26.4">
      <c r="A14" s="55">
        <v>9</v>
      </c>
      <c r="B14" s="65" t="s">
        <v>133</v>
      </c>
      <c r="C14" s="64">
        <v>0</v>
      </c>
    </row>
    <row r="15" spans="1:3" s="32" customFormat="1">
      <c r="A15" s="55">
        <v>10</v>
      </c>
      <c r="B15" s="66" t="s">
        <v>132</v>
      </c>
      <c r="C15" s="64">
        <v>259105.8</v>
      </c>
    </row>
    <row r="16" spans="1:3" s="32" customFormat="1">
      <c r="A16" s="55">
        <v>11</v>
      </c>
      <c r="B16" s="67" t="s">
        <v>131</v>
      </c>
      <c r="C16" s="64">
        <v>0</v>
      </c>
    </row>
    <row r="17" spans="1:3" s="32" customFormat="1">
      <c r="A17" s="55">
        <v>12</v>
      </c>
      <c r="B17" s="66" t="s">
        <v>130</v>
      </c>
      <c r="C17" s="64">
        <v>0</v>
      </c>
    </row>
    <row r="18" spans="1:3" s="32" customFormat="1">
      <c r="A18" s="55">
        <v>13</v>
      </c>
      <c r="B18" s="66" t="s">
        <v>129</v>
      </c>
      <c r="C18" s="64">
        <v>0</v>
      </c>
    </row>
    <row r="19" spans="1:3" s="32" customFormat="1">
      <c r="A19" s="55">
        <v>14</v>
      </c>
      <c r="B19" s="66" t="s">
        <v>128</v>
      </c>
      <c r="C19" s="64">
        <v>0</v>
      </c>
    </row>
    <row r="20" spans="1:3" s="32" customFormat="1">
      <c r="A20" s="55">
        <v>15</v>
      </c>
      <c r="B20" s="66" t="s">
        <v>127</v>
      </c>
      <c r="C20" s="64">
        <v>0</v>
      </c>
    </row>
    <row r="21" spans="1:3" s="32" customFormat="1" ht="26.4">
      <c r="A21" s="55">
        <v>16</v>
      </c>
      <c r="B21" s="65" t="s">
        <v>126</v>
      </c>
      <c r="C21" s="64">
        <v>0</v>
      </c>
    </row>
    <row r="22" spans="1:3" s="32" customFormat="1">
      <c r="A22" s="55">
        <v>17</v>
      </c>
      <c r="B22" s="68" t="s">
        <v>125</v>
      </c>
      <c r="C22" s="64">
        <v>0</v>
      </c>
    </row>
    <row r="23" spans="1:3" s="32" customFormat="1">
      <c r="A23" s="55">
        <v>18</v>
      </c>
      <c r="B23" s="68" t="s">
        <v>517</v>
      </c>
      <c r="C23" s="322">
        <v>0</v>
      </c>
    </row>
    <row r="24" spans="1:3" s="32" customFormat="1">
      <c r="A24" s="55">
        <v>19</v>
      </c>
      <c r="B24" s="65" t="s">
        <v>124</v>
      </c>
      <c r="C24" s="64">
        <v>0</v>
      </c>
    </row>
    <row r="25" spans="1:3" s="32" customFormat="1" ht="26.4">
      <c r="A25" s="55">
        <v>20</v>
      </c>
      <c r="B25" s="65" t="s">
        <v>101</v>
      </c>
      <c r="C25" s="64">
        <v>0</v>
      </c>
    </row>
    <row r="26" spans="1:3" s="32" customFormat="1">
      <c r="A26" s="55">
        <v>21</v>
      </c>
      <c r="B26" s="67" t="s">
        <v>123</v>
      </c>
      <c r="C26" s="64">
        <v>0</v>
      </c>
    </row>
    <row r="27" spans="1:3" s="32" customFormat="1">
      <c r="A27" s="55">
        <v>22</v>
      </c>
      <c r="B27" s="67" t="s">
        <v>122</v>
      </c>
      <c r="C27" s="64">
        <v>0</v>
      </c>
    </row>
    <row r="28" spans="1:3" s="32" customFormat="1">
      <c r="A28" s="55">
        <v>23</v>
      </c>
      <c r="B28" s="67" t="s">
        <v>121</v>
      </c>
      <c r="C28" s="64">
        <v>0</v>
      </c>
    </row>
    <row r="29" spans="1:3" s="32" customFormat="1">
      <c r="A29" s="55">
        <v>24</v>
      </c>
      <c r="B29" s="69" t="s">
        <v>120</v>
      </c>
      <c r="C29" s="62">
        <f>C6-C12</f>
        <v>6989690.96</v>
      </c>
    </row>
    <row r="30" spans="1:3" s="32" customFormat="1">
      <c r="A30" s="70"/>
      <c r="B30" s="71"/>
      <c r="C30" s="64"/>
    </row>
    <row r="31" spans="1:3" s="32" customFormat="1">
      <c r="A31" s="70">
        <v>25</v>
      </c>
      <c r="B31" s="69" t="s">
        <v>119</v>
      </c>
      <c r="C31" s="62">
        <f>C32+C35</f>
        <v>0</v>
      </c>
    </row>
    <row r="32" spans="1:3" s="32" customFormat="1">
      <c r="A32" s="70">
        <v>26</v>
      </c>
      <c r="B32" s="60" t="s">
        <v>118</v>
      </c>
      <c r="C32" s="72">
        <f>C33+C34</f>
        <v>0</v>
      </c>
    </row>
    <row r="33" spans="1:3" s="32" customFormat="1">
      <c r="A33" s="70">
        <v>27</v>
      </c>
      <c r="B33" s="73" t="s">
        <v>179</v>
      </c>
      <c r="C33" s="64">
        <v>0</v>
      </c>
    </row>
    <row r="34" spans="1:3" s="32" customFormat="1">
      <c r="A34" s="70">
        <v>28</v>
      </c>
      <c r="B34" s="73" t="s">
        <v>117</v>
      </c>
      <c r="C34" s="64">
        <v>0</v>
      </c>
    </row>
    <row r="35" spans="1:3" s="32" customFormat="1">
      <c r="A35" s="70">
        <v>29</v>
      </c>
      <c r="B35" s="60" t="s">
        <v>116</v>
      </c>
      <c r="C35" s="64">
        <v>0</v>
      </c>
    </row>
    <row r="36" spans="1:3" s="32" customFormat="1">
      <c r="A36" s="70">
        <v>30</v>
      </c>
      <c r="B36" s="69" t="s">
        <v>115</v>
      </c>
      <c r="C36" s="62">
        <f>SUM(C37:C41)</f>
        <v>0</v>
      </c>
    </row>
    <row r="37" spans="1:3" s="32" customFormat="1">
      <c r="A37" s="70">
        <v>31</v>
      </c>
      <c r="B37" s="65" t="s">
        <v>114</v>
      </c>
      <c r="C37" s="64">
        <v>0</v>
      </c>
    </row>
    <row r="38" spans="1:3" s="32" customFormat="1">
      <c r="A38" s="70">
        <v>32</v>
      </c>
      <c r="B38" s="66" t="s">
        <v>113</v>
      </c>
      <c r="C38" s="64">
        <v>0</v>
      </c>
    </row>
    <row r="39" spans="1:3" s="32" customFormat="1">
      <c r="A39" s="70">
        <v>33</v>
      </c>
      <c r="B39" s="65" t="s">
        <v>112</v>
      </c>
      <c r="C39" s="64">
        <v>0</v>
      </c>
    </row>
    <row r="40" spans="1:3" s="32" customFormat="1" ht="26.4">
      <c r="A40" s="70">
        <v>34</v>
      </c>
      <c r="B40" s="65" t="s">
        <v>101</v>
      </c>
      <c r="C40" s="64">
        <v>0</v>
      </c>
    </row>
    <row r="41" spans="1:3" s="32" customFormat="1">
      <c r="A41" s="70">
        <v>35</v>
      </c>
      <c r="B41" s="67" t="s">
        <v>111</v>
      </c>
      <c r="C41" s="64">
        <v>0</v>
      </c>
    </row>
    <row r="42" spans="1:3" s="32" customFormat="1">
      <c r="A42" s="70">
        <v>36</v>
      </c>
      <c r="B42" s="69" t="s">
        <v>110</v>
      </c>
      <c r="C42" s="62">
        <f>C31-C36</f>
        <v>0</v>
      </c>
    </row>
    <row r="43" spans="1:3" s="32" customFormat="1">
      <c r="A43" s="70"/>
      <c r="B43" s="71"/>
      <c r="C43" s="64"/>
    </row>
    <row r="44" spans="1:3" s="32" customFormat="1">
      <c r="A44" s="70">
        <v>37</v>
      </c>
      <c r="B44" s="74" t="s">
        <v>109</v>
      </c>
      <c r="C44" s="62">
        <f>SUM(C45:C47)</f>
        <v>0</v>
      </c>
    </row>
    <row r="45" spans="1:3" s="32" customFormat="1">
      <c r="A45" s="70">
        <v>38</v>
      </c>
      <c r="B45" s="60" t="s">
        <v>108</v>
      </c>
      <c r="C45" s="64">
        <v>0</v>
      </c>
    </row>
    <row r="46" spans="1:3" s="32" customFormat="1">
      <c r="A46" s="70">
        <v>39</v>
      </c>
      <c r="B46" s="60" t="s">
        <v>107</v>
      </c>
      <c r="C46" s="64">
        <v>0</v>
      </c>
    </row>
    <row r="47" spans="1:3" s="32" customFormat="1">
      <c r="A47" s="70">
        <v>40</v>
      </c>
      <c r="B47" s="60" t="s">
        <v>106</v>
      </c>
      <c r="C47" s="64">
        <v>0</v>
      </c>
    </row>
    <row r="48" spans="1:3" s="32" customFormat="1">
      <c r="A48" s="70">
        <v>41</v>
      </c>
      <c r="B48" s="74" t="s">
        <v>105</v>
      </c>
      <c r="C48" s="62">
        <f>SUM(C49:C52)</f>
        <v>0</v>
      </c>
    </row>
    <row r="49" spans="1:3" s="32" customFormat="1">
      <c r="A49" s="70">
        <v>42</v>
      </c>
      <c r="B49" s="65" t="s">
        <v>104</v>
      </c>
      <c r="C49" s="64">
        <v>0</v>
      </c>
    </row>
    <row r="50" spans="1:3" s="32" customFormat="1">
      <c r="A50" s="70">
        <v>43</v>
      </c>
      <c r="B50" s="66" t="s">
        <v>103</v>
      </c>
      <c r="C50" s="64">
        <v>0</v>
      </c>
    </row>
    <row r="51" spans="1:3" s="32" customFormat="1">
      <c r="A51" s="70">
        <v>44</v>
      </c>
      <c r="B51" s="65" t="s">
        <v>102</v>
      </c>
      <c r="C51" s="64">
        <v>0</v>
      </c>
    </row>
    <row r="52" spans="1:3" s="32" customFormat="1" ht="26.4">
      <c r="A52" s="70">
        <v>45</v>
      </c>
      <c r="B52" s="65" t="s">
        <v>101</v>
      </c>
      <c r="C52" s="64">
        <v>0</v>
      </c>
    </row>
    <row r="53" spans="1:3" s="32" customFormat="1" ht="13.8" thickBot="1">
      <c r="A53" s="70">
        <v>46</v>
      </c>
      <c r="B53" s="75" t="s">
        <v>100</v>
      </c>
      <c r="C53" s="76">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P46" sqref="P46"/>
    </sheetView>
  </sheetViews>
  <sheetFormatPr defaultColWidth="9.21875" defaultRowHeight="13.8"/>
  <cols>
    <col min="1" max="1" width="9.44140625" style="136" bestFit="1" customWidth="1"/>
    <col min="2" max="2" width="59" style="136" customWidth="1"/>
    <col min="3" max="3" width="16.77734375" style="136" bestFit="1" customWidth="1"/>
    <col min="4" max="4" width="13.21875" style="136" bestFit="1" customWidth="1"/>
    <col min="5" max="16384" width="9.21875" style="136"/>
  </cols>
  <sheetData>
    <row r="1" spans="1:4">
      <c r="A1" s="134" t="s">
        <v>30</v>
      </c>
      <c r="B1" s="3" t="str">
        <f>'Info '!C2</f>
        <v>JSC Pave Bank Georgia</v>
      </c>
    </row>
    <row r="2" spans="1:4" s="134" customFormat="1" ht="15.75" customHeight="1">
      <c r="A2" s="134" t="s">
        <v>31</v>
      </c>
      <c r="B2" s="272">
        <f>'1. key ratios '!B2</f>
        <v>45747</v>
      </c>
    </row>
    <row r="3" spans="1:4" s="134" customFormat="1" ht="15.75" customHeight="1"/>
    <row r="4" spans="1:4" ht="14.4" thickBot="1">
      <c r="A4" s="136" t="s">
        <v>268</v>
      </c>
      <c r="B4" s="216" t="s">
        <v>269</v>
      </c>
    </row>
    <row r="5" spans="1:4" s="141" customFormat="1" ht="12.75" customHeight="1">
      <c r="A5" s="250"/>
      <c r="B5" s="251" t="s">
        <v>272</v>
      </c>
      <c r="C5" s="209" t="s">
        <v>270</v>
      </c>
      <c r="D5" s="210" t="s">
        <v>271</v>
      </c>
    </row>
    <row r="6" spans="1:4" s="217" customFormat="1">
      <c r="A6" s="211">
        <v>1</v>
      </c>
      <c r="B6" s="242" t="s">
        <v>273</v>
      </c>
      <c r="C6" s="242"/>
      <c r="D6" s="212"/>
    </row>
    <row r="7" spans="1:4" s="217" customFormat="1">
      <c r="A7" s="213" t="s">
        <v>259</v>
      </c>
      <c r="B7" s="243" t="s">
        <v>274</v>
      </c>
      <c r="C7" s="234">
        <v>4.4999999999999998E-2</v>
      </c>
      <c r="D7" s="235">
        <f>C7*'5. RWA '!$C$13</f>
        <v>982408.01137919875</v>
      </c>
    </row>
    <row r="8" spans="1:4" s="217" customFormat="1">
      <c r="A8" s="213" t="s">
        <v>260</v>
      </c>
      <c r="B8" s="243" t="s">
        <v>275</v>
      </c>
      <c r="C8" s="236">
        <v>0.06</v>
      </c>
      <c r="D8" s="235">
        <f>C8*'5. RWA '!$C$13</f>
        <v>1309877.3485055983</v>
      </c>
    </row>
    <row r="9" spans="1:4" s="217" customFormat="1">
      <c r="A9" s="213" t="s">
        <v>261</v>
      </c>
      <c r="B9" s="243" t="s">
        <v>276</v>
      </c>
      <c r="C9" s="236">
        <v>0.08</v>
      </c>
      <c r="D9" s="235">
        <f>C9*'5. RWA '!$C$13</f>
        <v>1746503.131340798</v>
      </c>
    </row>
    <row r="10" spans="1:4" s="217" customFormat="1">
      <c r="A10" s="211" t="s">
        <v>262</v>
      </c>
      <c r="B10" s="242" t="s">
        <v>277</v>
      </c>
      <c r="C10" s="237"/>
      <c r="D10" s="244"/>
    </row>
    <row r="11" spans="1:4" s="218" customFormat="1">
      <c r="A11" s="214" t="s">
        <v>263</v>
      </c>
      <c r="B11" s="233" t="s">
        <v>747</v>
      </c>
      <c r="C11" s="238">
        <v>2.5000000000000001E-2</v>
      </c>
      <c r="D11" s="235">
        <f>C11*'5. RWA '!$C$13</f>
        <v>545782.22854399937</v>
      </c>
    </row>
    <row r="12" spans="1:4" s="218" customFormat="1">
      <c r="A12" s="214" t="s">
        <v>264</v>
      </c>
      <c r="B12" s="233" t="s">
        <v>278</v>
      </c>
      <c r="C12" s="238">
        <v>5.0000000000000001E-3</v>
      </c>
      <c r="D12" s="235">
        <f>C12*'5. RWA '!$C$13</f>
        <v>109156.44570879987</v>
      </c>
    </row>
    <row r="13" spans="1:4" s="218" customFormat="1">
      <c r="A13" s="214" t="s">
        <v>265</v>
      </c>
      <c r="B13" s="233" t="s">
        <v>279</v>
      </c>
      <c r="C13" s="238">
        <v>0</v>
      </c>
      <c r="D13" s="235">
        <f>C13*'5. RWA '!$C$13</f>
        <v>0</v>
      </c>
    </row>
    <row r="14" spans="1:4" s="218" customFormat="1">
      <c r="A14" s="211" t="s">
        <v>266</v>
      </c>
      <c r="B14" s="242" t="s">
        <v>326</v>
      </c>
      <c r="C14" s="239"/>
      <c r="D14" s="245"/>
    </row>
    <row r="15" spans="1:4" s="218" customFormat="1">
      <c r="A15" s="214">
        <v>3.1</v>
      </c>
      <c r="B15" s="233" t="s">
        <v>284</v>
      </c>
      <c r="C15" s="238">
        <v>1.8668947626202494E-4</v>
      </c>
      <c r="D15" s="235">
        <f>C15*'5. RWA '!$C$13</f>
        <v>4075.6719360000011</v>
      </c>
    </row>
    <row r="16" spans="1:4" s="218" customFormat="1">
      <c r="A16" s="214">
        <v>3.2</v>
      </c>
      <c r="B16" s="233" t="s">
        <v>285</v>
      </c>
      <c r="C16" s="238">
        <v>2.5003054856521191E-4</v>
      </c>
      <c r="D16" s="235">
        <f>C16*'5. RWA '!$C$13</f>
        <v>5458.4892</v>
      </c>
    </row>
    <row r="17" spans="1:4" s="217" customFormat="1">
      <c r="A17" s="214">
        <v>3.3</v>
      </c>
      <c r="B17" s="233" t="s">
        <v>286</v>
      </c>
      <c r="C17" s="238">
        <v>3.3337406475361588E-4</v>
      </c>
      <c r="D17" s="235">
        <f>C17*'5. RWA '!$C$13</f>
        <v>7277.9856000000009</v>
      </c>
    </row>
    <row r="18" spans="1:4" s="141" customFormat="1" ht="12.75" customHeight="1">
      <c r="A18" s="248"/>
      <c r="B18" s="249" t="s">
        <v>325</v>
      </c>
      <c r="C18" s="240" t="s">
        <v>270</v>
      </c>
      <c r="D18" s="246" t="s">
        <v>271</v>
      </c>
    </row>
    <row r="19" spans="1:4" s="217" customFormat="1">
      <c r="A19" s="215">
        <v>4</v>
      </c>
      <c r="B19" s="233" t="s">
        <v>280</v>
      </c>
      <c r="C19" s="238">
        <f>C7+C11+C12+C13+C15</f>
        <v>7.5186689476262031E-2</v>
      </c>
      <c r="D19" s="235">
        <f>C19*'5. RWA '!$C$13</f>
        <v>1641422.3575679981</v>
      </c>
    </row>
    <row r="20" spans="1:4" s="217" customFormat="1">
      <c r="A20" s="215">
        <v>5</v>
      </c>
      <c r="B20" s="233" t="s">
        <v>90</v>
      </c>
      <c r="C20" s="238">
        <f>C8+C11+C12+C13+C16</f>
        <v>9.0250030548565202E-2</v>
      </c>
      <c r="D20" s="235">
        <f>C20*'5. RWA '!$C$13</f>
        <v>1970274.5119583975</v>
      </c>
    </row>
    <row r="21" spans="1:4" s="217" customFormat="1" ht="14.4" thickBot="1">
      <c r="A21" s="219" t="s">
        <v>267</v>
      </c>
      <c r="B21" s="220" t="s">
        <v>281</v>
      </c>
      <c r="C21" s="241">
        <f>C9+C11+C12+C13+C17</f>
        <v>0.11033337406475363</v>
      </c>
      <c r="D21" s="247">
        <f>C21*'5. RWA '!$C$13</f>
        <v>2408719.7911935975</v>
      </c>
    </row>
    <row r="23" spans="1:4">
      <c r="B23" s="175"/>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18" sqref="C18"/>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61" t="str">
        <f>'9.1. Capital Requirements'!A1</f>
        <v>Bank:</v>
      </c>
      <c r="B1" s="462" t="str">
        <f>'Info '!C2</f>
        <v>JSC Pave Bank Georgia</v>
      </c>
    </row>
    <row r="2" spans="1:3">
      <c r="A2" s="461" t="str">
        <f>'9.1. Capital Requirements'!A2</f>
        <v>Date:</v>
      </c>
      <c r="B2" s="463">
        <f>'1. key ratios '!B2</f>
        <v>45747</v>
      </c>
    </row>
    <row r="3" spans="1:3">
      <c r="A3" s="464" t="s">
        <v>675</v>
      </c>
      <c r="B3" s="465" t="s">
        <v>676</v>
      </c>
    </row>
    <row r="4" spans="1:3" ht="15" thickBot="1"/>
    <row r="5" spans="1:3">
      <c r="A5" s="466"/>
      <c r="B5" s="467" t="s">
        <v>677</v>
      </c>
      <c r="C5" s="498"/>
    </row>
    <row r="6" spans="1:3">
      <c r="A6" s="468" t="s">
        <v>697</v>
      </c>
      <c r="B6" s="469">
        <f>SUM(B7,B11)</f>
        <v>0</v>
      </c>
      <c r="C6" s="498"/>
    </row>
    <row r="7" spans="1:3" ht="15.6">
      <c r="A7" s="468" t="s">
        <v>683</v>
      </c>
      <c r="B7" s="469">
        <f>SUM(B8:B10)</f>
        <v>0</v>
      </c>
      <c r="C7" s="498"/>
    </row>
    <row r="8" spans="1:3">
      <c r="A8" s="470" t="s">
        <v>678</v>
      </c>
      <c r="B8" s="471">
        <v>0</v>
      </c>
      <c r="C8" s="498"/>
    </row>
    <row r="9" spans="1:3">
      <c r="A9" s="470" t="s">
        <v>679</v>
      </c>
      <c r="B9" s="471">
        <f>'9.Capital'!C42</f>
        <v>0</v>
      </c>
      <c r="C9" s="498"/>
    </row>
    <row r="10" spans="1:3">
      <c r="A10" s="470" t="s">
        <v>680</v>
      </c>
      <c r="B10" s="471">
        <f>'9.Capital'!C53</f>
        <v>0</v>
      </c>
      <c r="C10" s="498"/>
    </row>
    <row r="11" spans="1:3">
      <c r="A11" s="468" t="s">
        <v>684</v>
      </c>
      <c r="B11" s="469">
        <f>SUM(B12:B13)</f>
        <v>0</v>
      </c>
      <c r="C11" s="498"/>
    </row>
    <row r="12" spans="1:3" ht="15.6">
      <c r="A12" s="470" t="s">
        <v>703</v>
      </c>
      <c r="B12" s="471">
        <v>0</v>
      </c>
      <c r="C12" s="498"/>
    </row>
    <row r="13" spans="1:3" ht="15.6">
      <c r="A13" s="470" t="s">
        <v>685</v>
      </c>
      <c r="B13" s="471">
        <v>0</v>
      </c>
      <c r="C13" s="498"/>
    </row>
    <row r="14" spans="1:3">
      <c r="A14" s="468" t="s">
        <v>686</v>
      </c>
      <c r="B14" s="469">
        <f>SUM(B15:B16)</f>
        <v>0</v>
      </c>
      <c r="C14" s="498"/>
    </row>
    <row r="15" spans="1:3">
      <c r="A15" s="472" t="s">
        <v>687</v>
      </c>
      <c r="B15" s="471">
        <v>0</v>
      </c>
      <c r="C15" s="498"/>
    </row>
    <row r="16" spans="1:3">
      <c r="A16" s="472" t="s">
        <v>688</v>
      </c>
      <c r="B16" s="471">
        <f>B7</f>
        <v>0</v>
      </c>
      <c r="C16" s="498"/>
    </row>
    <row r="17" spans="1:5">
      <c r="A17" s="468" t="s">
        <v>691</v>
      </c>
      <c r="B17" s="469"/>
      <c r="C17" s="498"/>
    </row>
    <row r="18" spans="1:5">
      <c r="A18" s="472" t="s">
        <v>689</v>
      </c>
      <c r="B18" s="471">
        <v>0</v>
      </c>
      <c r="C18" s="498"/>
    </row>
    <row r="19" spans="1:5">
      <c r="A19" s="472" t="s">
        <v>690</v>
      </c>
      <c r="B19" s="471">
        <v>0</v>
      </c>
      <c r="C19" s="498"/>
    </row>
    <row r="20" spans="1:5">
      <c r="A20" s="468" t="s">
        <v>705</v>
      </c>
      <c r="B20" s="469"/>
      <c r="C20" s="498"/>
    </row>
    <row r="21" spans="1:5">
      <c r="A21" s="473" t="s">
        <v>692</v>
      </c>
      <c r="B21" s="474">
        <f>IFERROR(B6/B18,0)</f>
        <v>0</v>
      </c>
      <c r="C21" s="498"/>
    </row>
    <row r="22" spans="1:5">
      <c r="A22" s="473" t="s">
        <v>709</v>
      </c>
      <c r="B22" s="474">
        <f>IFERROR(B6/B19,0)</f>
        <v>0</v>
      </c>
      <c r="C22" s="498"/>
    </row>
    <row r="23" spans="1:5" ht="15" thickBot="1">
      <c r="A23" s="475" t="s">
        <v>693</v>
      </c>
      <c r="B23" s="476">
        <f>IFERROR(B6/B14,0)</f>
        <v>0</v>
      </c>
    </row>
    <row r="24" spans="1:5" ht="16.5" customHeight="1">
      <c r="A24" s="477" t="s">
        <v>681</v>
      </c>
      <c r="B24" s="478"/>
      <c r="C24" s="478"/>
      <c r="D24" s="478"/>
      <c r="E24" s="478"/>
    </row>
    <row r="25" spans="1:5" ht="25.5" customHeight="1">
      <c r="A25" s="477" t="s">
        <v>702</v>
      </c>
    </row>
    <row r="26" spans="1:5" ht="42.45" customHeight="1">
      <c r="A26" s="477" t="s">
        <v>704</v>
      </c>
      <c r="B26" s="13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D30" sqref="D30"/>
    </sheetView>
  </sheetViews>
  <sheetFormatPr defaultRowHeight="14.4"/>
  <cols>
    <col min="1" max="1" width="56.77734375" customWidth="1"/>
    <col min="2" max="2" width="28.109375" bestFit="1" customWidth="1"/>
    <col min="3" max="3" width="28.21875" customWidth="1"/>
    <col min="4" max="6" width="28.109375" customWidth="1"/>
  </cols>
  <sheetData>
    <row r="1" spans="1:7">
      <c r="A1" s="461" t="s">
        <v>30</v>
      </c>
      <c r="B1" s="462" t="str">
        <f>'Info '!C2</f>
        <v>JSC Pave Bank Georgia</v>
      </c>
      <c r="C1" s="136"/>
    </row>
    <row r="2" spans="1:7">
      <c r="A2" s="461" t="s">
        <v>31</v>
      </c>
      <c r="B2" s="463">
        <f>'1. key ratios '!B2</f>
        <v>45747</v>
      </c>
      <c r="C2" s="136"/>
    </row>
    <row r="3" spans="1:7">
      <c r="A3" s="464" t="s">
        <v>682</v>
      </c>
      <c r="B3" s="465" t="s">
        <v>676</v>
      </c>
      <c r="C3" s="136"/>
    </row>
    <row r="5" spans="1:7">
      <c r="A5" s="479"/>
    </row>
    <row r="6" spans="1:7" ht="15" thickBot="1">
      <c r="A6" s="480"/>
      <c r="B6" s="480"/>
      <c r="C6" s="480"/>
      <c r="D6" s="480"/>
      <c r="E6" s="480"/>
      <c r="F6" s="480"/>
    </row>
    <row r="7" spans="1:7">
      <c r="A7" s="716"/>
      <c r="B7" s="718" t="s">
        <v>708</v>
      </c>
      <c r="C7" s="718"/>
      <c r="D7" s="718"/>
      <c r="E7" s="718"/>
      <c r="F7" s="719" t="s">
        <v>64</v>
      </c>
    </row>
    <row r="8" spans="1:7">
      <c r="A8" s="717"/>
      <c r="B8" s="481" t="s">
        <v>694</v>
      </c>
      <c r="C8" s="481" t="s">
        <v>695</v>
      </c>
      <c r="D8" s="481" t="s">
        <v>696</v>
      </c>
      <c r="E8" s="481" t="s">
        <v>706</v>
      </c>
      <c r="F8" s="720"/>
    </row>
    <row r="9" spans="1:7">
      <c r="A9" s="482" t="s">
        <v>697</v>
      </c>
      <c r="B9" s="483">
        <f>B13+B17</f>
        <v>0</v>
      </c>
      <c r="C9" s="483">
        <f t="shared" ref="C9:E9" si="0">C13+C17</f>
        <v>0</v>
      </c>
      <c r="D9" s="483">
        <f t="shared" si="0"/>
        <v>0</v>
      </c>
      <c r="E9" s="483">
        <f t="shared" si="0"/>
        <v>0</v>
      </c>
      <c r="F9" s="484">
        <f>F13+F17</f>
        <v>0</v>
      </c>
    </row>
    <row r="10" spans="1:7">
      <c r="A10" s="485" t="s">
        <v>699</v>
      </c>
      <c r="B10" s="486">
        <f t="shared" ref="B10:E12" si="1">B14+B18</f>
        <v>0</v>
      </c>
      <c r="C10" s="486">
        <f t="shared" si="1"/>
        <v>0</v>
      </c>
      <c r="D10" s="486">
        <f t="shared" si="1"/>
        <v>0</v>
      </c>
      <c r="E10" s="486">
        <f t="shared" si="1"/>
        <v>0</v>
      </c>
      <c r="F10" s="484">
        <f>SUM(B10:E10)</f>
        <v>0</v>
      </c>
      <c r="G10" s="498"/>
    </row>
    <row r="11" spans="1:7">
      <c r="A11" s="485" t="s">
        <v>707</v>
      </c>
      <c r="B11" s="486">
        <f t="shared" si="1"/>
        <v>0</v>
      </c>
      <c r="C11" s="486">
        <f t="shared" si="1"/>
        <v>0</v>
      </c>
      <c r="D11" s="486">
        <f t="shared" si="1"/>
        <v>0</v>
      </c>
      <c r="E11" s="486">
        <f t="shared" si="1"/>
        <v>0</v>
      </c>
      <c r="F11" s="484">
        <f t="shared" ref="F11:F12" si="2">SUM(B11:E11)</f>
        <v>0</v>
      </c>
      <c r="G11" s="498"/>
    </row>
    <row r="12" spans="1:7">
      <c r="A12" s="487" t="s">
        <v>698</v>
      </c>
      <c r="B12" s="486">
        <f t="shared" si="1"/>
        <v>0</v>
      </c>
      <c r="C12" s="486">
        <f t="shared" si="1"/>
        <v>0</v>
      </c>
      <c r="D12" s="486">
        <f t="shared" si="1"/>
        <v>0</v>
      </c>
      <c r="E12" s="486">
        <f t="shared" si="1"/>
        <v>0</v>
      </c>
      <c r="F12" s="484">
        <f t="shared" si="2"/>
        <v>0</v>
      </c>
      <c r="G12" s="498"/>
    </row>
    <row r="13" spans="1:7">
      <c r="A13" s="488" t="s">
        <v>688</v>
      </c>
      <c r="B13" s="489"/>
      <c r="C13" s="489"/>
      <c r="D13" s="489"/>
      <c r="E13" s="489"/>
      <c r="F13" s="490"/>
    </row>
    <row r="14" spans="1:7">
      <c r="A14" s="485" t="s">
        <v>699</v>
      </c>
      <c r="B14" s="491">
        <v>0</v>
      </c>
      <c r="C14" s="491">
        <v>0</v>
      </c>
      <c r="D14" s="491">
        <v>0</v>
      </c>
      <c r="E14" s="491">
        <v>0</v>
      </c>
      <c r="F14" s="492">
        <v>0</v>
      </c>
    </row>
    <row r="15" spans="1:7">
      <c r="A15" s="485" t="s">
        <v>707</v>
      </c>
      <c r="B15" s="491">
        <v>0</v>
      </c>
      <c r="C15" s="491">
        <v>0</v>
      </c>
      <c r="D15" s="491">
        <v>0</v>
      </c>
      <c r="E15" s="491">
        <v>0</v>
      </c>
      <c r="F15" s="492">
        <v>0</v>
      </c>
    </row>
    <row r="16" spans="1:7">
      <c r="A16" s="487" t="s">
        <v>698</v>
      </c>
      <c r="B16" s="491">
        <v>0</v>
      </c>
      <c r="C16" s="491">
        <v>0</v>
      </c>
      <c r="D16" s="491">
        <v>0</v>
      </c>
      <c r="E16" s="491">
        <v>0</v>
      </c>
      <c r="F16" s="492">
        <v>0</v>
      </c>
    </row>
    <row r="17" spans="1:6">
      <c r="A17" s="488" t="s">
        <v>684</v>
      </c>
      <c r="B17" s="489"/>
      <c r="C17" s="489"/>
      <c r="D17" s="489"/>
      <c r="E17" s="489"/>
      <c r="F17" s="492"/>
    </row>
    <row r="18" spans="1:6">
      <c r="A18" s="485" t="s">
        <v>699</v>
      </c>
      <c r="B18" s="491">
        <v>0</v>
      </c>
      <c r="C18" s="491">
        <v>0</v>
      </c>
      <c r="D18" s="491">
        <v>0</v>
      </c>
      <c r="E18" s="491">
        <v>0</v>
      </c>
      <c r="F18" s="492">
        <v>0</v>
      </c>
    </row>
    <row r="19" spans="1:6">
      <c r="A19" s="485" t="s">
        <v>707</v>
      </c>
      <c r="B19" s="491">
        <v>0</v>
      </c>
      <c r="C19" s="491">
        <v>0</v>
      </c>
      <c r="D19" s="491">
        <v>0</v>
      </c>
      <c r="E19" s="491">
        <v>0</v>
      </c>
      <c r="F19" s="492">
        <v>0</v>
      </c>
    </row>
    <row r="20" spans="1:6" ht="15" thickBot="1">
      <c r="A20" s="487" t="s">
        <v>698</v>
      </c>
      <c r="B20" s="493">
        <v>0</v>
      </c>
      <c r="C20" s="493">
        <v>0</v>
      </c>
      <c r="D20" s="493">
        <v>0</v>
      </c>
      <c r="E20" s="493">
        <v>0</v>
      </c>
      <c r="F20" s="494">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F46" sqref="F46"/>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2" t="s">
        <v>30</v>
      </c>
      <c r="B1" s="3" t="str">
        <f>'Info '!C2</f>
        <v>JSC Pave Bank Georgia</v>
      </c>
      <c r="E1" s="4"/>
      <c r="F1" s="4"/>
    </row>
    <row r="2" spans="1:6" s="2" customFormat="1" ht="15.75" customHeight="1">
      <c r="A2" s="2" t="s">
        <v>31</v>
      </c>
      <c r="B2" s="272">
        <f>'1. key ratios '!B2</f>
        <v>45747</v>
      </c>
    </row>
    <row r="3" spans="1:6" s="2" customFormat="1" ht="15.75" customHeight="1">
      <c r="A3" s="77"/>
    </row>
    <row r="4" spans="1:6" s="2" customFormat="1" ht="15.75" customHeight="1" thickBot="1">
      <c r="A4" s="2" t="s">
        <v>47</v>
      </c>
      <c r="B4" s="130" t="s">
        <v>165</v>
      </c>
      <c r="D4" s="23" t="s">
        <v>35</v>
      </c>
    </row>
    <row r="5" spans="1:6" ht="26.4">
      <c r="A5" s="643" t="s">
        <v>6</v>
      </c>
      <c r="B5" s="644" t="s">
        <v>205</v>
      </c>
      <c r="C5" s="645" t="s">
        <v>624</v>
      </c>
      <c r="D5" s="646" t="s">
        <v>49</v>
      </c>
    </row>
    <row r="6" spans="1:6" ht="14.4">
      <c r="A6" s="632">
        <v>1</v>
      </c>
      <c r="B6" s="633" t="s">
        <v>525</v>
      </c>
      <c r="C6" s="647">
        <f>SUM(C7:C9)</f>
        <v>30026833.66</v>
      </c>
      <c r="D6" s="648"/>
      <c r="E6" s="78"/>
    </row>
    <row r="7" spans="1:6" ht="14.4">
      <c r="A7" s="632">
        <v>1.1000000000000001</v>
      </c>
      <c r="B7" s="636" t="s">
        <v>526</v>
      </c>
      <c r="C7" s="353">
        <v>0</v>
      </c>
      <c r="D7" s="79" t="s">
        <v>753</v>
      </c>
      <c r="E7" s="78"/>
    </row>
    <row r="8" spans="1:6" ht="14.4">
      <c r="A8" s="632">
        <v>1.2</v>
      </c>
      <c r="B8" s="636" t="s">
        <v>527</v>
      </c>
      <c r="C8" s="353">
        <v>17024432.120000001</v>
      </c>
      <c r="D8" s="79" t="s">
        <v>753</v>
      </c>
      <c r="E8" s="78"/>
    </row>
    <row r="9" spans="1:6" ht="14.4">
      <c r="A9" s="632">
        <v>1.3</v>
      </c>
      <c r="B9" s="636" t="s">
        <v>528</v>
      </c>
      <c r="C9" s="353">
        <v>13002401.539999999</v>
      </c>
      <c r="D9" s="79" t="s">
        <v>753</v>
      </c>
      <c r="E9" s="78"/>
    </row>
    <row r="10" spans="1:6" ht="14.4">
      <c r="A10" s="632">
        <v>2</v>
      </c>
      <c r="B10" s="323" t="s">
        <v>529</v>
      </c>
      <c r="C10" s="353">
        <v>0</v>
      </c>
      <c r="D10" s="79" t="s">
        <v>753</v>
      </c>
      <c r="E10" s="78"/>
    </row>
    <row r="11" spans="1:6" ht="14.4">
      <c r="A11" s="632">
        <v>2.1</v>
      </c>
      <c r="B11" s="637" t="s">
        <v>530</v>
      </c>
      <c r="C11" s="354">
        <v>0</v>
      </c>
      <c r="D11" s="351" t="s">
        <v>753</v>
      </c>
      <c r="E11" s="80"/>
    </row>
    <row r="12" spans="1:6" ht="14.4">
      <c r="A12" s="632">
        <v>3</v>
      </c>
      <c r="B12" s="324" t="s">
        <v>531</v>
      </c>
      <c r="C12" s="354">
        <v>0</v>
      </c>
      <c r="D12" s="351" t="s">
        <v>753</v>
      </c>
      <c r="E12" s="80"/>
    </row>
    <row r="13" spans="1:6" ht="14.4">
      <c r="A13" s="632">
        <v>4</v>
      </c>
      <c r="B13" s="325" t="s">
        <v>532</v>
      </c>
      <c r="C13" s="354">
        <v>0</v>
      </c>
      <c r="D13" s="351" t="s">
        <v>753</v>
      </c>
      <c r="E13" s="80"/>
    </row>
    <row r="14" spans="1:6" ht="14.4">
      <c r="A14" s="632">
        <v>5</v>
      </c>
      <c r="B14" s="326" t="s">
        <v>533</v>
      </c>
      <c r="C14" s="354">
        <f>SUM(C15:C17)</f>
        <v>0</v>
      </c>
      <c r="D14" s="351"/>
      <c r="E14" s="80"/>
    </row>
    <row r="15" spans="1:6" ht="14.4">
      <c r="A15" s="632">
        <v>5.0999999999999996</v>
      </c>
      <c r="B15" s="327" t="s">
        <v>534</v>
      </c>
      <c r="C15" s="353">
        <v>0</v>
      </c>
      <c r="D15" s="351" t="s">
        <v>753</v>
      </c>
      <c r="E15" s="78"/>
    </row>
    <row r="16" spans="1:6" ht="14.4">
      <c r="A16" s="632">
        <v>5.2</v>
      </c>
      <c r="B16" s="327" t="s">
        <v>535</v>
      </c>
      <c r="C16" s="353">
        <v>0</v>
      </c>
      <c r="D16" s="79" t="s">
        <v>753</v>
      </c>
      <c r="E16" s="78"/>
    </row>
    <row r="17" spans="1:5" ht="14.4">
      <c r="A17" s="632">
        <v>5.3</v>
      </c>
      <c r="B17" s="328" t="s">
        <v>536</v>
      </c>
      <c r="C17" s="353">
        <v>0</v>
      </c>
      <c r="D17" s="79" t="s">
        <v>753</v>
      </c>
      <c r="E17" s="78"/>
    </row>
    <row r="18" spans="1:5" ht="14.4">
      <c r="A18" s="632">
        <v>6</v>
      </c>
      <c r="B18" s="324" t="s">
        <v>537</v>
      </c>
      <c r="C18" s="353">
        <f>SUM(C19:C20)</f>
        <v>0</v>
      </c>
      <c r="D18" s="79"/>
      <c r="E18" s="78"/>
    </row>
    <row r="19" spans="1:5" ht="14.4">
      <c r="A19" s="632">
        <v>6.1</v>
      </c>
      <c r="B19" s="327" t="s">
        <v>535</v>
      </c>
      <c r="C19" s="354">
        <v>0</v>
      </c>
      <c r="D19" s="79" t="s">
        <v>753</v>
      </c>
      <c r="E19" s="78"/>
    </row>
    <row r="20" spans="1:5" ht="14.4">
      <c r="A20" s="632">
        <v>6.2</v>
      </c>
      <c r="B20" s="328" t="s">
        <v>536</v>
      </c>
      <c r="C20" s="354">
        <v>0</v>
      </c>
      <c r="D20" s="79" t="s">
        <v>753</v>
      </c>
      <c r="E20" s="78"/>
    </row>
    <row r="21" spans="1:5" ht="14.4">
      <c r="A21" s="632">
        <v>7</v>
      </c>
      <c r="B21" s="323" t="s">
        <v>538</v>
      </c>
      <c r="C21" s="354">
        <v>0</v>
      </c>
      <c r="D21" s="79" t="s">
        <v>753</v>
      </c>
      <c r="E21" s="78"/>
    </row>
    <row r="22" spans="1:5" ht="14.4">
      <c r="A22" s="632">
        <v>8</v>
      </c>
      <c r="B22" s="329" t="s">
        <v>539</v>
      </c>
      <c r="C22" s="353">
        <v>0</v>
      </c>
      <c r="D22" s="79" t="s">
        <v>753</v>
      </c>
      <c r="E22" s="78"/>
    </row>
    <row r="23" spans="1:5" ht="14.4">
      <c r="A23" s="632">
        <v>9</v>
      </c>
      <c r="B23" s="325" t="s">
        <v>540</v>
      </c>
      <c r="C23" s="353">
        <f>SUM(C24:C25)</f>
        <v>23847.22</v>
      </c>
      <c r="D23" s="352"/>
      <c r="E23" s="78"/>
    </row>
    <row r="24" spans="1:5" ht="14.4">
      <c r="A24" s="632">
        <v>9.1</v>
      </c>
      <c r="B24" s="327" t="s">
        <v>541</v>
      </c>
      <c r="C24" s="355">
        <v>23847.22</v>
      </c>
      <c r="D24" s="81" t="s">
        <v>753</v>
      </c>
      <c r="E24" s="78"/>
    </row>
    <row r="25" spans="1:5" ht="14.4">
      <c r="A25" s="632">
        <v>9.1999999999999993</v>
      </c>
      <c r="B25" s="327" t="s">
        <v>542</v>
      </c>
      <c r="C25" s="356">
        <v>0</v>
      </c>
      <c r="D25" s="350" t="s">
        <v>753</v>
      </c>
      <c r="E25" s="82"/>
    </row>
    <row r="26" spans="1:5" ht="14.4">
      <c r="A26" s="632">
        <v>10</v>
      </c>
      <c r="B26" s="325" t="s">
        <v>543</v>
      </c>
      <c r="C26" s="357">
        <f>SUM(C27:C28)</f>
        <v>259105.8</v>
      </c>
      <c r="D26" s="460" t="s">
        <v>665</v>
      </c>
      <c r="E26" s="78"/>
    </row>
    <row r="27" spans="1:5" ht="14.4">
      <c r="A27" s="632">
        <v>10.1</v>
      </c>
      <c r="B27" s="327" t="s">
        <v>544</v>
      </c>
      <c r="C27" s="353">
        <v>0</v>
      </c>
      <c r="D27" s="79" t="s">
        <v>753</v>
      </c>
      <c r="E27" s="78"/>
    </row>
    <row r="28" spans="1:5" ht="14.4">
      <c r="A28" s="632">
        <v>10.199999999999999</v>
      </c>
      <c r="B28" s="327" t="s">
        <v>545</v>
      </c>
      <c r="C28" s="353">
        <v>259105.8</v>
      </c>
      <c r="D28" s="79" t="s">
        <v>753</v>
      </c>
      <c r="E28" s="78"/>
    </row>
    <row r="29" spans="1:5" ht="14.4">
      <c r="A29" s="632">
        <v>11</v>
      </c>
      <c r="B29" s="325" t="s">
        <v>546</v>
      </c>
      <c r="C29" s="353">
        <f>SUM(C30:C31)</f>
        <v>94887.16</v>
      </c>
      <c r="D29" s="79"/>
      <c r="E29" s="78"/>
    </row>
    <row r="30" spans="1:5" ht="14.4">
      <c r="A30" s="632">
        <v>11.1</v>
      </c>
      <c r="B30" s="327" t="s">
        <v>547</v>
      </c>
      <c r="C30" s="353">
        <v>94887.16</v>
      </c>
      <c r="D30" s="79" t="s">
        <v>753</v>
      </c>
      <c r="E30" s="78"/>
    </row>
    <row r="31" spans="1:5" ht="14.4">
      <c r="A31" s="632">
        <v>11.2</v>
      </c>
      <c r="B31" s="327" t="s">
        <v>548</v>
      </c>
      <c r="C31" s="353">
        <v>0</v>
      </c>
      <c r="D31" s="79" t="s">
        <v>753</v>
      </c>
      <c r="E31" s="78"/>
    </row>
    <row r="32" spans="1:5" ht="14.4">
      <c r="A32" s="632">
        <v>13</v>
      </c>
      <c r="B32" s="325" t="s">
        <v>549</v>
      </c>
      <c r="C32" s="353">
        <v>101498.91</v>
      </c>
      <c r="D32" s="79" t="s">
        <v>753</v>
      </c>
      <c r="E32" s="78"/>
    </row>
    <row r="33" spans="1:5" ht="14.4">
      <c r="A33" s="632">
        <v>13.1</v>
      </c>
      <c r="B33" s="638" t="s">
        <v>550</v>
      </c>
      <c r="C33" s="353">
        <v>0</v>
      </c>
      <c r="D33" s="79" t="s">
        <v>753</v>
      </c>
      <c r="E33" s="78"/>
    </row>
    <row r="34" spans="1:5" ht="14.4">
      <c r="A34" s="632">
        <v>13.2</v>
      </c>
      <c r="B34" s="638" t="s">
        <v>551</v>
      </c>
      <c r="C34" s="355">
        <v>0</v>
      </c>
      <c r="D34" s="81" t="s">
        <v>753</v>
      </c>
      <c r="E34" s="78"/>
    </row>
    <row r="35" spans="1:5" ht="14.4">
      <c r="A35" s="632">
        <v>14</v>
      </c>
      <c r="B35" s="649" t="s">
        <v>552</v>
      </c>
      <c r="C35" s="355">
        <f>SUM(C6,C10,C12,C13,C14,C18,C21,C22,C23,C26,C29,C32)</f>
        <v>30506172.75</v>
      </c>
      <c r="D35" s="81"/>
      <c r="E35" s="78"/>
    </row>
    <row r="36" spans="1:5" ht="14.4">
      <c r="A36" s="632"/>
      <c r="B36" s="650" t="s">
        <v>553</v>
      </c>
      <c r="C36" s="83"/>
      <c r="D36" s="84" t="s">
        <v>753</v>
      </c>
      <c r="E36" s="78"/>
    </row>
    <row r="37" spans="1:5" ht="14.4">
      <c r="A37" s="632">
        <v>15</v>
      </c>
      <c r="B37" s="330" t="s">
        <v>554</v>
      </c>
      <c r="C37" s="356">
        <v>0</v>
      </c>
      <c r="D37" s="350" t="s">
        <v>753</v>
      </c>
      <c r="E37" s="82"/>
    </row>
    <row r="38" spans="1:5" ht="14.4">
      <c r="A38" s="632">
        <v>15.1</v>
      </c>
      <c r="B38" s="637" t="s">
        <v>530</v>
      </c>
      <c r="C38" s="353">
        <v>0</v>
      </c>
      <c r="D38" s="79" t="s">
        <v>753</v>
      </c>
      <c r="E38" s="78"/>
    </row>
    <row r="39" spans="1:5" ht="14.4">
      <c r="A39" s="632">
        <v>16</v>
      </c>
      <c r="B39" s="323" t="s">
        <v>555</v>
      </c>
      <c r="C39" s="353">
        <v>0</v>
      </c>
      <c r="D39" s="79" t="s">
        <v>753</v>
      </c>
      <c r="E39" s="78"/>
    </row>
    <row r="40" spans="1:5" ht="14.4">
      <c r="A40" s="632">
        <v>17</v>
      </c>
      <c r="B40" s="323" t="s">
        <v>556</v>
      </c>
      <c r="C40" s="353">
        <f>SUM(C41:C44)</f>
        <v>23032984.530000001</v>
      </c>
      <c r="D40" s="79"/>
      <c r="E40" s="78"/>
    </row>
    <row r="41" spans="1:5" ht="14.4">
      <c r="A41" s="632">
        <v>17.100000000000001</v>
      </c>
      <c r="B41" s="331" t="s">
        <v>557</v>
      </c>
      <c r="C41" s="353">
        <v>22187868.07</v>
      </c>
      <c r="D41" s="79" t="s">
        <v>753</v>
      </c>
      <c r="E41" s="78"/>
    </row>
    <row r="42" spans="1:5" ht="14.4">
      <c r="A42" s="632">
        <v>17.2</v>
      </c>
      <c r="B42" s="636" t="s">
        <v>558</v>
      </c>
      <c r="C42" s="353">
        <v>845116.46000000008</v>
      </c>
      <c r="D42" s="79" t="s">
        <v>753</v>
      </c>
      <c r="E42" s="78"/>
    </row>
    <row r="43" spans="1:5" ht="14.4">
      <c r="A43" s="632">
        <v>17.3</v>
      </c>
      <c r="B43" s="349" t="s">
        <v>559</v>
      </c>
      <c r="C43" s="353">
        <v>0</v>
      </c>
      <c r="D43" s="81" t="s">
        <v>753</v>
      </c>
      <c r="E43" s="78"/>
    </row>
    <row r="44" spans="1:5" ht="14.4">
      <c r="A44" s="632">
        <v>17.399999999999999</v>
      </c>
      <c r="B44" s="651" t="s">
        <v>560</v>
      </c>
      <c r="C44" s="353">
        <v>0</v>
      </c>
      <c r="D44" s="652" t="s">
        <v>753</v>
      </c>
      <c r="E44" s="78"/>
    </row>
    <row r="45" spans="1:5" ht="14.4">
      <c r="A45" s="632">
        <v>18</v>
      </c>
      <c r="B45" s="649" t="s">
        <v>561</v>
      </c>
      <c r="C45" s="353">
        <v>0</v>
      </c>
      <c r="D45" s="653" t="s">
        <v>753</v>
      </c>
      <c r="E45" s="82"/>
    </row>
    <row r="46" spans="1:5" ht="14.4">
      <c r="A46" s="632">
        <v>19</v>
      </c>
      <c r="B46" s="649" t="s">
        <v>562</v>
      </c>
      <c r="C46" s="353">
        <f>SUM(C47:C48)</f>
        <v>22426.6</v>
      </c>
      <c r="D46" s="654"/>
    </row>
    <row r="47" spans="1:5" ht="14.4">
      <c r="A47" s="632">
        <v>19.100000000000001</v>
      </c>
      <c r="B47" s="655" t="s">
        <v>563</v>
      </c>
      <c r="C47" s="353">
        <v>22426.6</v>
      </c>
      <c r="D47" s="654" t="s">
        <v>753</v>
      </c>
    </row>
    <row r="48" spans="1:5" ht="14.4">
      <c r="A48" s="632">
        <v>19.2</v>
      </c>
      <c r="B48" s="655" t="s">
        <v>564</v>
      </c>
      <c r="C48" s="353">
        <v>0</v>
      </c>
      <c r="D48" s="654" t="s">
        <v>753</v>
      </c>
    </row>
    <row r="49" spans="1:4" ht="14.4">
      <c r="A49" s="632">
        <v>20</v>
      </c>
      <c r="B49" s="656" t="s">
        <v>565</v>
      </c>
      <c r="C49" s="353">
        <v>0</v>
      </c>
      <c r="D49" s="654" t="s">
        <v>753</v>
      </c>
    </row>
    <row r="50" spans="1:4" ht="14.4">
      <c r="A50" s="632">
        <v>21</v>
      </c>
      <c r="B50" s="657" t="s">
        <v>566</v>
      </c>
      <c r="C50" s="353">
        <v>201964.86000000002</v>
      </c>
      <c r="D50" s="654" t="s">
        <v>753</v>
      </c>
    </row>
    <row r="51" spans="1:4" ht="14.4">
      <c r="A51" s="632">
        <v>21.1</v>
      </c>
      <c r="B51" s="636" t="s">
        <v>567</v>
      </c>
      <c r="C51" s="353">
        <v>0</v>
      </c>
      <c r="D51" s="654" t="s">
        <v>753</v>
      </c>
    </row>
    <row r="52" spans="1:4" ht="14.4">
      <c r="A52" s="632">
        <v>22</v>
      </c>
      <c r="B52" s="658" t="s">
        <v>568</v>
      </c>
      <c r="C52" s="353">
        <f>SUM(C37,C39,C40,C45,C46,C49,C50)</f>
        <v>23257375.990000002</v>
      </c>
      <c r="D52" s="654"/>
    </row>
    <row r="53" spans="1:4" ht="14.4">
      <c r="A53" s="632"/>
      <c r="B53" s="650" t="s">
        <v>569</v>
      </c>
      <c r="C53" s="353"/>
      <c r="D53" s="654"/>
    </row>
    <row r="54" spans="1:4" ht="14.4">
      <c r="A54" s="632">
        <v>23</v>
      </c>
      <c r="B54" s="656" t="s">
        <v>570</v>
      </c>
      <c r="C54" s="353">
        <v>8052000</v>
      </c>
      <c r="D54" s="654" t="s">
        <v>753</v>
      </c>
    </row>
    <row r="55" spans="1:4" ht="14.4">
      <c r="A55" s="632">
        <v>24</v>
      </c>
      <c r="B55" s="656" t="s">
        <v>571</v>
      </c>
      <c r="C55" s="353">
        <v>0</v>
      </c>
      <c r="D55" s="654" t="s">
        <v>753</v>
      </c>
    </row>
    <row r="56" spans="1:4" ht="14.4">
      <c r="A56" s="632">
        <v>25</v>
      </c>
      <c r="B56" s="649" t="s">
        <v>572</v>
      </c>
      <c r="C56" s="353">
        <v>0</v>
      </c>
      <c r="D56" s="654" t="s">
        <v>753</v>
      </c>
    </row>
    <row r="57" spans="1:4" ht="14.4">
      <c r="A57" s="632">
        <v>26</v>
      </c>
      <c r="B57" s="649" t="s">
        <v>573</v>
      </c>
      <c r="C57" s="353">
        <v>0</v>
      </c>
      <c r="D57" s="654" t="s">
        <v>753</v>
      </c>
    </row>
    <row r="58" spans="1:4" ht="14.4">
      <c r="A58" s="632">
        <v>27</v>
      </c>
      <c r="B58" s="649" t="s">
        <v>574</v>
      </c>
      <c r="C58" s="353">
        <f>SUM(C59:C60)</f>
        <v>0</v>
      </c>
      <c r="D58" s="654"/>
    </row>
    <row r="59" spans="1:4" ht="14.4">
      <c r="A59" s="632">
        <v>27.1</v>
      </c>
      <c r="B59" s="651" t="s">
        <v>575</v>
      </c>
      <c r="C59" s="353">
        <v>0</v>
      </c>
      <c r="D59" s="654" t="s">
        <v>753</v>
      </c>
    </row>
    <row r="60" spans="1:4" ht="14.4">
      <c r="A60" s="632">
        <v>27.2</v>
      </c>
      <c r="B60" s="651" t="s">
        <v>576</v>
      </c>
      <c r="C60" s="353">
        <v>0</v>
      </c>
      <c r="D60" s="654" t="s">
        <v>753</v>
      </c>
    </row>
    <row r="61" spans="1:4" ht="14.4">
      <c r="A61" s="632">
        <v>28</v>
      </c>
      <c r="B61" s="659" t="s">
        <v>577</v>
      </c>
      <c r="C61" s="353">
        <v>0</v>
      </c>
      <c r="D61" s="654" t="s">
        <v>753</v>
      </c>
    </row>
    <row r="62" spans="1:4" ht="14.4">
      <c r="A62" s="632">
        <v>29</v>
      </c>
      <c r="B62" s="649" t="s">
        <v>578</v>
      </c>
      <c r="C62" s="353">
        <f>SUM(C63:C65)</f>
        <v>0</v>
      </c>
      <c r="D62" s="654"/>
    </row>
    <row r="63" spans="1:4" ht="14.4">
      <c r="A63" s="632">
        <v>29.1</v>
      </c>
      <c r="B63" s="660" t="s">
        <v>579</v>
      </c>
      <c r="C63" s="353">
        <v>0</v>
      </c>
      <c r="D63" s="654" t="s">
        <v>753</v>
      </c>
    </row>
    <row r="64" spans="1:4" ht="14.4">
      <c r="A64" s="632">
        <v>29.2</v>
      </c>
      <c r="B64" s="655" t="s">
        <v>580</v>
      </c>
      <c r="C64" s="353">
        <v>0</v>
      </c>
      <c r="D64" s="654" t="s">
        <v>753</v>
      </c>
    </row>
    <row r="65" spans="1:4" ht="14.4">
      <c r="A65" s="632">
        <v>29.3</v>
      </c>
      <c r="B65" s="655" t="s">
        <v>581</v>
      </c>
      <c r="C65" s="353">
        <v>0</v>
      </c>
      <c r="D65" s="654" t="s">
        <v>753</v>
      </c>
    </row>
    <row r="66" spans="1:4" ht="14.4">
      <c r="A66" s="632">
        <v>30</v>
      </c>
      <c r="B66" s="649" t="s">
        <v>582</v>
      </c>
      <c r="C66" s="353">
        <v>-803203.23999999987</v>
      </c>
      <c r="D66" s="654" t="s">
        <v>753</v>
      </c>
    </row>
    <row r="67" spans="1:4" ht="14.4">
      <c r="A67" s="632">
        <v>31</v>
      </c>
      <c r="B67" s="661" t="s">
        <v>583</v>
      </c>
      <c r="C67" s="353">
        <f>SUM(C54,C55,C56,C57,C58,C61,C62,C66)</f>
        <v>7248796.7599999998</v>
      </c>
      <c r="D67" s="654"/>
    </row>
    <row r="68" spans="1:4" ht="15" thickBot="1">
      <c r="A68" s="662">
        <v>32</v>
      </c>
      <c r="B68" s="663" t="s">
        <v>584</v>
      </c>
      <c r="C68" s="665">
        <f>SUM(C52,C67)</f>
        <v>30506172.75</v>
      </c>
      <c r="D68" s="664"/>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31" sqref="D31"/>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22" bestFit="1" customWidth="1"/>
    <col min="17" max="17" width="14.77734375" style="22" customWidth="1"/>
    <col min="18" max="18" width="13" style="22" bestFit="1" customWidth="1"/>
    <col min="19" max="19" width="34.77734375" style="22" customWidth="1"/>
    <col min="20" max="16384" width="9.21875" style="22"/>
  </cols>
  <sheetData>
    <row r="1" spans="1:19">
      <c r="A1" s="2" t="s">
        <v>30</v>
      </c>
      <c r="B1" s="3" t="str">
        <f>'Info '!C2</f>
        <v>JSC Pave Bank Georgia</v>
      </c>
    </row>
    <row r="2" spans="1:19">
      <c r="A2" s="2" t="s">
        <v>31</v>
      </c>
      <c r="B2" s="272">
        <f>'1. key ratios '!B2</f>
        <v>45747</v>
      </c>
    </row>
    <row r="4" spans="1:19" ht="27" thickBot="1">
      <c r="A4" s="4" t="s">
        <v>146</v>
      </c>
      <c r="B4" s="166" t="s">
        <v>238</v>
      </c>
    </row>
    <row r="5" spans="1:19" s="154" customFormat="1" ht="13.8">
      <c r="A5" s="149"/>
      <c r="B5" s="150"/>
      <c r="C5" s="151" t="s">
        <v>0</v>
      </c>
      <c r="D5" s="151" t="s">
        <v>1</v>
      </c>
      <c r="E5" s="151" t="s">
        <v>2</v>
      </c>
      <c r="F5" s="151" t="s">
        <v>3</v>
      </c>
      <c r="G5" s="151" t="s">
        <v>4</v>
      </c>
      <c r="H5" s="151" t="s">
        <v>5</v>
      </c>
      <c r="I5" s="151" t="s">
        <v>8</v>
      </c>
      <c r="J5" s="151" t="s">
        <v>9</v>
      </c>
      <c r="K5" s="151" t="s">
        <v>10</v>
      </c>
      <c r="L5" s="151" t="s">
        <v>11</v>
      </c>
      <c r="M5" s="151" t="s">
        <v>12</v>
      </c>
      <c r="N5" s="151" t="s">
        <v>13</v>
      </c>
      <c r="O5" s="151" t="s">
        <v>222</v>
      </c>
      <c r="P5" s="151" t="s">
        <v>223</v>
      </c>
      <c r="Q5" s="151" t="s">
        <v>224</v>
      </c>
      <c r="R5" s="152" t="s">
        <v>225</v>
      </c>
      <c r="S5" s="153" t="s">
        <v>226</v>
      </c>
    </row>
    <row r="6" spans="1:19" s="154" customFormat="1" ht="99" customHeight="1">
      <c r="A6" s="155"/>
      <c r="B6" s="725" t="s">
        <v>227</v>
      </c>
      <c r="C6" s="721">
        <v>0</v>
      </c>
      <c r="D6" s="722"/>
      <c r="E6" s="721">
        <v>0.2</v>
      </c>
      <c r="F6" s="722"/>
      <c r="G6" s="721">
        <v>0.35</v>
      </c>
      <c r="H6" s="722"/>
      <c r="I6" s="721">
        <v>0.5</v>
      </c>
      <c r="J6" s="722"/>
      <c r="K6" s="721">
        <v>0.75</v>
      </c>
      <c r="L6" s="722"/>
      <c r="M6" s="721">
        <v>1</v>
      </c>
      <c r="N6" s="722"/>
      <c r="O6" s="721">
        <v>1.5</v>
      </c>
      <c r="P6" s="722"/>
      <c r="Q6" s="721">
        <v>2.5</v>
      </c>
      <c r="R6" s="722"/>
      <c r="S6" s="723" t="s">
        <v>145</v>
      </c>
    </row>
    <row r="7" spans="1:19" s="154" customFormat="1" ht="30.75" customHeight="1">
      <c r="A7" s="155"/>
      <c r="B7" s="726"/>
      <c r="C7" s="147" t="s">
        <v>148</v>
      </c>
      <c r="D7" s="147" t="s">
        <v>147</v>
      </c>
      <c r="E7" s="147" t="s">
        <v>148</v>
      </c>
      <c r="F7" s="147" t="s">
        <v>147</v>
      </c>
      <c r="G7" s="147" t="s">
        <v>148</v>
      </c>
      <c r="H7" s="147" t="s">
        <v>147</v>
      </c>
      <c r="I7" s="147" t="s">
        <v>148</v>
      </c>
      <c r="J7" s="147" t="s">
        <v>147</v>
      </c>
      <c r="K7" s="147" t="s">
        <v>148</v>
      </c>
      <c r="L7" s="147" t="s">
        <v>147</v>
      </c>
      <c r="M7" s="147" t="s">
        <v>148</v>
      </c>
      <c r="N7" s="147" t="s">
        <v>147</v>
      </c>
      <c r="O7" s="147" t="s">
        <v>148</v>
      </c>
      <c r="P7" s="147" t="s">
        <v>147</v>
      </c>
      <c r="Q7" s="147" t="s">
        <v>148</v>
      </c>
      <c r="R7" s="147" t="s">
        <v>147</v>
      </c>
      <c r="S7" s="724"/>
    </row>
    <row r="8" spans="1:19">
      <c r="A8" s="85">
        <v>1</v>
      </c>
      <c r="B8" s="1" t="s">
        <v>51</v>
      </c>
      <c r="C8" s="86">
        <v>0</v>
      </c>
      <c r="D8" s="86">
        <v>0</v>
      </c>
      <c r="E8" s="86">
        <v>0</v>
      </c>
      <c r="F8" s="86">
        <v>0</v>
      </c>
      <c r="G8" s="86">
        <v>0</v>
      </c>
      <c r="H8" s="86">
        <v>0</v>
      </c>
      <c r="I8" s="86">
        <v>0</v>
      </c>
      <c r="J8" s="86">
        <v>0</v>
      </c>
      <c r="K8" s="86">
        <v>0</v>
      </c>
      <c r="L8" s="86">
        <v>0</v>
      </c>
      <c r="M8" s="86">
        <v>17024432.120000001</v>
      </c>
      <c r="N8" s="86">
        <v>0</v>
      </c>
      <c r="O8" s="86">
        <v>0</v>
      </c>
      <c r="P8" s="86">
        <v>0</v>
      </c>
      <c r="Q8" s="86">
        <v>0</v>
      </c>
      <c r="R8" s="86">
        <v>0</v>
      </c>
      <c r="S8" s="167">
        <f>$C$6*SUM(C8:D8)+$E$6*SUM(E8:F8)+$G$6*SUM(G8:H8)+$I$6*SUM(I8:J8)+$K$6*SUM(K8:L8)+$M$6*SUM(M8:N8)+$O$6*SUM(O8:P8)+$Q$6*SUM(Q8:R8)</f>
        <v>17024432.120000001</v>
      </c>
    </row>
    <row r="9" spans="1:19">
      <c r="A9" s="85">
        <v>2</v>
      </c>
      <c r="B9" s="1" t="s">
        <v>52</v>
      </c>
      <c r="C9" s="86">
        <v>0</v>
      </c>
      <c r="D9" s="86">
        <v>0</v>
      </c>
      <c r="E9" s="86">
        <v>0</v>
      </c>
      <c r="F9" s="86">
        <v>0</v>
      </c>
      <c r="G9" s="86">
        <v>0</v>
      </c>
      <c r="H9" s="86">
        <v>0</v>
      </c>
      <c r="I9" s="86">
        <v>0</v>
      </c>
      <c r="J9" s="86">
        <v>0</v>
      </c>
      <c r="K9" s="86">
        <v>0</v>
      </c>
      <c r="L9" s="86">
        <v>0</v>
      </c>
      <c r="M9" s="86">
        <v>0</v>
      </c>
      <c r="N9" s="86">
        <v>0</v>
      </c>
      <c r="O9" s="86">
        <v>0</v>
      </c>
      <c r="P9" s="86">
        <v>0</v>
      </c>
      <c r="Q9" s="86">
        <v>0</v>
      </c>
      <c r="R9" s="86">
        <v>0</v>
      </c>
      <c r="S9" s="167">
        <f t="shared" ref="S9:S21" si="0">$C$6*SUM(C9:D9)+$E$6*SUM(E9:F9)+$G$6*SUM(G9:H9)+$I$6*SUM(I9:J9)+$K$6*SUM(K9:L9)+$M$6*SUM(M9:N9)+$O$6*SUM(O9:P9)+$Q$6*SUM(Q9:R9)</f>
        <v>0</v>
      </c>
    </row>
    <row r="10" spans="1:19">
      <c r="A10" s="85">
        <v>3</v>
      </c>
      <c r="B10" s="1" t="s">
        <v>152</v>
      </c>
      <c r="C10" s="86">
        <v>0</v>
      </c>
      <c r="D10" s="86">
        <v>0</v>
      </c>
      <c r="E10" s="86">
        <v>0</v>
      </c>
      <c r="F10" s="86">
        <v>0</v>
      </c>
      <c r="G10" s="86">
        <v>0</v>
      </c>
      <c r="H10" s="86">
        <v>0</v>
      </c>
      <c r="I10" s="86">
        <v>0</v>
      </c>
      <c r="J10" s="86">
        <v>0</v>
      </c>
      <c r="K10" s="86">
        <v>0</v>
      </c>
      <c r="L10" s="86">
        <v>0</v>
      </c>
      <c r="M10" s="86">
        <v>0</v>
      </c>
      <c r="N10" s="86">
        <v>0</v>
      </c>
      <c r="O10" s="86">
        <v>0</v>
      </c>
      <c r="P10" s="86">
        <v>0</v>
      </c>
      <c r="Q10" s="86">
        <v>0</v>
      </c>
      <c r="R10" s="86">
        <v>0</v>
      </c>
      <c r="S10" s="167">
        <f t="shared" si="0"/>
        <v>0</v>
      </c>
    </row>
    <row r="11" spans="1:19">
      <c r="A11" s="85">
        <v>4</v>
      </c>
      <c r="B11" s="1" t="s">
        <v>53</v>
      </c>
      <c r="C11" s="86">
        <v>0</v>
      </c>
      <c r="D11" s="86">
        <v>0</v>
      </c>
      <c r="E11" s="86">
        <v>0</v>
      </c>
      <c r="F11" s="86">
        <v>0</v>
      </c>
      <c r="G11" s="86">
        <v>0</v>
      </c>
      <c r="H11" s="86">
        <v>0</v>
      </c>
      <c r="I11" s="86">
        <v>0</v>
      </c>
      <c r="J11" s="86">
        <v>0</v>
      </c>
      <c r="K11" s="86">
        <v>0</v>
      </c>
      <c r="L11" s="86">
        <v>0</v>
      </c>
      <c r="M11" s="86">
        <v>0</v>
      </c>
      <c r="N11" s="86">
        <v>0</v>
      </c>
      <c r="O11" s="86">
        <v>0</v>
      </c>
      <c r="P11" s="86">
        <v>0</v>
      </c>
      <c r="Q11" s="86">
        <v>0</v>
      </c>
      <c r="R11" s="86">
        <v>0</v>
      </c>
      <c r="S11" s="167">
        <f t="shared" si="0"/>
        <v>0</v>
      </c>
    </row>
    <row r="12" spans="1:19">
      <c r="A12" s="85">
        <v>5</v>
      </c>
      <c r="B12" s="1" t="s">
        <v>54</v>
      </c>
      <c r="C12" s="86">
        <v>0</v>
      </c>
      <c r="D12" s="86">
        <v>0</v>
      </c>
      <c r="E12" s="86">
        <v>0</v>
      </c>
      <c r="F12" s="86">
        <v>0</v>
      </c>
      <c r="G12" s="86">
        <v>0</v>
      </c>
      <c r="H12" s="86">
        <v>0</v>
      </c>
      <c r="I12" s="86">
        <v>0</v>
      </c>
      <c r="J12" s="86">
        <v>0</v>
      </c>
      <c r="K12" s="86">
        <v>0</v>
      </c>
      <c r="L12" s="86">
        <v>0</v>
      </c>
      <c r="M12" s="86">
        <v>0</v>
      </c>
      <c r="N12" s="86">
        <v>0</v>
      </c>
      <c r="O12" s="86">
        <v>0</v>
      </c>
      <c r="P12" s="86">
        <v>0</v>
      </c>
      <c r="Q12" s="86">
        <v>0</v>
      </c>
      <c r="R12" s="86">
        <v>0</v>
      </c>
      <c r="S12" s="167">
        <f t="shared" si="0"/>
        <v>0</v>
      </c>
    </row>
    <row r="13" spans="1:19">
      <c r="A13" s="85">
        <v>6</v>
      </c>
      <c r="B13" s="1" t="s">
        <v>55</v>
      </c>
      <c r="C13" s="86">
        <v>0</v>
      </c>
      <c r="D13" s="86">
        <v>0</v>
      </c>
      <c r="E13" s="86">
        <v>8920164.9499999974</v>
      </c>
      <c r="F13" s="86">
        <v>0</v>
      </c>
      <c r="G13" s="86">
        <v>0</v>
      </c>
      <c r="H13" s="86">
        <v>0</v>
      </c>
      <c r="I13" s="86">
        <v>3949354.8200000003</v>
      </c>
      <c r="J13" s="86">
        <v>0</v>
      </c>
      <c r="K13" s="86">
        <v>0</v>
      </c>
      <c r="L13" s="86">
        <v>0</v>
      </c>
      <c r="M13" s="86">
        <v>132881.76999999999</v>
      </c>
      <c r="N13" s="86">
        <v>0</v>
      </c>
      <c r="O13" s="86">
        <v>0</v>
      </c>
      <c r="P13" s="86">
        <v>0</v>
      </c>
      <c r="Q13" s="86">
        <v>0</v>
      </c>
      <c r="R13" s="86">
        <v>0</v>
      </c>
      <c r="S13" s="167">
        <f t="shared" si="0"/>
        <v>3891592.1699999995</v>
      </c>
    </row>
    <row r="14" spans="1:19">
      <c r="A14" s="85">
        <v>7</v>
      </c>
      <c r="B14" s="1" t="s">
        <v>56</v>
      </c>
      <c r="C14" s="86">
        <v>0</v>
      </c>
      <c r="D14" s="86">
        <v>0</v>
      </c>
      <c r="E14" s="86">
        <v>0</v>
      </c>
      <c r="F14" s="86">
        <v>0</v>
      </c>
      <c r="G14" s="86">
        <v>0</v>
      </c>
      <c r="H14" s="86">
        <v>0</v>
      </c>
      <c r="I14" s="86">
        <v>0</v>
      </c>
      <c r="J14" s="86">
        <v>0</v>
      </c>
      <c r="K14" s="86">
        <v>0</v>
      </c>
      <c r="L14" s="86">
        <v>0</v>
      </c>
      <c r="M14" s="86">
        <v>0</v>
      </c>
      <c r="N14" s="86">
        <v>0</v>
      </c>
      <c r="O14" s="86">
        <v>0</v>
      </c>
      <c r="P14" s="86">
        <v>0</v>
      </c>
      <c r="Q14" s="86">
        <v>0</v>
      </c>
      <c r="R14" s="86">
        <v>0</v>
      </c>
      <c r="S14" s="167">
        <f t="shared" si="0"/>
        <v>0</v>
      </c>
    </row>
    <row r="15" spans="1:19">
      <c r="A15" s="85">
        <v>8</v>
      </c>
      <c r="B15" s="1" t="s">
        <v>57</v>
      </c>
      <c r="C15" s="86">
        <v>0</v>
      </c>
      <c r="D15" s="86">
        <v>0</v>
      </c>
      <c r="E15" s="86">
        <v>0</v>
      </c>
      <c r="F15" s="86">
        <v>0</v>
      </c>
      <c r="G15" s="86">
        <v>0</v>
      </c>
      <c r="H15" s="86">
        <v>0</v>
      </c>
      <c r="I15" s="86">
        <v>0</v>
      </c>
      <c r="J15" s="86">
        <v>0</v>
      </c>
      <c r="K15" s="86">
        <v>0</v>
      </c>
      <c r="L15" s="86">
        <v>0</v>
      </c>
      <c r="M15" s="86">
        <v>0</v>
      </c>
      <c r="N15" s="86">
        <v>0</v>
      </c>
      <c r="O15" s="86">
        <v>0</v>
      </c>
      <c r="P15" s="86">
        <v>0</v>
      </c>
      <c r="Q15" s="86">
        <v>0</v>
      </c>
      <c r="R15" s="86">
        <v>0</v>
      </c>
      <c r="S15" s="167">
        <f t="shared" si="0"/>
        <v>0</v>
      </c>
    </row>
    <row r="16" spans="1:19">
      <c r="A16" s="85">
        <v>9</v>
      </c>
      <c r="B16" s="1" t="s">
        <v>58</v>
      </c>
      <c r="C16" s="86">
        <v>0</v>
      </c>
      <c r="D16" s="86">
        <v>0</v>
      </c>
      <c r="E16" s="86">
        <v>0</v>
      </c>
      <c r="F16" s="86">
        <v>0</v>
      </c>
      <c r="G16" s="86">
        <v>0</v>
      </c>
      <c r="H16" s="86">
        <v>0</v>
      </c>
      <c r="I16" s="86">
        <v>0</v>
      </c>
      <c r="J16" s="86">
        <v>0</v>
      </c>
      <c r="K16" s="86">
        <v>0</v>
      </c>
      <c r="L16" s="86">
        <v>0</v>
      </c>
      <c r="M16" s="86">
        <v>0</v>
      </c>
      <c r="N16" s="86">
        <v>0</v>
      </c>
      <c r="O16" s="86">
        <v>0</v>
      </c>
      <c r="P16" s="86">
        <v>0</v>
      </c>
      <c r="Q16" s="86">
        <v>0</v>
      </c>
      <c r="R16" s="86">
        <v>0</v>
      </c>
      <c r="S16" s="167">
        <f t="shared" si="0"/>
        <v>0</v>
      </c>
    </row>
    <row r="17" spans="1:19">
      <c r="A17" s="85">
        <v>10</v>
      </c>
      <c r="B17" s="1" t="s">
        <v>59</v>
      </c>
      <c r="C17" s="86">
        <v>0</v>
      </c>
      <c r="D17" s="86">
        <v>0</v>
      </c>
      <c r="E17" s="86">
        <v>0</v>
      </c>
      <c r="F17" s="86">
        <v>0</v>
      </c>
      <c r="G17" s="86">
        <v>0</v>
      </c>
      <c r="H17" s="86">
        <v>0</v>
      </c>
      <c r="I17" s="86">
        <v>0</v>
      </c>
      <c r="J17" s="86">
        <v>0</v>
      </c>
      <c r="K17" s="86">
        <v>0</v>
      </c>
      <c r="L17" s="86">
        <v>0</v>
      </c>
      <c r="M17" s="86">
        <v>0</v>
      </c>
      <c r="N17" s="86">
        <v>0</v>
      </c>
      <c r="O17" s="86">
        <v>0</v>
      </c>
      <c r="P17" s="86">
        <v>0</v>
      </c>
      <c r="Q17" s="86">
        <v>0</v>
      </c>
      <c r="R17" s="86">
        <v>0</v>
      </c>
      <c r="S17" s="167">
        <f t="shared" si="0"/>
        <v>0</v>
      </c>
    </row>
    <row r="18" spans="1:19">
      <c r="A18" s="85">
        <v>11</v>
      </c>
      <c r="B18" s="1" t="s">
        <v>60</v>
      </c>
      <c r="C18" s="86">
        <v>0</v>
      </c>
      <c r="D18" s="86">
        <v>0</v>
      </c>
      <c r="E18" s="86">
        <v>0</v>
      </c>
      <c r="F18" s="86">
        <v>0</v>
      </c>
      <c r="G18" s="86">
        <v>0</v>
      </c>
      <c r="H18" s="86">
        <v>0</v>
      </c>
      <c r="I18" s="86">
        <v>0</v>
      </c>
      <c r="J18" s="86">
        <v>0</v>
      </c>
      <c r="K18" s="86">
        <v>0</v>
      </c>
      <c r="L18" s="86">
        <v>0</v>
      </c>
      <c r="M18" s="86">
        <v>0</v>
      </c>
      <c r="N18" s="86">
        <v>0</v>
      </c>
      <c r="O18" s="86">
        <v>0</v>
      </c>
      <c r="P18" s="86">
        <v>0</v>
      </c>
      <c r="Q18" s="86">
        <v>0</v>
      </c>
      <c r="R18" s="86">
        <v>0</v>
      </c>
      <c r="S18" s="167">
        <f t="shared" si="0"/>
        <v>0</v>
      </c>
    </row>
    <row r="19" spans="1:19">
      <c r="A19" s="85">
        <v>12</v>
      </c>
      <c r="B19" s="1" t="s">
        <v>61</v>
      </c>
      <c r="C19" s="86">
        <v>0</v>
      </c>
      <c r="D19" s="86">
        <v>0</v>
      </c>
      <c r="E19" s="86">
        <v>0</v>
      </c>
      <c r="F19" s="86">
        <v>0</v>
      </c>
      <c r="G19" s="86">
        <v>0</v>
      </c>
      <c r="H19" s="86">
        <v>0</v>
      </c>
      <c r="I19" s="86">
        <v>0</v>
      </c>
      <c r="J19" s="86">
        <v>0</v>
      </c>
      <c r="K19" s="86">
        <v>0</v>
      </c>
      <c r="L19" s="86">
        <v>0</v>
      </c>
      <c r="M19" s="86">
        <v>0</v>
      </c>
      <c r="N19" s="86">
        <v>0</v>
      </c>
      <c r="O19" s="86">
        <v>0</v>
      </c>
      <c r="P19" s="86">
        <v>0</v>
      </c>
      <c r="Q19" s="86">
        <v>0</v>
      </c>
      <c r="R19" s="86">
        <v>0</v>
      </c>
      <c r="S19" s="167">
        <f t="shared" si="0"/>
        <v>0</v>
      </c>
    </row>
    <row r="20" spans="1:19">
      <c r="A20" s="85">
        <v>13</v>
      </c>
      <c r="B20" s="1" t="s">
        <v>144</v>
      </c>
      <c r="C20" s="86">
        <v>0</v>
      </c>
      <c r="D20" s="86">
        <v>0</v>
      </c>
      <c r="E20" s="86">
        <v>0</v>
      </c>
      <c r="F20" s="86">
        <v>0</v>
      </c>
      <c r="G20" s="86">
        <v>0</v>
      </c>
      <c r="H20" s="86">
        <v>0</v>
      </c>
      <c r="I20" s="86">
        <v>0</v>
      </c>
      <c r="J20" s="86">
        <v>0</v>
      </c>
      <c r="K20" s="86">
        <v>0</v>
      </c>
      <c r="L20" s="86">
        <v>0</v>
      </c>
      <c r="M20" s="86">
        <v>0</v>
      </c>
      <c r="N20" s="86">
        <v>0</v>
      </c>
      <c r="O20" s="86">
        <v>0</v>
      </c>
      <c r="P20" s="86">
        <v>0</v>
      </c>
      <c r="Q20" s="86">
        <v>0</v>
      </c>
      <c r="R20" s="86">
        <v>0</v>
      </c>
      <c r="S20" s="167">
        <f t="shared" si="0"/>
        <v>0</v>
      </c>
    </row>
    <row r="21" spans="1:19">
      <c r="A21" s="85">
        <v>14</v>
      </c>
      <c r="B21" s="1" t="s">
        <v>63</v>
      </c>
      <c r="C21" s="86">
        <v>0</v>
      </c>
      <c r="D21" s="86">
        <v>0</v>
      </c>
      <c r="E21" s="86">
        <v>0</v>
      </c>
      <c r="F21" s="86">
        <v>0</v>
      </c>
      <c r="G21" s="86">
        <v>0</v>
      </c>
      <c r="H21" s="86">
        <v>0</v>
      </c>
      <c r="I21" s="86">
        <v>0</v>
      </c>
      <c r="J21" s="86">
        <v>0</v>
      </c>
      <c r="K21" s="86">
        <v>0</v>
      </c>
      <c r="L21" s="86">
        <v>0</v>
      </c>
      <c r="M21" s="86">
        <v>220233.29000000004</v>
      </c>
      <c r="N21" s="86">
        <v>0</v>
      </c>
      <c r="O21" s="86">
        <v>0</v>
      </c>
      <c r="P21" s="86">
        <v>0</v>
      </c>
      <c r="Q21" s="86">
        <v>0</v>
      </c>
      <c r="R21" s="86">
        <v>0</v>
      </c>
      <c r="S21" s="167">
        <f t="shared" si="0"/>
        <v>220233.29000000004</v>
      </c>
    </row>
    <row r="22" spans="1:19" ht="13.8" thickBot="1">
      <c r="A22" s="87"/>
      <c r="B22" s="88" t="s">
        <v>64</v>
      </c>
      <c r="C22" s="89">
        <f>SUM(C8:C21)</f>
        <v>0</v>
      </c>
      <c r="D22" s="89">
        <f t="shared" ref="D22:J22" si="1">SUM(D8:D21)</f>
        <v>0</v>
      </c>
      <c r="E22" s="89">
        <f t="shared" si="1"/>
        <v>8920164.9499999974</v>
      </c>
      <c r="F22" s="89">
        <f t="shared" si="1"/>
        <v>0</v>
      </c>
      <c r="G22" s="89">
        <f t="shared" si="1"/>
        <v>0</v>
      </c>
      <c r="H22" s="89">
        <f t="shared" si="1"/>
        <v>0</v>
      </c>
      <c r="I22" s="89">
        <f t="shared" si="1"/>
        <v>3949354.8200000003</v>
      </c>
      <c r="J22" s="89">
        <f t="shared" si="1"/>
        <v>0</v>
      </c>
      <c r="K22" s="89">
        <f t="shared" ref="K22:S22" si="2">SUM(K8:K21)</f>
        <v>0</v>
      </c>
      <c r="L22" s="89">
        <f t="shared" si="2"/>
        <v>0</v>
      </c>
      <c r="M22" s="89">
        <f t="shared" si="2"/>
        <v>17377547.18</v>
      </c>
      <c r="N22" s="89">
        <f t="shared" si="2"/>
        <v>0</v>
      </c>
      <c r="O22" s="89">
        <f t="shared" si="2"/>
        <v>0</v>
      </c>
      <c r="P22" s="89">
        <f t="shared" si="2"/>
        <v>0</v>
      </c>
      <c r="Q22" s="89">
        <f t="shared" si="2"/>
        <v>0</v>
      </c>
      <c r="R22" s="89">
        <f t="shared" si="2"/>
        <v>0</v>
      </c>
      <c r="S22" s="168">
        <f t="shared" si="2"/>
        <v>21136257.579999998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R7" activePane="bottomRight" state="frozen"/>
      <selection activeCell="B19" sqref="B19"/>
      <selection pane="topRight" activeCell="B19" sqref="B19"/>
      <selection pane="bottomLeft" activeCell="B19" sqref="B19"/>
      <selection pane="bottomRight" activeCell="V21" sqref="V21"/>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22"/>
  </cols>
  <sheetData>
    <row r="1" spans="1:22">
      <c r="A1" s="2" t="s">
        <v>30</v>
      </c>
      <c r="B1" s="3" t="str">
        <f>'Info '!C2</f>
        <v>JSC Pave Bank Georgia</v>
      </c>
    </row>
    <row r="2" spans="1:22">
      <c r="A2" s="2" t="s">
        <v>31</v>
      </c>
      <c r="B2" s="272">
        <f>'1. key ratios '!B2</f>
        <v>45747</v>
      </c>
    </row>
    <row r="4" spans="1:22" ht="13.8" thickBot="1">
      <c r="A4" s="4" t="s">
        <v>230</v>
      </c>
      <c r="B4" s="90" t="s">
        <v>50</v>
      </c>
      <c r="V4" s="23" t="s">
        <v>35</v>
      </c>
    </row>
    <row r="5" spans="1:22" ht="12.75" customHeight="1">
      <c r="A5" s="91"/>
      <c r="B5" s="92"/>
      <c r="C5" s="727" t="s">
        <v>156</v>
      </c>
      <c r="D5" s="728"/>
      <c r="E5" s="728"/>
      <c r="F5" s="728"/>
      <c r="G5" s="728"/>
      <c r="H5" s="728"/>
      <c r="I5" s="728"/>
      <c r="J5" s="728"/>
      <c r="K5" s="728"/>
      <c r="L5" s="729"/>
      <c r="M5" s="730" t="s">
        <v>157</v>
      </c>
      <c r="N5" s="731"/>
      <c r="O5" s="731"/>
      <c r="P5" s="731"/>
      <c r="Q5" s="731"/>
      <c r="R5" s="731"/>
      <c r="S5" s="732"/>
      <c r="T5" s="735" t="s">
        <v>228</v>
      </c>
      <c r="U5" s="735" t="s">
        <v>229</v>
      </c>
      <c r="V5" s="733" t="s">
        <v>76</v>
      </c>
    </row>
    <row r="6" spans="1:22" s="51" customFormat="1" ht="105.6">
      <c r="A6" s="49"/>
      <c r="B6" s="93"/>
      <c r="C6" s="94" t="s">
        <v>65</v>
      </c>
      <c r="D6" s="131" t="s">
        <v>66</v>
      </c>
      <c r="E6" s="112" t="s">
        <v>159</v>
      </c>
      <c r="F6" s="112" t="s">
        <v>160</v>
      </c>
      <c r="G6" s="131" t="s">
        <v>163</v>
      </c>
      <c r="H6" s="131" t="s">
        <v>158</v>
      </c>
      <c r="I6" s="131" t="s">
        <v>67</v>
      </c>
      <c r="J6" s="131" t="s">
        <v>68</v>
      </c>
      <c r="K6" s="95" t="s">
        <v>69</v>
      </c>
      <c r="L6" s="96" t="s">
        <v>70</v>
      </c>
      <c r="M6" s="94" t="s">
        <v>161</v>
      </c>
      <c r="N6" s="95" t="s">
        <v>71</v>
      </c>
      <c r="O6" s="95" t="s">
        <v>72</v>
      </c>
      <c r="P6" s="95" t="s">
        <v>73</v>
      </c>
      <c r="Q6" s="95" t="s">
        <v>74</v>
      </c>
      <c r="R6" s="95" t="s">
        <v>75</v>
      </c>
      <c r="S6" s="148" t="s">
        <v>162</v>
      </c>
      <c r="T6" s="736"/>
      <c r="U6" s="736"/>
      <c r="V6" s="734"/>
    </row>
    <row r="7" spans="1:22">
      <c r="A7" s="97">
        <v>1</v>
      </c>
      <c r="B7" s="1" t="s">
        <v>51</v>
      </c>
      <c r="C7" s="98"/>
      <c r="D7" s="86"/>
      <c r="E7" s="86"/>
      <c r="F7" s="86"/>
      <c r="G7" s="86"/>
      <c r="H7" s="86"/>
      <c r="I7" s="86"/>
      <c r="J7" s="86"/>
      <c r="K7" s="86"/>
      <c r="L7" s="99"/>
      <c r="M7" s="98"/>
      <c r="N7" s="86"/>
      <c r="O7" s="86"/>
      <c r="P7" s="86"/>
      <c r="Q7" s="86"/>
      <c r="R7" s="86"/>
      <c r="S7" s="99"/>
      <c r="T7" s="156"/>
      <c r="U7" s="156"/>
      <c r="V7" s="100">
        <f>SUM(C7:S7)</f>
        <v>0</v>
      </c>
    </row>
    <row r="8" spans="1:22">
      <c r="A8" s="97">
        <v>2</v>
      </c>
      <c r="B8" s="1" t="s">
        <v>52</v>
      </c>
      <c r="C8" s="98"/>
      <c r="D8" s="86"/>
      <c r="E8" s="86"/>
      <c r="F8" s="86"/>
      <c r="G8" s="86"/>
      <c r="H8" s="86"/>
      <c r="I8" s="86"/>
      <c r="J8" s="86"/>
      <c r="K8" s="86"/>
      <c r="L8" s="99"/>
      <c r="M8" s="98"/>
      <c r="N8" s="86"/>
      <c r="O8" s="86"/>
      <c r="P8" s="86"/>
      <c r="Q8" s="86"/>
      <c r="R8" s="86"/>
      <c r="S8" s="99"/>
      <c r="T8" s="156"/>
      <c r="U8" s="156"/>
      <c r="V8" s="100">
        <f t="shared" ref="V8:V20" si="0">SUM(C8:S8)</f>
        <v>0</v>
      </c>
    </row>
    <row r="9" spans="1:22">
      <c r="A9" s="97">
        <v>3</v>
      </c>
      <c r="B9" s="1" t="s">
        <v>153</v>
      </c>
      <c r="C9" s="98"/>
      <c r="D9" s="86"/>
      <c r="E9" s="86"/>
      <c r="F9" s="86"/>
      <c r="G9" s="86"/>
      <c r="H9" s="86"/>
      <c r="I9" s="86"/>
      <c r="J9" s="86"/>
      <c r="K9" s="86"/>
      <c r="L9" s="99"/>
      <c r="M9" s="98"/>
      <c r="N9" s="86"/>
      <c r="O9" s="86"/>
      <c r="P9" s="86"/>
      <c r="Q9" s="86"/>
      <c r="R9" s="86"/>
      <c r="S9" s="99"/>
      <c r="T9" s="156"/>
      <c r="U9" s="156"/>
      <c r="V9" s="100">
        <f t="shared" si="0"/>
        <v>0</v>
      </c>
    </row>
    <row r="10" spans="1:22">
      <c r="A10" s="97">
        <v>4</v>
      </c>
      <c r="B10" s="1" t="s">
        <v>53</v>
      </c>
      <c r="C10" s="98"/>
      <c r="D10" s="86"/>
      <c r="E10" s="86"/>
      <c r="F10" s="86"/>
      <c r="G10" s="86"/>
      <c r="H10" s="86"/>
      <c r="I10" s="86"/>
      <c r="J10" s="86"/>
      <c r="K10" s="86"/>
      <c r="L10" s="99"/>
      <c r="M10" s="98"/>
      <c r="N10" s="86"/>
      <c r="O10" s="86"/>
      <c r="P10" s="86"/>
      <c r="Q10" s="86"/>
      <c r="R10" s="86"/>
      <c r="S10" s="99"/>
      <c r="T10" s="156"/>
      <c r="U10" s="156"/>
      <c r="V10" s="100">
        <f t="shared" si="0"/>
        <v>0</v>
      </c>
    </row>
    <row r="11" spans="1:22">
      <c r="A11" s="97">
        <v>5</v>
      </c>
      <c r="B11" s="1" t="s">
        <v>54</v>
      </c>
      <c r="C11" s="98"/>
      <c r="D11" s="86"/>
      <c r="E11" s="86"/>
      <c r="F11" s="86"/>
      <c r="G11" s="86"/>
      <c r="H11" s="86"/>
      <c r="I11" s="86"/>
      <c r="J11" s="86"/>
      <c r="K11" s="86"/>
      <c r="L11" s="99"/>
      <c r="M11" s="98"/>
      <c r="N11" s="86"/>
      <c r="O11" s="86"/>
      <c r="P11" s="86"/>
      <c r="Q11" s="86"/>
      <c r="R11" s="86"/>
      <c r="S11" s="99"/>
      <c r="T11" s="156"/>
      <c r="U11" s="156"/>
      <c r="V11" s="100">
        <f t="shared" si="0"/>
        <v>0</v>
      </c>
    </row>
    <row r="12" spans="1:22">
      <c r="A12" s="97">
        <v>6</v>
      </c>
      <c r="B12" s="1" t="s">
        <v>55</v>
      </c>
      <c r="C12" s="98"/>
      <c r="D12" s="86"/>
      <c r="E12" s="86"/>
      <c r="F12" s="86"/>
      <c r="G12" s="86"/>
      <c r="H12" s="86"/>
      <c r="I12" s="86"/>
      <c r="J12" s="86"/>
      <c r="K12" s="86"/>
      <c r="L12" s="99"/>
      <c r="M12" s="98"/>
      <c r="N12" s="86"/>
      <c r="O12" s="86"/>
      <c r="P12" s="86"/>
      <c r="Q12" s="86"/>
      <c r="R12" s="86"/>
      <c r="S12" s="99"/>
      <c r="T12" s="156"/>
      <c r="U12" s="156"/>
      <c r="V12" s="100">
        <f t="shared" si="0"/>
        <v>0</v>
      </c>
    </row>
    <row r="13" spans="1:22">
      <c r="A13" s="97">
        <v>7</v>
      </c>
      <c r="B13" s="1" t="s">
        <v>56</v>
      </c>
      <c r="C13" s="98"/>
      <c r="D13" s="86"/>
      <c r="E13" s="86"/>
      <c r="F13" s="86"/>
      <c r="G13" s="86"/>
      <c r="H13" s="86"/>
      <c r="I13" s="86"/>
      <c r="J13" s="86"/>
      <c r="K13" s="86"/>
      <c r="L13" s="99"/>
      <c r="M13" s="98"/>
      <c r="N13" s="86"/>
      <c r="O13" s="86"/>
      <c r="P13" s="86"/>
      <c r="Q13" s="86"/>
      <c r="R13" s="86"/>
      <c r="S13" s="99"/>
      <c r="T13" s="156"/>
      <c r="U13" s="156"/>
      <c r="V13" s="100">
        <f t="shared" si="0"/>
        <v>0</v>
      </c>
    </row>
    <row r="14" spans="1:22">
      <c r="A14" s="97">
        <v>8</v>
      </c>
      <c r="B14" s="1" t="s">
        <v>57</v>
      </c>
      <c r="C14" s="98"/>
      <c r="D14" s="86"/>
      <c r="E14" s="86"/>
      <c r="F14" s="86"/>
      <c r="G14" s="86"/>
      <c r="H14" s="86"/>
      <c r="I14" s="86"/>
      <c r="J14" s="86"/>
      <c r="K14" s="86"/>
      <c r="L14" s="99"/>
      <c r="M14" s="98"/>
      <c r="N14" s="86"/>
      <c r="O14" s="86"/>
      <c r="P14" s="86"/>
      <c r="Q14" s="86"/>
      <c r="R14" s="86"/>
      <c r="S14" s="99"/>
      <c r="T14" s="156"/>
      <c r="U14" s="156"/>
      <c r="V14" s="100">
        <f t="shared" si="0"/>
        <v>0</v>
      </c>
    </row>
    <row r="15" spans="1:22">
      <c r="A15" s="97">
        <v>9</v>
      </c>
      <c r="B15" s="1" t="s">
        <v>58</v>
      </c>
      <c r="C15" s="98"/>
      <c r="D15" s="86"/>
      <c r="E15" s="86"/>
      <c r="F15" s="86"/>
      <c r="G15" s="86"/>
      <c r="H15" s="86"/>
      <c r="I15" s="86"/>
      <c r="J15" s="86"/>
      <c r="K15" s="86"/>
      <c r="L15" s="99"/>
      <c r="M15" s="98"/>
      <c r="N15" s="86"/>
      <c r="O15" s="86"/>
      <c r="P15" s="86"/>
      <c r="Q15" s="86"/>
      <c r="R15" s="86"/>
      <c r="S15" s="99"/>
      <c r="T15" s="156"/>
      <c r="U15" s="156"/>
      <c r="V15" s="100">
        <f t="shared" si="0"/>
        <v>0</v>
      </c>
    </row>
    <row r="16" spans="1:22">
      <c r="A16" s="97">
        <v>10</v>
      </c>
      <c r="B16" s="1" t="s">
        <v>59</v>
      </c>
      <c r="C16" s="98"/>
      <c r="D16" s="86"/>
      <c r="E16" s="86"/>
      <c r="F16" s="86"/>
      <c r="G16" s="86"/>
      <c r="H16" s="86"/>
      <c r="I16" s="86"/>
      <c r="J16" s="86"/>
      <c r="K16" s="86"/>
      <c r="L16" s="99"/>
      <c r="M16" s="98"/>
      <c r="N16" s="86"/>
      <c r="O16" s="86"/>
      <c r="P16" s="86"/>
      <c r="Q16" s="86"/>
      <c r="R16" s="86"/>
      <c r="S16" s="99"/>
      <c r="T16" s="156"/>
      <c r="U16" s="156"/>
      <c r="V16" s="100">
        <f t="shared" si="0"/>
        <v>0</v>
      </c>
    </row>
    <row r="17" spans="1:22">
      <c r="A17" s="97">
        <v>11</v>
      </c>
      <c r="B17" s="1" t="s">
        <v>60</v>
      </c>
      <c r="C17" s="98"/>
      <c r="D17" s="86"/>
      <c r="E17" s="86"/>
      <c r="F17" s="86"/>
      <c r="G17" s="86"/>
      <c r="H17" s="86"/>
      <c r="I17" s="86"/>
      <c r="J17" s="86"/>
      <c r="K17" s="86"/>
      <c r="L17" s="99"/>
      <c r="M17" s="98"/>
      <c r="N17" s="86"/>
      <c r="O17" s="86"/>
      <c r="P17" s="86"/>
      <c r="Q17" s="86"/>
      <c r="R17" s="86"/>
      <c r="S17" s="99"/>
      <c r="T17" s="156"/>
      <c r="U17" s="156"/>
      <c r="V17" s="100">
        <f t="shared" si="0"/>
        <v>0</v>
      </c>
    </row>
    <row r="18" spans="1:22">
      <c r="A18" s="97">
        <v>12</v>
      </c>
      <c r="B18" s="1" t="s">
        <v>61</v>
      </c>
      <c r="C18" s="98"/>
      <c r="D18" s="86"/>
      <c r="E18" s="86"/>
      <c r="F18" s="86"/>
      <c r="G18" s="86"/>
      <c r="H18" s="86"/>
      <c r="I18" s="86"/>
      <c r="J18" s="86"/>
      <c r="K18" s="86"/>
      <c r="L18" s="99"/>
      <c r="M18" s="98"/>
      <c r="N18" s="86"/>
      <c r="O18" s="86"/>
      <c r="P18" s="86"/>
      <c r="Q18" s="86"/>
      <c r="R18" s="86"/>
      <c r="S18" s="99"/>
      <c r="T18" s="156"/>
      <c r="U18" s="156"/>
      <c r="V18" s="100">
        <f t="shared" si="0"/>
        <v>0</v>
      </c>
    </row>
    <row r="19" spans="1:22">
      <c r="A19" s="97">
        <v>13</v>
      </c>
      <c r="B19" s="1" t="s">
        <v>62</v>
      </c>
      <c r="C19" s="98"/>
      <c r="D19" s="86"/>
      <c r="E19" s="86"/>
      <c r="F19" s="86"/>
      <c r="G19" s="86"/>
      <c r="H19" s="86"/>
      <c r="I19" s="86"/>
      <c r="J19" s="86"/>
      <c r="K19" s="86"/>
      <c r="L19" s="99"/>
      <c r="M19" s="98"/>
      <c r="N19" s="86"/>
      <c r="O19" s="86"/>
      <c r="P19" s="86"/>
      <c r="Q19" s="86"/>
      <c r="R19" s="86"/>
      <c r="S19" s="99"/>
      <c r="T19" s="156"/>
      <c r="U19" s="156"/>
      <c r="V19" s="100">
        <f t="shared" si="0"/>
        <v>0</v>
      </c>
    </row>
    <row r="20" spans="1:22">
      <c r="A20" s="97">
        <v>14</v>
      </c>
      <c r="B20" s="1" t="s">
        <v>63</v>
      </c>
      <c r="C20" s="98"/>
      <c r="D20" s="86"/>
      <c r="E20" s="86"/>
      <c r="F20" s="86"/>
      <c r="G20" s="86"/>
      <c r="H20" s="86"/>
      <c r="I20" s="86"/>
      <c r="J20" s="86"/>
      <c r="K20" s="86"/>
      <c r="L20" s="99"/>
      <c r="M20" s="98"/>
      <c r="N20" s="86"/>
      <c r="O20" s="86"/>
      <c r="P20" s="86"/>
      <c r="Q20" s="86"/>
      <c r="R20" s="86"/>
      <c r="S20" s="99"/>
      <c r="T20" s="156"/>
      <c r="U20" s="156"/>
      <c r="V20" s="100">
        <f t="shared" si="0"/>
        <v>0</v>
      </c>
    </row>
    <row r="21" spans="1:22" ht="13.8" thickBot="1">
      <c r="A21" s="87"/>
      <c r="B21" s="101" t="s">
        <v>64</v>
      </c>
      <c r="C21" s="102">
        <f>SUM(C7:C20)</f>
        <v>0</v>
      </c>
      <c r="D21" s="89">
        <f t="shared" ref="D21:V21" si="1">SUM(D7:D20)</f>
        <v>0</v>
      </c>
      <c r="E21" s="89">
        <f t="shared" si="1"/>
        <v>0</v>
      </c>
      <c r="F21" s="89">
        <f t="shared" si="1"/>
        <v>0</v>
      </c>
      <c r="G21" s="89">
        <f t="shared" si="1"/>
        <v>0</v>
      </c>
      <c r="H21" s="89">
        <f t="shared" si="1"/>
        <v>0</v>
      </c>
      <c r="I21" s="89">
        <f t="shared" si="1"/>
        <v>0</v>
      </c>
      <c r="J21" s="89">
        <f t="shared" si="1"/>
        <v>0</v>
      </c>
      <c r="K21" s="89">
        <f t="shared" si="1"/>
        <v>0</v>
      </c>
      <c r="L21" s="103">
        <f t="shared" si="1"/>
        <v>0</v>
      </c>
      <c r="M21" s="102">
        <f t="shared" si="1"/>
        <v>0</v>
      </c>
      <c r="N21" s="89">
        <f t="shared" si="1"/>
        <v>0</v>
      </c>
      <c r="O21" s="89">
        <f t="shared" si="1"/>
        <v>0</v>
      </c>
      <c r="P21" s="89">
        <f t="shared" si="1"/>
        <v>0</v>
      </c>
      <c r="Q21" s="89">
        <f t="shared" si="1"/>
        <v>0</v>
      </c>
      <c r="R21" s="89">
        <f t="shared" si="1"/>
        <v>0</v>
      </c>
      <c r="S21" s="103">
        <f>SUM(S7:S20)</f>
        <v>0</v>
      </c>
      <c r="T21" s="103">
        <f>SUM(T7:T20)</f>
        <v>0</v>
      </c>
      <c r="U21" s="103">
        <f t="shared" ref="U21" si="2">SUM(U7:U20)</f>
        <v>0</v>
      </c>
      <c r="V21" s="104">
        <f t="shared" si="1"/>
        <v>0</v>
      </c>
    </row>
    <row r="24" spans="1:22">
      <c r="C24" s="30"/>
      <c r="D24" s="30"/>
      <c r="E24" s="30"/>
    </row>
    <row r="25" spans="1:22">
      <c r="A25" s="48"/>
      <c r="B25" s="48"/>
      <c r="D25" s="30"/>
      <c r="E25" s="30"/>
    </row>
    <row r="26" spans="1:22">
      <c r="A26" s="48"/>
      <c r="B26" s="31"/>
      <c r="D26" s="30"/>
      <c r="E26" s="30"/>
    </row>
    <row r="27" spans="1:22">
      <c r="A27" s="48"/>
      <c r="B27" s="48"/>
      <c r="D27" s="30"/>
      <c r="E27" s="30"/>
    </row>
    <row r="28" spans="1:22">
      <c r="A28" s="48"/>
      <c r="B28" s="31"/>
      <c r="D28" s="30"/>
      <c r="E28" s="30"/>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G31" sqref="G31"/>
    </sheetView>
  </sheetViews>
  <sheetFormatPr defaultColWidth="9.21875" defaultRowHeight="13.8"/>
  <cols>
    <col min="1" max="1" width="10.5546875" style="4" bestFit="1" customWidth="1"/>
    <col min="2" max="2" width="61.88671875" style="4" bestFit="1" customWidth="1"/>
    <col min="3" max="3" width="13.77734375" style="136" customWidth="1"/>
    <col min="4" max="4" width="14.77734375" style="136" bestFit="1" customWidth="1"/>
    <col min="5" max="5" width="17.77734375" style="136" customWidth="1"/>
    <col min="6" max="6" width="15.77734375" style="136" customWidth="1"/>
    <col min="7" max="7" width="17.44140625" style="136" customWidth="1"/>
    <col min="8" max="8" width="15.21875" style="136" customWidth="1"/>
    <col min="9" max="16384" width="9.21875" style="22"/>
  </cols>
  <sheetData>
    <row r="1" spans="1:9">
      <c r="A1" s="2" t="s">
        <v>30</v>
      </c>
      <c r="B1" s="4" t="str">
        <f>'Info '!C2</f>
        <v>JSC Pave Bank Georgia</v>
      </c>
      <c r="C1" s="3"/>
    </row>
    <row r="2" spans="1:9">
      <c r="A2" s="2" t="s">
        <v>31</v>
      </c>
      <c r="B2" s="272">
        <f>'1. key ratios '!B2</f>
        <v>45747</v>
      </c>
      <c r="C2" s="272"/>
    </row>
    <row r="4" spans="1:9" ht="14.4" thickBot="1">
      <c r="A4" s="2" t="s">
        <v>150</v>
      </c>
      <c r="B4" s="90" t="s">
        <v>239</v>
      </c>
    </row>
    <row r="5" spans="1:9">
      <c r="A5" s="91"/>
      <c r="B5" s="105"/>
      <c r="C5" s="157" t="s">
        <v>0</v>
      </c>
      <c r="D5" s="157" t="s">
        <v>1</v>
      </c>
      <c r="E5" s="157" t="s">
        <v>2</v>
      </c>
      <c r="F5" s="157" t="s">
        <v>3</v>
      </c>
      <c r="G5" s="158" t="s">
        <v>4</v>
      </c>
      <c r="H5" s="159" t="s">
        <v>5</v>
      </c>
      <c r="I5" s="106"/>
    </row>
    <row r="6" spans="1:9" s="106" customFormat="1" ht="12.75" customHeight="1">
      <c r="A6" s="107"/>
      <c r="B6" s="739" t="s">
        <v>149</v>
      </c>
      <c r="C6" s="725" t="s">
        <v>232</v>
      </c>
      <c r="D6" s="741" t="s">
        <v>231</v>
      </c>
      <c r="E6" s="742"/>
      <c r="F6" s="725" t="s">
        <v>236</v>
      </c>
      <c r="G6" s="725" t="s">
        <v>237</v>
      </c>
      <c r="H6" s="737" t="s">
        <v>235</v>
      </c>
    </row>
    <row r="7" spans="1:9" ht="41.4">
      <c r="A7" s="109"/>
      <c r="B7" s="740"/>
      <c r="C7" s="726"/>
      <c r="D7" s="160" t="s">
        <v>234</v>
      </c>
      <c r="E7" s="160" t="s">
        <v>233</v>
      </c>
      <c r="F7" s="726"/>
      <c r="G7" s="726"/>
      <c r="H7" s="738"/>
      <c r="I7" s="106"/>
    </row>
    <row r="8" spans="1:9">
      <c r="A8" s="107">
        <v>1</v>
      </c>
      <c r="B8" s="1" t="s">
        <v>51</v>
      </c>
      <c r="C8" s="161">
        <v>17024432.120000001</v>
      </c>
      <c r="D8" s="161"/>
      <c r="E8" s="161"/>
      <c r="F8" s="161">
        <v>17024432.120000001</v>
      </c>
      <c r="G8" s="162">
        <v>17024432.120000001</v>
      </c>
      <c r="H8" s="164">
        <f>G8/(C8+E8)</f>
        <v>1</v>
      </c>
    </row>
    <row r="9" spans="1:9" ht="15" customHeight="1">
      <c r="A9" s="107">
        <v>2</v>
      </c>
      <c r="B9" s="1" t="s">
        <v>52</v>
      </c>
      <c r="C9" s="161">
        <v>0</v>
      </c>
      <c r="D9" s="161"/>
      <c r="E9" s="161"/>
      <c r="F9" s="161">
        <v>0</v>
      </c>
      <c r="G9" s="162">
        <v>0</v>
      </c>
      <c r="H9" s="164" t="e">
        <f t="shared" ref="H9:H21" si="0">G9/(C9+E9)</f>
        <v>#DIV/0!</v>
      </c>
    </row>
    <row r="10" spans="1:9">
      <c r="A10" s="107">
        <v>3</v>
      </c>
      <c r="B10" s="1" t="s">
        <v>153</v>
      </c>
      <c r="C10" s="161">
        <v>0</v>
      </c>
      <c r="D10" s="161"/>
      <c r="E10" s="161"/>
      <c r="F10" s="161">
        <v>0</v>
      </c>
      <c r="G10" s="162">
        <v>0</v>
      </c>
      <c r="H10" s="164" t="e">
        <f t="shared" si="0"/>
        <v>#DIV/0!</v>
      </c>
    </row>
    <row r="11" spans="1:9">
      <c r="A11" s="107">
        <v>4</v>
      </c>
      <c r="B11" s="1" t="s">
        <v>53</v>
      </c>
      <c r="C11" s="161">
        <v>0</v>
      </c>
      <c r="D11" s="161"/>
      <c r="E11" s="161"/>
      <c r="F11" s="161">
        <v>0</v>
      </c>
      <c r="G11" s="162">
        <v>0</v>
      </c>
      <c r="H11" s="164" t="e">
        <f t="shared" si="0"/>
        <v>#DIV/0!</v>
      </c>
    </row>
    <row r="12" spans="1:9">
      <c r="A12" s="107">
        <v>5</v>
      </c>
      <c r="B12" s="1" t="s">
        <v>54</v>
      </c>
      <c r="C12" s="161">
        <v>0</v>
      </c>
      <c r="D12" s="161"/>
      <c r="E12" s="161"/>
      <c r="F12" s="161">
        <v>0</v>
      </c>
      <c r="G12" s="162">
        <v>0</v>
      </c>
      <c r="H12" s="164" t="e">
        <f t="shared" si="0"/>
        <v>#DIV/0!</v>
      </c>
    </row>
    <row r="13" spans="1:9">
      <c r="A13" s="107">
        <v>6</v>
      </c>
      <c r="B13" s="1" t="s">
        <v>55</v>
      </c>
      <c r="C13" s="161">
        <v>13002401.539999997</v>
      </c>
      <c r="D13" s="161"/>
      <c r="E13" s="161"/>
      <c r="F13" s="161">
        <v>3891592.1699999995</v>
      </c>
      <c r="G13" s="162">
        <v>3891592.1699999995</v>
      </c>
      <c r="H13" s="164">
        <f t="shared" si="0"/>
        <v>0.29929795338407927</v>
      </c>
    </row>
    <row r="14" spans="1:9">
      <c r="A14" s="107">
        <v>7</v>
      </c>
      <c r="B14" s="1" t="s">
        <v>56</v>
      </c>
      <c r="C14" s="161">
        <v>0</v>
      </c>
      <c r="D14" s="161"/>
      <c r="E14" s="161"/>
      <c r="F14" s="161">
        <v>0</v>
      </c>
      <c r="G14" s="162">
        <v>0</v>
      </c>
      <c r="H14" s="164" t="e">
        <f t="shared" si="0"/>
        <v>#DIV/0!</v>
      </c>
    </row>
    <row r="15" spans="1:9">
      <c r="A15" s="107">
        <v>8</v>
      </c>
      <c r="B15" s="1" t="s">
        <v>57</v>
      </c>
      <c r="C15" s="161">
        <v>0</v>
      </c>
      <c r="D15" s="161"/>
      <c r="E15" s="161"/>
      <c r="F15" s="161">
        <v>0</v>
      </c>
      <c r="G15" s="162">
        <v>0</v>
      </c>
      <c r="H15" s="164" t="e">
        <f t="shared" si="0"/>
        <v>#DIV/0!</v>
      </c>
    </row>
    <row r="16" spans="1:9">
      <c r="A16" s="107">
        <v>9</v>
      </c>
      <c r="B16" s="1" t="s">
        <v>58</v>
      </c>
      <c r="C16" s="161">
        <v>0</v>
      </c>
      <c r="D16" s="161"/>
      <c r="E16" s="161"/>
      <c r="F16" s="161">
        <v>0</v>
      </c>
      <c r="G16" s="162">
        <v>0</v>
      </c>
      <c r="H16" s="164" t="e">
        <f t="shared" si="0"/>
        <v>#DIV/0!</v>
      </c>
    </row>
    <row r="17" spans="1:8">
      <c r="A17" s="107">
        <v>10</v>
      </c>
      <c r="B17" s="1" t="s">
        <v>59</v>
      </c>
      <c r="C17" s="161">
        <v>0</v>
      </c>
      <c r="D17" s="161"/>
      <c r="E17" s="161"/>
      <c r="F17" s="161">
        <v>0</v>
      </c>
      <c r="G17" s="162">
        <v>0</v>
      </c>
      <c r="H17" s="164" t="e">
        <f t="shared" si="0"/>
        <v>#DIV/0!</v>
      </c>
    </row>
    <row r="18" spans="1:8">
      <c r="A18" s="107">
        <v>11</v>
      </c>
      <c r="B18" s="1" t="s">
        <v>60</v>
      </c>
      <c r="C18" s="161">
        <v>0</v>
      </c>
      <c r="D18" s="161"/>
      <c r="E18" s="161"/>
      <c r="F18" s="161">
        <v>0</v>
      </c>
      <c r="G18" s="162">
        <v>0</v>
      </c>
      <c r="H18" s="164" t="e">
        <f t="shared" si="0"/>
        <v>#DIV/0!</v>
      </c>
    </row>
    <row r="19" spans="1:8">
      <c r="A19" s="107">
        <v>12</v>
      </c>
      <c r="B19" s="1" t="s">
        <v>61</v>
      </c>
      <c r="C19" s="161">
        <v>0</v>
      </c>
      <c r="D19" s="161"/>
      <c r="E19" s="161"/>
      <c r="F19" s="161">
        <v>0</v>
      </c>
      <c r="G19" s="162">
        <v>0</v>
      </c>
      <c r="H19" s="164" t="e">
        <f t="shared" si="0"/>
        <v>#DIV/0!</v>
      </c>
    </row>
    <row r="20" spans="1:8">
      <c r="A20" s="107">
        <v>13</v>
      </c>
      <c r="B20" s="1" t="s">
        <v>144</v>
      </c>
      <c r="C20" s="161">
        <v>0</v>
      </c>
      <c r="D20" s="161"/>
      <c r="E20" s="161"/>
      <c r="F20" s="161">
        <v>0</v>
      </c>
      <c r="G20" s="162">
        <v>0</v>
      </c>
      <c r="H20" s="164" t="e">
        <f t="shared" si="0"/>
        <v>#DIV/0!</v>
      </c>
    </row>
    <row r="21" spans="1:8">
      <c r="A21" s="107">
        <v>14</v>
      </c>
      <c r="B21" s="1" t="s">
        <v>63</v>
      </c>
      <c r="C21" s="161">
        <v>220233.29000000004</v>
      </c>
      <c r="D21" s="161"/>
      <c r="E21" s="161"/>
      <c r="F21" s="161">
        <v>220233.29000000004</v>
      </c>
      <c r="G21" s="162">
        <v>220233.29000000004</v>
      </c>
      <c r="H21" s="164">
        <f t="shared" si="0"/>
        <v>1</v>
      </c>
    </row>
    <row r="22" spans="1:8" ht="14.4" thickBot="1">
      <c r="A22" s="110"/>
      <c r="B22" s="111" t="s">
        <v>64</v>
      </c>
      <c r="C22" s="163">
        <f>SUM(C8:C21)</f>
        <v>30247066.949999996</v>
      </c>
      <c r="D22" s="163">
        <f>SUM(D8:D21)</f>
        <v>0</v>
      </c>
      <c r="E22" s="163">
        <f>SUM(E8:E21)</f>
        <v>0</v>
      </c>
      <c r="F22" s="163">
        <f>SUM(F8:F21)</f>
        <v>21136257.579999998</v>
      </c>
      <c r="G22" s="163">
        <f>SUM(G8:G21)</f>
        <v>21136257.579999998</v>
      </c>
      <c r="H22" s="165">
        <f>G22/(C22+E22)</f>
        <v>0.69878701346280458</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E7" activePane="bottomRight" state="frozen"/>
      <selection activeCell="B19" sqref="B19"/>
      <selection pane="topRight" activeCell="B19" sqref="B19"/>
      <selection pane="bottomLeft" activeCell="B19" sqref="B19"/>
      <selection pane="bottomRight" activeCell="I31" sqref="I31"/>
    </sheetView>
  </sheetViews>
  <sheetFormatPr defaultColWidth="9.21875" defaultRowHeight="13.8"/>
  <cols>
    <col min="1" max="1" width="10.5546875" style="136" bestFit="1" customWidth="1"/>
    <col min="2" max="2" width="104.21875" style="136" customWidth="1"/>
    <col min="3" max="11" width="12.77734375" style="136" customWidth="1"/>
    <col min="12" max="16384" width="9.21875" style="136"/>
  </cols>
  <sheetData>
    <row r="1" spans="1:11">
      <c r="A1" s="136" t="s">
        <v>30</v>
      </c>
      <c r="B1" s="3" t="str">
        <f>'Info '!C2</f>
        <v>JSC Pave Bank Georgia</v>
      </c>
    </row>
    <row r="2" spans="1:11">
      <c r="A2" s="136" t="s">
        <v>31</v>
      </c>
      <c r="B2" s="272">
        <f>'1. key ratios '!B2</f>
        <v>45747</v>
      </c>
    </row>
    <row r="4" spans="1:11" ht="14.4" thickBot="1">
      <c r="A4" s="136" t="s">
        <v>146</v>
      </c>
      <c r="B4" s="207" t="s">
        <v>240</v>
      </c>
    </row>
    <row r="5" spans="1:11" ht="30" customHeight="1">
      <c r="A5" s="743"/>
      <c r="B5" s="744"/>
      <c r="C5" s="745" t="s">
        <v>292</v>
      </c>
      <c r="D5" s="745"/>
      <c r="E5" s="745"/>
      <c r="F5" s="745" t="s">
        <v>293</v>
      </c>
      <c r="G5" s="745"/>
      <c r="H5" s="745"/>
      <c r="I5" s="745" t="s">
        <v>294</v>
      </c>
      <c r="J5" s="745"/>
      <c r="K5" s="746"/>
    </row>
    <row r="6" spans="1:11">
      <c r="A6" s="176"/>
      <c r="B6" s="177"/>
      <c r="C6" s="24" t="s">
        <v>32</v>
      </c>
      <c r="D6" s="24" t="s">
        <v>33</v>
      </c>
      <c r="E6" s="24" t="s">
        <v>34</v>
      </c>
      <c r="F6" s="24" t="s">
        <v>32</v>
      </c>
      <c r="G6" s="24" t="s">
        <v>33</v>
      </c>
      <c r="H6" s="24" t="s">
        <v>34</v>
      </c>
      <c r="I6" s="24" t="s">
        <v>32</v>
      </c>
      <c r="J6" s="24" t="s">
        <v>33</v>
      </c>
      <c r="K6" s="24" t="s">
        <v>34</v>
      </c>
    </row>
    <row r="7" spans="1:11">
      <c r="A7" s="178" t="s">
        <v>243</v>
      </c>
      <c r="B7" s="179"/>
      <c r="C7" s="179"/>
      <c r="D7" s="179"/>
      <c r="E7" s="179"/>
      <c r="F7" s="179"/>
      <c r="G7" s="179"/>
      <c r="H7" s="179"/>
      <c r="I7" s="179"/>
      <c r="J7" s="179"/>
      <c r="K7" s="180"/>
    </row>
    <row r="8" spans="1:11">
      <c r="A8" s="181">
        <v>1</v>
      </c>
      <c r="B8" s="182" t="s">
        <v>241</v>
      </c>
      <c r="C8" s="183"/>
      <c r="D8" s="183"/>
      <c r="E8" s="183"/>
      <c r="F8" s="666">
        <v>1678265.5260000078</v>
      </c>
      <c r="G8" s="666">
        <v>12444376.365666665</v>
      </c>
      <c r="H8" s="666">
        <v>14122641.891666673</v>
      </c>
      <c r="I8" s="666">
        <v>695361.65377777698</v>
      </c>
      <c r="J8" s="666">
        <v>2994954.5650000055</v>
      </c>
      <c r="K8" s="667">
        <v>3690316.2187777823</v>
      </c>
    </row>
    <row r="9" spans="1:11">
      <c r="A9" s="178" t="s">
        <v>244</v>
      </c>
      <c r="B9" s="179"/>
      <c r="C9" s="179"/>
      <c r="D9" s="179"/>
      <c r="E9" s="179"/>
      <c r="F9" s="668"/>
      <c r="G9" s="668"/>
      <c r="H9" s="668"/>
      <c r="I9" s="668"/>
      <c r="J9" s="668"/>
      <c r="K9" s="669"/>
    </row>
    <row r="10" spans="1:11">
      <c r="A10" s="184">
        <v>2</v>
      </c>
      <c r="B10" s="185" t="s">
        <v>252</v>
      </c>
      <c r="C10" s="185"/>
      <c r="D10" s="186"/>
      <c r="E10" s="670"/>
      <c r="F10" s="670"/>
      <c r="G10" s="670"/>
      <c r="H10" s="670"/>
      <c r="I10" s="670"/>
      <c r="J10" s="670"/>
      <c r="K10" s="671"/>
    </row>
    <row r="11" spans="1:11">
      <c r="A11" s="184">
        <v>3</v>
      </c>
      <c r="B11" s="185" t="s">
        <v>246</v>
      </c>
      <c r="C11" s="185"/>
      <c r="D11" s="186"/>
      <c r="E11" s="670"/>
      <c r="F11" s="670"/>
      <c r="G11" s="670"/>
      <c r="H11" s="670"/>
      <c r="I11" s="670"/>
      <c r="J11" s="670"/>
      <c r="K11" s="671"/>
    </row>
    <row r="12" spans="1:11">
      <c r="A12" s="184">
        <v>4</v>
      </c>
      <c r="B12" s="185" t="s">
        <v>247</v>
      </c>
      <c r="C12" s="185">
        <v>0</v>
      </c>
      <c r="D12" s="186">
        <v>0</v>
      </c>
      <c r="E12" s="670">
        <v>0</v>
      </c>
      <c r="F12" s="670">
        <v>0</v>
      </c>
      <c r="G12" s="670">
        <v>0</v>
      </c>
      <c r="H12" s="670">
        <v>0</v>
      </c>
      <c r="I12" s="670">
        <v>0</v>
      </c>
      <c r="J12" s="670">
        <v>0</v>
      </c>
      <c r="K12" s="671">
        <v>0</v>
      </c>
    </row>
    <row r="13" spans="1:11">
      <c r="A13" s="184">
        <v>5</v>
      </c>
      <c r="B13" s="185" t="s">
        <v>255</v>
      </c>
      <c r="C13" s="185">
        <v>0</v>
      </c>
      <c r="D13" s="186">
        <v>0</v>
      </c>
      <c r="E13" s="670">
        <v>0</v>
      </c>
      <c r="F13" s="670">
        <v>0</v>
      </c>
      <c r="G13" s="670">
        <v>0</v>
      </c>
      <c r="H13" s="670">
        <v>0</v>
      </c>
      <c r="I13" s="670">
        <v>0</v>
      </c>
      <c r="J13" s="670">
        <v>0</v>
      </c>
      <c r="K13" s="671">
        <v>0</v>
      </c>
    </row>
    <row r="14" spans="1:11">
      <c r="A14" s="184">
        <v>6</v>
      </c>
      <c r="B14" s="185" t="s">
        <v>287</v>
      </c>
      <c r="C14" s="185">
        <v>0</v>
      </c>
      <c r="D14" s="186">
        <v>0</v>
      </c>
      <c r="E14" s="670">
        <v>0</v>
      </c>
      <c r="F14" s="670">
        <v>0</v>
      </c>
      <c r="G14" s="670">
        <v>0</v>
      </c>
      <c r="H14" s="670">
        <v>0</v>
      </c>
      <c r="I14" s="670">
        <v>0</v>
      </c>
      <c r="J14" s="670">
        <v>0</v>
      </c>
      <c r="K14" s="671">
        <v>0</v>
      </c>
    </row>
    <row r="15" spans="1:11">
      <c r="A15" s="184">
        <v>7</v>
      </c>
      <c r="B15" s="185" t="s">
        <v>288</v>
      </c>
      <c r="C15" s="185">
        <v>34113.934777781993</v>
      </c>
      <c r="D15" s="186">
        <v>79901.739444445004</v>
      </c>
      <c r="E15" s="670">
        <v>114015.674222227</v>
      </c>
      <c r="F15" s="670">
        <v>3582.443888897003</v>
      </c>
      <c r="G15" s="670">
        <v>14938.550222217002</v>
      </c>
      <c r="H15" s="670">
        <v>18520.994111114003</v>
      </c>
      <c r="I15" s="670">
        <v>3582.443888897003</v>
      </c>
      <c r="J15" s="670">
        <v>14938.550222217002</v>
      </c>
      <c r="K15" s="671">
        <v>18520.994111114003</v>
      </c>
    </row>
    <row r="16" spans="1:11">
      <c r="A16" s="184">
        <v>8</v>
      </c>
      <c r="B16" s="187" t="s">
        <v>248</v>
      </c>
      <c r="C16" s="185">
        <v>1506813.0347777589</v>
      </c>
      <c r="D16" s="186">
        <v>13514914.818333371</v>
      </c>
      <c r="E16" s="670">
        <v>15021727.853111129</v>
      </c>
      <c r="F16" s="670">
        <v>859078.64864443976</v>
      </c>
      <c r="G16" s="670">
        <v>9518272.669438906</v>
      </c>
      <c r="H16" s="670">
        <v>10377351.318083346</v>
      </c>
      <c r="I16" s="670">
        <v>371757.2188888911</v>
      </c>
      <c r="J16" s="670">
        <v>3879233.5870277779</v>
      </c>
      <c r="K16" s="671">
        <v>4250990.8059166688</v>
      </c>
    </row>
    <row r="17" spans="1:11">
      <c r="A17" s="178" t="s">
        <v>245</v>
      </c>
      <c r="B17" s="179"/>
      <c r="C17" s="179"/>
      <c r="D17" s="179"/>
      <c r="E17" s="668"/>
      <c r="F17" s="668"/>
      <c r="G17" s="668"/>
      <c r="H17" s="668"/>
      <c r="I17" s="668"/>
      <c r="J17" s="668"/>
      <c r="K17" s="669"/>
    </row>
    <row r="18" spans="1:11">
      <c r="A18" s="184">
        <v>9</v>
      </c>
      <c r="B18" s="185" t="s">
        <v>251</v>
      </c>
      <c r="C18" s="185"/>
      <c r="D18" s="186"/>
      <c r="E18" s="670"/>
      <c r="F18" s="670"/>
      <c r="G18" s="670"/>
      <c r="H18" s="670"/>
      <c r="I18" s="670"/>
      <c r="J18" s="670"/>
      <c r="K18" s="671"/>
    </row>
    <row r="19" spans="1:11">
      <c r="A19" s="184">
        <v>10</v>
      </c>
      <c r="B19" s="185" t="s">
        <v>289</v>
      </c>
      <c r="C19" s="185">
        <v>7391472.7594444137</v>
      </c>
      <c r="D19" s="186">
        <v>10354946.020333305</v>
      </c>
      <c r="E19" s="670">
        <v>17746418.779777721</v>
      </c>
      <c r="F19" s="670">
        <v>0</v>
      </c>
      <c r="G19" s="670">
        <v>0</v>
      </c>
      <c r="H19" s="670">
        <v>0</v>
      </c>
      <c r="I19" s="670">
        <v>982903.87222223077</v>
      </c>
      <c r="J19" s="670">
        <v>10354946.020333305</v>
      </c>
      <c r="K19" s="671">
        <v>11337849.892555535</v>
      </c>
    </row>
    <row r="20" spans="1:11">
      <c r="A20" s="184">
        <v>11</v>
      </c>
      <c r="B20" s="185" t="s">
        <v>250</v>
      </c>
      <c r="C20" s="185"/>
      <c r="D20" s="186"/>
      <c r="E20" s="670"/>
      <c r="F20" s="670"/>
      <c r="G20" s="670"/>
      <c r="H20" s="670"/>
      <c r="I20" s="670"/>
      <c r="J20" s="670"/>
      <c r="K20" s="671"/>
    </row>
    <row r="21" spans="1:11" ht="14.4" thickBot="1">
      <c r="A21" s="188">
        <v>12</v>
      </c>
      <c r="B21" s="189" t="s">
        <v>249</v>
      </c>
      <c r="C21" s="190">
        <v>7391472.7594444137</v>
      </c>
      <c r="D21" s="191">
        <v>10354946.020333305</v>
      </c>
      <c r="E21" s="674">
        <v>17746418.779777721</v>
      </c>
      <c r="F21" s="672">
        <v>0</v>
      </c>
      <c r="G21" s="672">
        <v>0</v>
      </c>
      <c r="H21" s="672">
        <v>0</v>
      </c>
      <c r="I21" s="672">
        <v>982903.87222223077</v>
      </c>
      <c r="J21" s="672">
        <v>10354946.020333305</v>
      </c>
      <c r="K21" s="673">
        <v>11337849.892555535</v>
      </c>
    </row>
    <row r="22" spans="1:11" ht="38.25" customHeight="1" thickBot="1">
      <c r="A22" s="192"/>
      <c r="B22" s="193"/>
      <c r="C22" s="193"/>
      <c r="D22" s="193"/>
      <c r="E22" s="193"/>
      <c r="F22" s="747" t="s">
        <v>291</v>
      </c>
      <c r="G22" s="745"/>
      <c r="H22" s="745"/>
      <c r="I22" s="747" t="s">
        <v>256</v>
      </c>
      <c r="J22" s="745"/>
      <c r="K22" s="746"/>
    </row>
    <row r="23" spans="1:11">
      <c r="A23" s="194">
        <v>13</v>
      </c>
      <c r="B23" s="195" t="s">
        <v>241</v>
      </c>
      <c r="C23" s="196"/>
      <c r="D23" s="196"/>
      <c r="E23" s="196"/>
      <c r="F23" s="675">
        <v>1678265.5260000078</v>
      </c>
      <c r="G23" s="675">
        <v>12444376.365666665</v>
      </c>
      <c r="H23" s="675">
        <v>14122641.891666673</v>
      </c>
      <c r="I23" s="675">
        <v>695361.65377777698</v>
      </c>
      <c r="J23" s="675">
        <v>2994954.5650000055</v>
      </c>
      <c r="K23" s="676">
        <v>3690316.2187777823</v>
      </c>
    </row>
    <row r="24" spans="1:11" ht="14.4" thickBot="1">
      <c r="A24" s="197">
        <v>14</v>
      </c>
      <c r="B24" s="198" t="s">
        <v>253</v>
      </c>
      <c r="C24" s="199"/>
      <c r="D24" s="200"/>
      <c r="E24" s="201"/>
      <c r="F24" s="677">
        <v>859078.64864443976</v>
      </c>
      <c r="G24" s="677">
        <v>9518272.669438906</v>
      </c>
      <c r="H24" s="677">
        <v>10377351.318083346</v>
      </c>
      <c r="I24" s="677">
        <v>-611146.65333333961</v>
      </c>
      <c r="J24" s="677">
        <v>-6475712.4333055271</v>
      </c>
      <c r="K24" s="678">
        <v>-7086859.086638866</v>
      </c>
    </row>
    <row r="25" spans="1:11" ht="14.4" thickBot="1">
      <c r="A25" s="202">
        <v>15</v>
      </c>
      <c r="B25" s="203" t="s">
        <v>254</v>
      </c>
      <c r="C25" s="204"/>
      <c r="D25" s="204"/>
      <c r="E25" s="204"/>
      <c r="F25" s="205">
        <v>1.9535644712485662</v>
      </c>
      <c r="G25" s="205">
        <v>1.3074196125545803</v>
      </c>
      <c r="H25" s="205">
        <v>1.3609100683578925</v>
      </c>
      <c r="I25" s="205" t="s">
        <v>752</v>
      </c>
      <c r="J25" s="205" t="s">
        <v>752</v>
      </c>
      <c r="K25" s="206" t="s">
        <v>752</v>
      </c>
    </row>
    <row r="27" spans="1:11" ht="27">
      <c r="B27" s="175"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M17" sqref="M17"/>
    </sheetView>
  </sheetViews>
  <sheetFormatPr defaultColWidth="9.21875" defaultRowHeight="13.2"/>
  <cols>
    <col min="1" max="1" width="10.5546875" style="4" bestFit="1" customWidth="1"/>
    <col min="2" max="2" width="51.5546875" style="4" bestFit="1" customWidth="1"/>
    <col min="3" max="3" width="12.5546875" style="4" bestFit="1" customWidth="1"/>
    <col min="4" max="4" width="11.44140625" style="4" customWidth="1"/>
    <col min="5" max="5" width="13.5546875" style="4" customWidth="1"/>
    <col min="6" max="13" width="12.77734375" style="4" customWidth="1"/>
    <col min="14" max="14" width="12.44140625" style="4" customWidth="1"/>
    <col min="15" max="16" width="9.21875" style="22"/>
    <col min="17" max="17" width="44.21875" style="22" customWidth="1"/>
    <col min="18" max="16384" width="9.21875" style="22"/>
  </cols>
  <sheetData>
    <row r="1" spans="1:17" ht="13.8">
      <c r="A1" s="462" t="s">
        <v>717</v>
      </c>
      <c r="B1" s="500" t="str">
        <f>'Info '!C2</f>
        <v>JSC Pave Bank Georgia</v>
      </c>
      <c r="C1" s="500"/>
      <c r="D1" s="500"/>
      <c r="E1" s="500"/>
      <c r="F1" s="500"/>
      <c r="G1" s="500"/>
      <c r="H1" s="500"/>
      <c r="I1" s="500"/>
      <c r="J1" s="500"/>
      <c r="K1" s="500"/>
      <c r="L1" s="500"/>
      <c r="M1" s="500"/>
      <c r="N1" s="500"/>
      <c r="O1" s="154"/>
      <c r="P1" s="154"/>
      <c r="Q1" s="154"/>
    </row>
    <row r="2" spans="1:17" ht="14.25" customHeight="1">
      <c r="A2" s="500" t="s">
        <v>718</v>
      </c>
      <c r="B2" s="463">
        <f>'1. key ratios '!B2</f>
        <v>45747</v>
      </c>
      <c r="C2" s="500"/>
      <c r="D2" s="500"/>
      <c r="E2" s="500"/>
      <c r="F2" s="500"/>
      <c r="G2" s="500"/>
      <c r="H2" s="500"/>
      <c r="I2" s="500"/>
      <c r="J2" s="500"/>
      <c r="K2" s="500"/>
      <c r="L2" s="500"/>
      <c r="M2" s="500"/>
      <c r="N2" s="500"/>
      <c r="O2" s="154"/>
      <c r="P2" s="154"/>
      <c r="Q2" s="154"/>
    </row>
    <row r="3" spans="1:17" ht="14.25" customHeight="1">
      <c r="A3" s="500"/>
      <c r="B3" s="154"/>
      <c r="C3" s="154"/>
      <c r="D3" s="154"/>
      <c r="E3" s="154"/>
      <c r="F3" s="154"/>
      <c r="G3" s="154"/>
      <c r="H3" s="154"/>
      <c r="I3" s="154"/>
      <c r="J3" s="154"/>
      <c r="K3" s="154"/>
      <c r="L3" s="154"/>
      <c r="M3" s="154"/>
      <c r="N3" s="154"/>
      <c r="O3" s="154"/>
      <c r="P3" s="154"/>
      <c r="Q3" s="154"/>
    </row>
    <row r="4" spans="1:17" ht="14.4">
      <c r="A4" s="500"/>
      <c r="B4" s="526" t="s">
        <v>719</v>
      </c>
      <c r="C4" s="154"/>
      <c r="D4" s="154"/>
      <c r="E4" s="154"/>
      <c r="F4" s="154"/>
      <c r="G4" s="154"/>
      <c r="H4" s="154"/>
      <c r="I4" s="154"/>
      <c r="J4" s="154"/>
      <c r="K4" s="154"/>
      <c r="L4" s="154"/>
      <c r="M4" s="154"/>
      <c r="N4" s="154"/>
      <c r="O4" s="154"/>
      <c r="P4" s="154"/>
      <c r="Q4" s="154"/>
    </row>
    <row r="5" spans="1:17" ht="57.6">
      <c r="A5" s="500"/>
      <c r="B5" s="527" t="s">
        <v>720</v>
      </c>
      <c r="C5" s="528" t="s">
        <v>721</v>
      </c>
      <c r="D5" s="528" t="s">
        <v>722</v>
      </c>
      <c r="E5" s="528" t="s">
        <v>723</v>
      </c>
      <c r="F5" s="528" t="s">
        <v>724</v>
      </c>
      <c r="G5" s="528" t="s">
        <v>725</v>
      </c>
      <c r="H5" s="528" t="s">
        <v>726</v>
      </c>
      <c r="I5" s="529" t="s">
        <v>727</v>
      </c>
      <c r="J5" s="530">
        <v>0.02</v>
      </c>
      <c r="K5" s="530">
        <v>0.2</v>
      </c>
      <c r="L5" s="530">
        <v>0.35</v>
      </c>
      <c r="M5" s="530">
        <v>0.5</v>
      </c>
      <c r="N5" s="530">
        <v>0.75</v>
      </c>
      <c r="O5" s="530">
        <v>1</v>
      </c>
      <c r="P5" s="530">
        <v>1.5</v>
      </c>
      <c r="Q5" s="531" t="s">
        <v>728</v>
      </c>
    </row>
    <row r="6" spans="1:17" ht="14.4">
      <c r="A6" s="500"/>
      <c r="B6" s="532"/>
      <c r="C6" s="533" t="b">
        <f>IF(C7&gt;0,C7,IF(C8&gt;0,C8,IF(C9&gt;0,C9)))</f>
        <v>0</v>
      </c>
      <c r="D6" s="533" t="b">
        <f t="shared" ref="D6:Q6" si="0">IF(D7&gt;0,D7,IF(D8&gt;0,D8,IF(D9&gt;0,D9)))</f>
        <v>0</v>
      </c>
      <c r="E6" s="533" t="b">
        <f t="shared" si="0"/>
        <v>0</v>
      </c>
      <c r="F6" s="533" t="b">
        <f t="shared" si="0"/>
        <v>0</v>
      </c>
      <c r="G6" s="533" t="b">
        <f t="shared" si="0"/>
        <v>0</v>
      </c>
      <c r="H6" s="533"/>
      <c r="I6" s="533" t="b">
        <f t="shared" si="0"/>
        <v>0</v>
      </c>
      <c r="J6" s="533" t="b">
        <f t="shared" si="0"/>
        <v>0</v>
      </c>
      <c r="K6" s="533" t="b">
        <f t="shared" si="0"/>
        <v>0</v>
      </c>
      <c r="L6" s="533" t="b">
        <f t="shared" si="0"/>
        <v>0</v>
      </c>
      <c r="M6" s="533" t="b">
        <f t="shared" si="0"/>
        <v>0</v>
      </c>
      <c r="N6" s="533" t="b">
        <f t="shared" si="0"/>
        <v>0</v>
      </c>
      <c r="O6" s="533" t="b">
        <f t="shared" si="0"/>
        <v>0</v>
      </c>
      <c r="P6" s="533" t="b">
        <f t="shared" si="0"/>
        <v>0</v>
      </c>
      <c r="Q6" s="533" t="b">
        <f t="shared" si="0"/>
        <v>0</v>
      </c>
    </row>
    <row r="7" spans="1:17" ht="14.4">
      <c r="A7" s="500"/>
      <c r="B7" s="534" t="s">
        <v>729</v>
      </c>
      <c r="C7" s="533">
        <f>C11+C15+C19+C23+C27+C31</f>
        <v>0</v>
      </c>
      <c r="D7" s="533"/>
      <c r="E7" s="533"/>
      <c r="F7" s="533">
        <f t="shared" ref="F7:G9" si="1">F11+F15+F19+F23+F27+F31</f>
        <v>0</v>
      </c>
      <c r="G7" s="533">
        <f t="shared" si="1"/>
        <v>0</v>
      </c>
      <c r="H7" s="535">
        <v>1.4</v>
      </c>
      <c r="I7" s="536">
        <f t="shared" ref="I7:I33" si="2">(F7+G7)*H7</f>
        <v>0</v>
      </c>
      <c r="J7" s="533">
        <f>J11+J15+J19+J23+J27+J31</f>
        <v>0</v>
      </c>
      <c r="K7" s="533">
        <f t="shared" ref="J7:Q9" si="3">K11+K15+K19+K23+K27+K31</f>
        <v>0</v>
      </c>
      <c r="L7" s="533">
        <f t="shared" si="3"/>
        <v>0</v>
      </c>
      <c r="M7" s="533">
        <f t="shared" si="3"/>
        <v>0</v>
      </c>
      <c r="N7" s="533">
        <f t="shared" si="3"/>
        <v>0</v>
      </c>
      <c r="O7" s="533">
        <f t="shared" si="3"/>
        <v>0</v>
      </c>
      <c r="P7" s="533">
        <f t="shared" si="3"/>
        <v>0</v>
      </c>
      <c r="Q7" s="533">
        <f>Q11+Q15+Q19+Q23+Q27+Q31</f>
        <v>0</v>
      </c>
    </row>
    <row r="8" spans="1:17" ht="14.4">
      <c r="A8" s="500"/>
      <c r="B8" s="534" t="s">
        <v>730</v>
      </c>
      <c r="C8" s="533">
        <f>C12+C16+C20+C24+C28+C32</f>
        <v>0</v>
      </c>
      <c r="D8" s="533"/>
      <c r="E8" s="533"/>
      <c r="F8" s="533">
        <f t="shared" si="1"/>
        <v>0</v>
      </c>
      <c r="G8" s="533">
        <f t="shared" si="1"/>
        <v>0</v>
      </c>
      <c r="H8" s="535">
        <v>1.4</v>
      </c>
      <c r="I8" s="536">
        <f t="shared" si="2"/>
        <v>0</v>
      </c>
      <c r="J8" s="533">
        <f t="shared" si="3"/>
        <v>0</v>
      </c>
      <c r="K8" s="533">
        <f t="shared" si="3"/>
        <v>0</v>
      </c>
      <c r="L8" s="533">
        <f t="shared" si="3"/>
        <v>0</v>
      </c>
      <c r="M8" s="533">
        <f t="shared" si="3"/>
        <v>0</v>
      </c>
      <c r="N8" s="533">
        <f t="shared" si="3"/>
        <v>0</v>
      </c>
      <c r="O8" s="533">
        <f t="shared" si="3"/>
        <v>0</v>
      </c>
      <c r="P8" s="533">
        <f t="shared" si="3"/>
        <v>0</v>
      </c>
      <c r="Q8" s="533">
        <f>Q12+Q16+Q20+Q24+Q28+Q32</f>
        <v>0</v>
      </c>
    </row>
    <row r="9" spans="1:17" ht="14.4">
      <c r="A9" s="500"/>
      <c r="B9" s="534" t="s">
        <v>737</v>
      </c>
      <c r="C9" s="533">
        <f>C13+C17+C21+C25+C29+C33</f>
        <v>0</v>
      </c>
      <c r="D9" s="533"/>
      <c r="E9" s="533"/>
      <c r="F9" s="533">
        <f t="shared" si="1"/>
        <v>0</v>
      </c>
      <c r="G9" s="533">
        <f t="shared" si="1"/>
        <v>0</v>
      </c>
      <c r="H9" s="535">
        <v>1.4</v>
      </c>
      <c r="I9" s="536">
        <f t="shared" si="2"/>
        <v>0</v>
      </c>
      <c r="J9" s="533">
        <f t="shared" si="3"/>
        <v>0</v>
      </c>
      <c r="K9" s="533">
        <f t="shared" si="3"/>
        <v>0</v>
      </c>
      <c r="L9" s="533">
        <f t="shared" si="3"/>
        <v>0</v>
      </c>
      <c r="M9" s="533">
        <f t="shared" si="3"/>
        <v>0</v>
      </c>
      <c r="N9" s="533">
        <f t="shared" si="3"/>
        <v>0</v>
      </c>
      <c r="O9" s="533">
        <f t="shared" si="3"/>
        <v>0</v>
      </c>
      <c r="P9" s="533">
        <f t="shared" si="3"/>
        <v>0</v>
      </c>
      <c r="Q9" s="533">
        <f t="shared" si="3"/>
        <v>0</v>
      </c>
    </row>
    <row r="10" spans="1:17" ht="14.4">
      <c r="A10" s="500"/>
      <c r="B10" s="537" t="s">
        <v>731</v>
      </c>
      <c r="C10" s="538"/>
      <c r="D10" s="538"/>
      <c r="E10" s="538"/>
      <c r="F10" s="538"/>
      <c r="G10" s="538"/>
      <c r="H10" s="535">
        <v>1.4</v>
      </c>
      <c r="I10" s="536">
        <f t="shared" si="2"/>
        <v>0</v>
      </c>
      <c r="J10" s="539"/>
      <c r="K10" s="539"/>
      <c r="L10" s="539"/>
      <c r="M10" s="539"/>
      <c r="N10" s="539"/>
      <c r="O10" s="539"/>
      <c r="P10" s="539"/>
      <c r="Q10" s="533">
        <f>SUM(Q11:Q13)</f>
        <v>0</v>
      </c>
    </row>
    <row r="11" spans="1:17" ht="14.4">
      <c r="A11" s="500"/>
      <c r="B11" s="540" t="s">
        <v>729</v>
      </c>
      <c r="C11" s="538"/>
      <c r="D11" s="538"/>
      <c r="E11" s="538"/>
      <c r="F11" s="538"/>
      <c r="G11" s="538"/>
      <c r="H11" s="535">
        <v>1.4</v>
      </c>
      <c r="I11" s="536">
        <f t="shared" si="2"/>
        <v>0</v>
      </c>
      <c r="J11" s="539"/>
      <c r="K11" s="539"/>
      <c r="L11" s="539"/>
      <c r="M11" s="539"/>
      <c r="N11" s="539"/>
      <c r="O11" s="539"/>
      <c r="P11" s="539"/>
      <c r="Q11" s="533">
        <f>SUMPRODUCT($J$5:$P$5,J11:P11)</f>
        <v>0</v>
      </c>
    </row>
    <row r="12" spans="1:17" ht="14.4">
      <c r="A12" s="500"/>
      <c r="B12" s="540" t="s">
        <v>730</v>
      </c>
      <c r="C12" s="538"/>
      <c r="D12" s="538"/>
      <c r="E12" s="538"/>
      <c r="F12" s="538"/>
      <c r="G12" s="538"/>
      <c r="H12" s="535">
        <v>1.4</v>
      </c>
      <c r="I12" s="536">
        <f t="shared" si="2"/>
        <v>0</v>
      </c>
      <c r="J12" s="539"/>
      <c r="K12" s="539"/>
      <c r="L12" s="539"/>
      <c r="M12" s="539"/>
      <c r="N12" s="539"/>
      <c r="O12" s="539"/>
      <c r="P12" s="539"/>
      <c r="Q12" s="533">
        <f t="shared" ref="Q12:Q13" si="4">SUMPRODUCT($J$5:$P$5,J12:P12)</f>
        <v>0</v>
      </c>
    </row>
    <row r="13" spans="1:17" ht="14.4">
      <c r="A13" s="500"/>
      <c r="B13" s="540" t="s">
        <v>737</v>
      </c>
      <c r="C13" s="538"/>
      <c r="D13" s="538"/>
      <c r="E13" s="538"/>
      <c r="F13" s="538"/>
      <c r="G13" s="538"/>
      <c r="H13" s="535">
        <v>1.4</v>
      </c>
      <c r="I13" s="536">
        <f t="shared" si="2"/>
        <v>0</v>
      </c>
      <c r="J13" s="539"/>
      <c r="K13" s="539"/>
      <c r="L13" s="539"/>
      <c r="M13" s="539"/>
      <c r="N13" s="539"/>
      <c r="O13" s="539"/>
      <c r="P13" s="539"/>
      <c r="Q13" s="533">
        <f t="shared" si="4"/>
        <v>0</v>
      </c>
    </row>
    <row r="14" spans="1:17" ht="14.4">
      <c r="A14" s="500"/>
      <c r="B14" s="537" t="s">
        <v>732</v>
      </c>
      <c r="C14" s="538"/>
      <c r="D14" s="538"/>
      <c r="E14" s="538"/>
      <c r="F14" s="538"/>
      <c r="G14" s="538"/>
      <c r="H14" s="535">
        <v>1.4</v>
      </c>
      <c r="I14" s="536">
        <f t="shared" si="2"/>
        <v>0</v>
      </c>
      <c r="J14" s="539"/>
      <c r="K14" s="539"/>
      <c r="L14" s="539"/>
      <c r="M14" s="539"/>
      <c r="N14" s="539"/>
      <c r="O14" s="539"/>
      <c r="P14" s="539"/>
      <c r="Q14" s="533">
        <f>SUM(Q15:Q17)</f>
        <v>0</v>
      </c>
    </row>
    <row r="15" spans="1:17" ht="14.4">
      <c r="A15" s="500"/>
      <c r="B15" s="540" t="s">
        <v>729</v>
      </c>
      <c r="C15" s="538"/>
      <c r="D15" s="538"/>
      <c r="E15" s="538"/>
      <c r="F15" s="538"/>
      <c r="G15" s="538"/>
      <c r="H15" s="535">
        <v>1.4</v>
      </c>
      <c r="I15" s="536">
        <f t="shared" si="2"/>
        <v>0</v>
      </c>
      <c r="J15" s="539"/>
      <c r="K15" s="539"/>
      <c r="L15" s="539"/>
      <c r="M15" s="539"/>
      <c r="N15" s="539"/>
      <c r="O15" s="539"/>
      <c r="P15" s="539"/>
      <c r="Q15" s="533">
        <f>SUMPRODUCT($J$5:$P$5,J15:P15)</f>
        <v>0</v>
      </c>
    </row>
    <row r="16" spans="1:17" ht="14.4">
      <c r="A16" s="500"/>
      <c r="B16" s="540" t="s">
        <v>730</v>
      </c>
      <c r="C16" s="538"/>
      <c r="D16" s="538"/>
      <c r="E16" s="538"/>
      <c r="F16" s="538"/>
      <c r="G16" s="538"/>
      <c r="H16" s="535">
        <v>1.4</v>
      </c>
      <c r="I16" s="536">
        <f t="shared" si="2"/>
        <v>0</v>
      </c>
      <c r="J16" s="539"/>
      <c r="K16" s="539"/>
      <c r="L16" s="539"/>
      <c r="M16" s="539"/>
      <c r="N16" s="539"/>
      <c r="O16" s="539"/>
      <c r="P16" s="539"/>
      <c r="Q16" s="533">
        <f t="shared" ref="Q16:Q17" si="5">SUMPRODUCT($J$5:$P$5,J16:P16)</f>
        <v>0</v>
      </c>
    </row>
    <row r="17" spans="1:17" ht="14.4">
      <c r="A17" s="500"/>
      <c r="B17" s="540" t="s">
        <v>737</v>
      </c>
      <c r="C17" s="538"/>
      <c r="D17" s="538"/>
      <c r="E17" s="538"/>
      <c r="F17" s="538"/>
      <c r="G17" s="538"/>
      <c r="H17" s="535">
        <v>1.4</v>
      </c>
      <c r="I17" s="536">
        <f t="shared" si="2"/>
        <v>0</v>
      </c>
      <c r="J17" s="539"/>
      <c r="K17" s="539"/>
      <c r="L17" s="539"/>
      <c r="M17" s="539"/>
      <c r="N17" s="539"/>
      <c r="O17" s="539"/>
      <c r="P17" s="539"/>
      <c r="Q17" s="533">
        <f t="shared" si="5"/>
        <v>0</v>
      </c>
    </row>
    <row r="18" spans="1:17" ht="14.4">
      <c r="A18" s="500"/>
      <c r="B18" s="537" t="s">
        <v>733</v>
      </c>
      <c r="C18" s="538"/>
      <c r="D18" s="538"/>
      <c r="E18" s="538"/>
      <c r="F18" s="538"/>
      <c r="G18" s="538"/>
      <c r="H18" s="535">
        <v>1.4</v>
      </c>
      <c r="I18" s="536">
        <f t="shared" si="2"/>
        <v>0</v>
      </c>
      <c r="J18" s="539"/>
      <c r="K18" s="539"/>
      <c r="L18" s="539"/>
      <c r="M18" s="539"/>
      <c r="N18" s="539"/>
      <c r="O18" s="539"/>
      <c r="P18" s="539"/>
      <c r="Q18" s="533">
        <f>SUM(Q19:Q21)</f>
        <v>0</v>
      </c>
    </row>
    <row r="19" spans="1:17" ht="14.4">
      <c r="A19" s="500"/>
      <c r="B19" s="540" t="s">
        <v>729</v>
      </c>
      <c r="C19" s="538"/>
      <c r="D19" s="538"/>
      <c r="E19" s="538"/>
      <c r="F19" s="538"/>
      <c r="G19" s="538"/>
      <c r="H19" s="535">
        <v>1.4</v>
      </c>
      <c r="I19" s="536">
        <f t="shared" si="2"/>
        <v>0</v>
      </c>
      <c r="J19" s="539"/>
      <c r="K19" s="539"/>
      <c r="L19" s="539"/>
      <c r="M19" s="539"/>
      <c r="N19" s="539"/>
      <c r="O19" s="539"/>
      <c r="P19" s="539"/>
      <c r="Q19" s="533">
        <f>SUMPRODUCT($J$5:$P$5,J19:P19)</f>
        <v>0</v>
      </c>
    </row>
    <row r="20" spans="1:17" ht="14.4">
      <c r="A20" s="500"/>
      <c r="B20" s="540" t="s">
        <v>730</v>
      </c>
      <c r="C20" s="538"/>
      <c r="D20" s="538"/>
      <c r="E20" s="538"/>
      <c r="F20" s="538"/>
      <c r="G20" s="538"/>
      <c r="H20" s="535">
        <v>1.4</v>
      </c>
      <c r="I20" s="536">
        <f t="shared" si="2"/>
        <v>0</v>
      </c>
      <c r="J20" s="539"/>
      <c r="K20" s="539"/>
      <c r="L20" s="539"/>
      <c r="M20" s="539"/>
      <c r="N20" s="539"/>
      <c r="O20" s="539"/>
      <c r="P20" s="539"/>
      <c r="Q20" s="533">
        <f t="shared" ref="Q20:Q21" si="6">SUMPRODUCT($J$5:$P$5,J20:P20)</f>
        <v>0</v>
      </c>
    </row>
    <row r="21" spans="1:17" ht="14.4">
      <c r="A21" s="500"/>
      <c r="B21" s="540" t="s">
        <v>737</v>
      </c>
      <c r="C21" s="538"/>
      <c r="D21" s="538"/>
      <c r="E21" s="538"/>
      <c r="F21" s="538"/>
      <c r="G21" s="538"/>
      <c r="H21" s="535">
        <v>1.4</v>
      </c>
      <c r="I21" s="536">
        <f t="shared" si="2"/>
        <v>0</v>
      </c>
      <c r="J21" s="539"/>
      <c r="K21" s="539"/>
      <c r="L21" s="539"/>
      <c r="M21" s="539"/>
      <c r="N21" s="539"/>
      <c r="O21" s="539"/>
      <c r="P21" s="539"/>
      <c r="Q21" s="533">
        <f t="shared" si="6"/>
        <v>0</v>
      </c>
    </row>
    <row r="22" spans="1:17" ht="14.4">
      <c r="A22" s="500"/>
      <c r="B22" s="537" t="s">
        <v>734</v>
      </c>
      <c r="C22" s="538"/>
      <c r="D22" s="538"/>
      <c r="E22" s="538"/>
      <c r="F22" s="538"/>
      <c r="G22" s="538"/>
      <c r="H22" s="535">
        <v>1.4</v>
      </c>
      <c r="I22" s="536">
        <f t="shared" si="2"/>
        <v>0</v>
      </c>
      <c r="J22" s="539"/>
      <c r="K22" s="539"/>
      <c r="L22" s="539"/>
      <c r="M22" s="539"/>
      <c r="N22" s="539"/>
      <c r="O22" s="539"/>
      <c r="P22" s="539"/>
      <c r="Q22" s="533">
        <f>SUM(Q23:Q25)</f>
        <v>0</v>
      </c>
    </row>
    <row r="23" spans="1:17" ht="14.4">
      <c r="A23" s="500"/>
      <c r="B23" s="540" t="s">
        <v>729</v>
      </c>
      <c r="C23" s="538"/>
      <c r="D23" s="538"/>
      <c r="E23" s="538"/>
      <c r="F23" s="538"/>
      <c r="G23" s="538"/>
      <c r="H23" s="535">
        <v>1.4</v>
      </c>
      <c r="I23" s="536">
        <f t="shared" si="2"/>
        <v>0</v>
      </c>
      <c r="J23" s="539"/>
      <c r="K23" s="539"/>
      <c r="L23" s="539"/>
      <c r="M23" s="539"/>
      <c r="N23" s="539"/>
      <c r="O23" s="539"/>
      <c r="P23" s="539"/>
      <c r="Q23" s="533">
        <f>SUMPRODUCT($J$5:$P$5,J23:P23)</f>
        <v>0</v>
      </c>
    </row>
    <row r="24" spans="1:17" ht="14.4">
      <c r="A24" s="500"/>
      <c r="B24" s="540" t="s">
        <v>730</v>
      </c>
      <c r="C24" s="538"/>
      <c r="D24" s="538"/>
      <c r="E24" s="538"/>
      <c r="F24" s="538"/>
      <c r="G24" s="538"/>
      <c r="H24" s="535">
        <v>1.4</v>
      </c>
      <c r="I24" s="536">
        <f t="shared" si="2"/>
        <v>0</v>
      </c>
      <c r="J24" s="539"/>
      <c r="K24" s="539"/>
      <c r="L24" s="539"/>
      <c r="M24" s="539"/>
      <c r="N24" s="539"/>
      <c r="O24" s="539"/>
      <c r="P24" s="539"/>
      <c r="Q24" s="533">
        <f t="shared" ref="Q24:Q25" si="7">SUMPRODUCT($J$5:$P$5,J24:P24)</f>
        <v>0</v>
      </c>
    </row>
    <row r="25" spans="1:17" ht="14.4">
      <c r="A25" s="500"/>
      <c r="B25" s="540" t="s">
        <v>737</v>
      </c>
      <c r="C25" s="538"/>
      <c r="D25" s="538"/>
      <c r="E25" s="538"/>
      <c r="F25" s="538"/>
      <c r="G25" s="538"/>
      <c r="H25" s="535">
        <v>1.4</v>
      </c>
      <c r="I25" s="536">
        <f t="shared" si="2"/>
        <v>0</v>
      </c>
      <c r="J25" s="539"/>
      <c r="K25" s="539"/>
      <c r="L25" s="539"/>
      <c r="M25" s="539"/>
      <c r="N25" s="539"/>
      <c r="O25" s="539"/>
      <c r="P25" s="539"/>
      <c r="Q25" s="533">
        <f t="shared" si="7"/>
        <v>0</v>
      </c>
    </row>
    <row r="26" spans="1:17" ht="14.4">
      <c r="A26" s="500"/>
      <c r="B26" s="537" t="s">
        <v>735</v>
      </c>
      <c r="C26" s="538"/>
      <c r="D26" s="538"/>
      <c r="E26" s="538"/>
      <c r="F26" s="538"/>
      <c r="G26" s="538"/>
      <c r="H26" s="535">
        <v>1.4</v>
      </c>
      <c r="I26" s="536">
        <f t="shared" si="2"/>
        <v>0</v>
      </c>
      <c r="J26" s="539"/>
      <c r="K26" s="539"/>
      <c r="L26" s="539"/>
      <c r="M26" s="539"/>
      <c r="N26" s="539"/>
      <c r="O26" s="539"/>
      <c r="P26" s="539"/>
      <c r="Q26" s="533">
        <f>SUM(Q27:Q29)</f>
        <v>0</v>
      </c>
    </row>
    <row r="27" spans="1:17" ht="14.4">
      <c r="A27" s="500"/>
      <c r="B27" s="540" t="s">
        <v>729</v>
      </c>
      <c r="C27" s="538"/>
      <c r="D27" s="538"/>
      <c r="E27" s="538"/>
      <c r="F27" s="538"/>
      <c r="G27" s="538"/>
      <c r="H27" s="535">
        <v>1.4</v>
      </c>
      <c r="I27" s="536">
        <f t="shared" si="2"/>
        <v>0</v>
      </c>
      <c r="J27" s="539"/>
      <c r="K27" s="539"/>
      <c r="L27" s="539"/>
      <c r="M27" s="539"/>
      <c r="N27" s="539"/>
      <c r="O27" s="539"/>
      <c r="P27" s="539"/>
      <c r="Q27" s="533">
        <f>SUMPRODUCT($J$5:$P$5,J27:P27)</f>
        <v>0</v>
      </c>
    </row>
    <row r="28" spans="1:17" ht="14.4">
      <c r="A28" s="500"/>
      <c r="B28" s="540" t="s">
        <v>730</v>
      </c>
      <c r="C28" s="538"/>
      <c r="D28" s="538"/>
      <c r="E28" s="538"/>
      <c r="F28" s="538"/>
      <c r="G28" s="538"/>
      <c r="H28" s="535">
        <v>1.4</v>
      </c>
      <c r="I28" s="536">
        <f t="shared" si="2"/>
        <v>0</v>
      </c>
      <c r="J28" s="539"/>
      <c r="K28" s="539"/>
      <c r="L28" s="539"/>
      <c r="M28" s="539"/>
      <c r="N28" s="539"/>
      <c r="O28" s="539"/>
      <c r="P28" s="539"/>
      <c r="Q28" s="533">
        <f t="shared" ref="Q28:Q29" si="8">SUMPRODUCT($J$5:$P$5,J28:P28)</f>
        <v>0</v>
      </c>
    </row>
    <row r="29" spans="1:17" ht="14.4">
      <c r="A29" s="500"/>
      <c r="B29" s="540" t="s">
        <v>737</v>
      </c>
      <c r="C29" s="538"/>
      <c r="D29" s="538"/>
      <c r="E29" s="538"/>
      <c r="F29" s="538"/>
      <c r="G29" s="538"/>
      <c r="H29" s="535">
        <v>1.4</v>
      </c>
      <c r="I29" s="536">
        <f t="shared" si="2"/>
        <v>0</v>
      </c>
      <c r="J29" s="539"/>
      <c r="K29" s="539"/>
      <c r="L29" s="539"/>
      <c r="M29" s="539"/>
      <c r="N29" s="539"/>
      <c r="O29" s="539"/>
      <c r="P29" s="539"/>
      <c r="Q29" s="533">
        <f t="shared" si="8"/>
        <v>0</v>
      </c>
    </row>
    <row r="30" spans="1:17" ht="14.4">
      <c r="A30" s="500"/>
      <c r="B30" s="541" t="s">
        <v>736</v>
      </c>
      <c r="C30" s="538"/>
      <c r="D30" s="538"/>
      <c r="E30" s="538"/>
      <c r="F30" s="538"/>
      <c r="G30" s="538"/>
      <c r="H30" s="535">
        <v>1.4</v>
      </c>
      <c r="I30" s="536">
        <f t="shared" si="2"/>
        <v>0</v>
      </c>
      <c r="J30" s="539"/>
      <c r="K30" s="539"/>
      <c r="L30" s="539"/>
      <c r="M30" s="539"/>
      <c r="N30" s="539"/>
      <c r="O30" s="539"/>
      <c r="P30" s="539"/>
      <c r="Q30" s="533">
        <f>SUM(Q31:Q33)</f>
        <v>0</v>
      </c>
    </row>
    <row r="31" spans="1:17" ht="14.4">
      <c r="A31" s="500"/>
      <c r="B31" s="540" t="s">
        <v>729</v>
      </c>
      <c r="C31" s="538"/>
      <c r="D31" s="538"/>
      <c r="E31" s="538"/>
      <c r="F31" s="538"/>
      <c r="G31" s="538"/>
      <c r="H31" s="535">
        <v>1.4</v>
      </c>
      <c r="I31" s="536">
        <f t="shared" si="2"/>
        <v>0</v>
      </c>
      <c r="J31" s="539"/>
      <c r="K31" s="539"/>
      <c r="L31" s="539"/>
      <c r="M31" s="539"/>
      <c r="N31" s="539"/>
      <c r="O31" s="539"/>
      <c r="P31" s="539"/>
      <c r="Q31" s="533">
        <f>SUMPRODUCT($J$5:$P$5,J31:P31)</f>
        <v>0</v>
      </c>
    </row>
    <row r="32" spans="1:17" ht="14.4">
      <c r="A32" s="500"/>
      <c r="B32" s="540" t="s">
        <v>730</v>
      </c>
      <c r="C32" s="538"/>
      <c r="D32" s="538"/>
      <c r="E32" s="538"/>
      <c r="F32" s="538"/>
      <c r="G32" s="538"/>
      <c r="H32" s="535">
        <v>1.4</v>
      </c>
      <c r="I32" s="536">
        <f t="shared" si="2"/>
        <v>0</v>
      </c>
      <c r="J32" s="539"/>
      <c r="K32" s="539"/>
      <c r="L32" s="539"/>
      <c r="M32" s="539"/>
      <c r="N32" s="539"/>
      <c r="O32" s="539"/>
      <c r="P32" s="539"/>
      <c r="Q32" s="533">
        <f t="shared" ref="Q32:Q33" si="9">SUMPRODUCT($J$5:$P$5,J32:P32)</f>
        <v>0</v>
      </c>
    </row>
    <row r="33" spans="1:17" ht="14.4">
      <c r="A33" s="500"/>
      <c r="B33" s="540" t="s">
        <v>737</v>
      </c>
      <c r="C33" s="538"/>
      <c r="D33" s="538"/>
      <c r="E33" s="538"/>
      <c r="F33" s="538"/>
      <c r="G33" s="538"/>
      <c r="H33" s="535">
        <v>1.4</v>
      </c>
      <c r="I33" s="536">
        <f t="shared" si="2"/>
        <v>0</v>
      </c>
      <c r="J33" s="539"/>
      <c r="K33" s="539"/>
      <c r="L33" s="539"/>
      <c r="M33" s="539"/>
      <c r="N33" s="539"/>
      <c r="O33" s="539"/>
      <c r="P33" s="539"/>
      <c r="Q33" s="533">
        <f t="shared" si="9"/>
        <v>0</v>
      </c>
    </row>
    <row r="34" spans="1:17" ht="14.4">
      <c r="A34" s="500"/>
      <c r="B34" s="542" t="s">
        <v>64</v>
      </c>
      <c r="C34" s="543" t="b">
        <f>C6</f>
        <v>0</v>
      </c>
      <c r="D34" s="543" t="b">
        <f t="shared" ref="D34:G34" si="10">D6</f>
        <v>0</v>
      </c>
      <c r="E34" s="543" t="b">
        <f t="shared" si="10"/>
        <v>0</v>
      </c>
      <c r="F34" s="543" t="b">
        <f t="shared" si="10"/>
        <v>0</v>
      </c>
      <c r="G34" s="543" t="b">
        <f t="shared" si="10"/>
        <v>0</v>
      </c>
      <c r="H34" s="535">
        <v>1.4</v>
      </c>
      <c r="I34" s="536">
        <f>(F34+G34)*H34</f>
        <v>0</v>
      </c>
      <c r="J34" s="543" t="b">
        <f t="shared" ref="J34:Q34" si="11">J6</f>
        <v>0</v>
      </c>
      <c r="K34" s="543" t="b">
        <f t="shared" si="11"/>
        <v>0</v>
      </c>
      <c r="L34" s="543" t="b">
        <f t="shared" si="11"/>
        <v>0</v>
      </c>
      <c r="M34" s="543" t="b">
        <f t="shared" si="11"/>
        <v>0</v>
      </c>
      <c r="N34" s="543" t="b">
        <f t="shared" si="11"/>
        <v>0</v>
      </c>
      <c r="O34" s="543" t="b">
        <f t="shared" si="11"/>
        <v>0</v>
      </c>
      <c r="P34" s="543" t="b">
        <f t="shared" si="11"/>
        <v>0</v>
      </c>
      <c r="Q34" s="54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J7" sqref="J7"/>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2" t="s">
        <v>30</v>
      </c>
      <c r="B1" s="3" t="str">
        <f>'Info '!C2</f>
        <v>JSC Pave Bank Georgia</v>
      </c>
    </row>
    <row r="2" spans="1:7">
      <c r="A2" s="2" t="s">
        <v>31</v>
      </c>
      <c r="B2" s="272">
        <v>45747</v>
      </c>
    </row>
    <row r="3" spans="1:7" ht="14.4" thickBot="1">
      <c r="A3" s="2"/>
    </row>
    <row r="4" spans="1:7" ht="15" customHeight="1" thickBot="1">
      <c r="A4" s="6" t="s">
        <v>93</v>
      </c>
      <c r="B4" s="7" t="s">
        <v>92</v>
      </c>
      <c r="C4" s="7"/>
      <c r="D4" s="685" t="s">
        <v>664</v>
      </c>
      <c r="E4" s="686"/>
      <c r="F4" s="686"/>
      <c r="G4" s="687"/>
    </row>
    <row r="5" spans="1:7">
      <c r="A5" s="8" t="s">
        <v>6</v>
      </c>
      <c r="B5" s="9"/>
      <c r="C5" s="270" t="str">
        <f>INT((MONTH($B$2))/3)&amp;"Q"&amp;"-"&amp;YEAR($B$2)</f>
        <v>1Q-2025</v>
      </c>
      <c r="D5" s="270" t="str">
        <f>IF(INT(MONTH($B$2))=3, "4"&amp;"Q"&amp;"-"&amp;YEAR($B$2)-1, IF(INT(MONTH($B$2))=6, "1"&amp;"Q"&amp;"-"&amp;YEAR($B$2), IF(INT(MONTH($B$2))=9, "2"&amp;"Q"&amp;"-"&amp;YEAR($B$2),IF(INT(MONTH($B$2))=12, "3"&amp;"Q"&amp;"-"&amp;YEAR($B$2), 0))))</f>
        <v>4Q-2024</v>
      </c>
      <c r="E5" s="270" t="str">
        <f>IF(INT(MONTH($B$2))=3, "3"&amp;"Q"&amp;"-"&amp;YEAR($B$2)-1, IF(INT(MONTH($B$2))=6, "4"&amp;"Q"&amp;"-"&amp;YEAR($B$2)-1, IF(INT(MONTH($B$2))=9, "1"&amp;"Q"&amp;"-"&amp;YEAR($B$2),IF(INT(MONTH($B$2))=12, "2"&amp;"Q"&amp;"-"&amp;YEAR($B$2), 0))))</f>
        <v>3Q-2024</v>
      </c>
      <c r="F5" s="270" t="str">
        <f>IF(INT(MONTH($B$2))=3, "2"&amp;"Q"&amp;"-"&amp;YEAR($B$2)-1, IF(INT(MONTH($B$2))=6, "3"&amp;"Q"&amp;"-"&amp;YEAR($B$2)-1, IF(INT(MONTH($B$2))=9, "4"&amp;"Q"&amp;"-"&amp;YEAR($B$2)-1,IF(INT(MONTH($B$2))=12, "1"&amp;"Q"&amp;"-"&amp;YEAR($B$2), 0))))</f>
        <v>2Q-2024</v>
      </c>
      <c r="G5" s="271" t="str">
        <f>IF(INT(MONTH($B$2))=3, "1"&amp;"Q"&amp;"-"&amp;YEAR($B$2)-1, IF(INT(MONTH($B$2))=6, "2"&amp;"Q"&amp;"-"&amp;YEAR($B$2)-1, IF(INT(MONTH($B$2))=9, "3"&amp;"Q"&amp;"-"&amp;YEAR($B$2)-1,IF(INT(MONTH($B$2))=12, "4"&amp;"Q"&amp;"-"&amp;YEAR($B$2)-1, 0))))</f>
        <v>1Q-2024</v>
      </c>
    </row>
    <row r="6" spans="1:7">
      <c r="B6" s="119" t="s">
        <v>91</v>
      </c>
      <c r="C6" s="273"/>
      <c r="D6" s="273"/>
      <c r="E6" s="273"/>
      <c r="F6" s="273"/>
      <c r="G6" s="274"/>
    </row>
    <row r="7" spans="1:7">
      <c r="A7" s="10"/>
      <c r="B7" s="120" t="s">
        <v>89</v>
      </c>
      <c r="C7" s="273"/>
      <c r="D7" s="273"/>
      <c r="E7" s="273"/>
      <c r="F7" s="273"/>
      <c r="G7" s="274"/>
    </row>
    <row r="8" spans="1:7">
      <c r="A8" s="8">
        <v>1</v>
      </c>
      <c r="B8" s="11" t="s">
        <v>327</v>
      </c>
      <c r="C8" s="12">
        <v>6989690.96</v>
      </c>
      <c r="D8" s="13">
        <v>7160433.9499999993</v>
      </c>
      <c r="E8" s="13">
        <v>7354346.4798980001</v>
      </c>
      <c r="F8" s="13">
        <v>7524779.0183999995</v>
      </c>
      <c r="G8" s="14">
        <v>5074825.1100000003</v>
      </c>
    </row>
    <row r="9" spans="1:7">
      <c r="A9" s="8">
        <v>2</v>
      </c>
      <c r="B9" s="11" t="s">
        <v>328</v>
      </c>
      <c r="C9" s="12">
        <v>6989690.96</v>
      </c>
      <c r="D9" s="13">
        <v>7160433.9499999993</v>
      </c>
      <c r="E9" s="13">
        <v>7354346.4798980001</v>
      </c>
      <c r="F9" s="13">
        <v>7524779.0183999995</v>
      </c>
      <c r="G9" s="14">
        <v>5074825.1100000003</v>
      </c>
    </row>
    <row r="10" spans="1:7">
      <c r="A10" s="8">
        <v>3</v>
      </c>
      <c r="B10" s="11" t="s">
        <v>142</v>
      </c>
      <c r="C10" s="12">
        <v>6989690.96</v>
      </c>
      <c r="D10" s="13">
        <v>7160433.9499999993</v>
      </c>
      <c r="E10" s="13">
        <v>7354346.4798980001</v>
      </c>
      <c r="F10" s="13">
        <v>7524779.0183999995</v>
      </c>
      <c r="G10" s="14">
        <v>5074825.1100000003</v>
      </c>
    </row>
    <row r="11" spans="1:7">
      <c r="A11" s="8">
        <v>4</v>
      </c>
      <c r="B11" s="11" t="s">
        <v>330</v>
      </c>
      <c r="C11" s="12">
        <v>1641422.3575679979</v>
      </c>
      <c r="D11" s="13">
        <v>245827.35145959997</v>
      </c>
      <c r="E11" s="13">
        <v>868093.87419494521</v>
      </c>
      <c r="F11" s="13">
        <v>904075.097259945</v>
      </c>
      <c r="G11" s="14">
        <v>534965.63542499999</v>
      </c>
    </row>
    <row r="12" spans="1:7">
      <c r="A12" s="8">
        <v>5</v>
      </c>
      <c r="B12" s="11" t="s">
        <v>331</v>
      </c>
      <c r="C12" s="12">
        <v>1970274.5119583975</v>
      </c>
      <c r="D12" s="13">
        <v>299227.50325399998</v>
      </c>
      <c r="E12" s="13">
        <v>1002100.4958864752</v>
      </c>
      <c r="F12" s="13">
        <v>1043163.573761475</v>
      </c>
      <c r="G12" s="14">
        <v>617268.04087500006</v>
      </c>
    </row>
    <row r="13" spans="1:7">
      <c r="A13" s="8">
        <v>6</v>
      </c>
      <c r="B13" s="11" t="s">
        <v>329</v>
      </c>
      <c r="C13" s="12">
        <v>2408719.791193597</v>
      </c>
      <c r="D13" s="13">
        <v>370313.53464919992</v>
      </c>
      <c r="E13" s="13">
        <v>1180761.4276885153</v>
      </c>
      <c r="F13" s="13">
        <v>1228614.875763515</v>
      </c>
      <c r="G13" s="14">
        <v>727004.58147500001</v>
      </c>
    </row>
    <row r="14" spans="1:7">
      <c r="A14" s="10"/>
      <c r="B14" s="119" t="s">
        <v>333</v>
      </c>
      <c r="C14" s="273"/>
      <c r="D14" s="273"/>
      <c r="E14" s="273"/>
      <c r="F14" s="273"/>
      <c r="G14" s="274"/>
    </row>
    <row r="15" spans="1:7" ht="15" customHeight="1">
      <c r="A15" s="8">
        <v>7</v>
      </c>
      <c r="B15" s="11" t="s">
        <v>332</v>
      </c>
      <c r="C15" s="172">
        <v>21831289.141759973</v>
      </c>
      <c r="D15" s="13">
        <v>3126160.3297599996</v>
      </c>
      <c r="E15" s="13">
        <v>8878432.3901020009</v>
      </c>
      <c r="F15" s="13">
        <v>9272565.1001019999</v>
      </c>
      <c r="G15" s="14">
        <v>5486827.0300000003</v>
      </c>
    </row>
    <row r="16" spans="1:7">
      <c r="A16" s="10"/>
      <c r="B16" s="119" t="s">
        <v>334</v>
      </c>
      <c r="C16" s="273"/>
      <c r="D16" s="273"/>
      <c r="E16" s="273"/>
      <c r="F16" s="273"/>
      <c r="G16" s="274"/>
    </row>
    <row r="17" spans="1:8">
      <c r="A17" s="8"/>
      <c r="B17" s="120" t="s">
        <v>715</v>
      </c>
      <c r="C17" s="173"/>
      <c r="D17" s="13"/>
      <c r="E17" s="13"/>
      <c r="F17" s="13"/>
      <c r="G17" s="14"/>
    </row>
    <row r="18" spans="1:8">
      <c r="A18" s="8">
        <v>8</v>
      </c>
      <c r="B18" s="11" t="s">
        <v>327</v>
      </c>
      <c r="C18" s="573">
        <v>0.32016849369787204</v>
      </c>
      <c r="D18" s="574">
        <v>2.2904883930088502</v>
      </c>
      <c r="E18" s="574">
        <v>0.82833839992934932</v>
      </c>
      <c r="F18" s="574">
        <v>0.81150996915807316</v>
      </c>
      <c r="G18" s="575">
        <v>0.92491071474509379</v>
      </c>
    </row>
    <row r="19" spans="1:8" ht="15" customHeight="1">
      <c r="A19" s="8">
        <v>9</v>
      </c>
      <c r="B19" s="11" t="s">
        <v>328</v>
      </c>
      <c r="C19" s="573">
        <v>0.32016849369787204</v>
      </c>
      <c r="D19" s="574">
        <v>2.2904883930088502</v>
      </c>
      <c r="E19" s="574">
        <v>0.82833839992934932</v>
      </c>
      <c r="F19" s="574">
        <v>0.81150996915807316</v>
      </c>
      <c r="G19" s="575">
        <v>0.92491071474509379</v>
      </c>
    </row>
    <row r="20" spans="1:8">
      <c r="A20" s="8">
        <v>10</v>
      </c>
      <c r="B20" s="11" t="s">
        <v>142</v>
      </c>
      <c r="C20" s="573">
        <v>0.32016849369787204</v>
      </c>
      <c r="D20" s="574">
        <v>2.2904883930088502</v>
      </c>
      <c r="E20" s="574">
        <v>0.82833839992934932</v>
      </c>
      <c r="F20" s="574">
        <v>0.81150996915807316</v>
      </c>
      <c r="G20" s="575">
        <v>0.92491071474509379</v>
      </c>
    </row>
    <row r="21" spans="1:8">
      <c r="A21" s="8">
        <v>11</v>
      </c>
      <c r="B21" s="11" t="s">
        <v>330</v>
      </c>
      <c r="C21" s="573">
        <v>7.5186689476262017E-2</v>
      </c>
      <c r="D21" s="574">
        <v>7.8635554651310072E-2</v>
      </c>
      <c r="E21" s="574">
        <v>9.777557974792124E-2</v>
      </c>
      <c r="F21" s="574">
        <v>9.7500000000000003E-2</v>
      </c>
      <c r="G21" s="575">
        <v>9.7500000000000003E-2</v>
      </c>
    </row>
    <row r="22" spans="1:8">
      <c r="A22" s="8">
        <v>12</v>
      </c>
      <c r="B22" s="11" t="s">
        <v>331</v>
      </c>
      <c r="C22" s="573">
        <v>9.0250030548565202E-2</v>
      </c>
      <c r="D22" s="574">
        <v>9.5717260693718845E-2</v>
      </c>
      <c r="E22" s="574">
        <v>0.11286908001953737</v>
      </c>
      <c r="F22" s="574">
        <v>0.1125</v>
      </c>
      <c r="G22" s="575">
        <v>0.1125</v>
      </c>
    </row>
    <row r="23" spans="1:8">
      <c r="A23" s="8">
        <v>13</v>
      </c>
      <c r="B23" s="11" t="s">
        <v>329</v>
      </c>
      <c r="C23" s="573">
        <v>0.11033337406475362</v>
      </c>
      <c r="D23" s="574">
        <v>0.11845634759162513</v>
      </c>
      <c r="E23" s="574">
        <v>0.13299210669271649</v>
      </c>
      <c r="F23" s="574">
        <v>0.13250000000000001</v>
      </c>
      <c r="G23" s="575">
        <v>0.13250000000000001</v>
      </c>
    </row>
    <row r="24" spans="1:8">
      <c r="A24" s="497"/>
      <c r="B24" s="119" t="s">
        <v>700</v>
      </c>
      <c r="C24" s="183"/>
      <c r="D24" s="183"/>
      <c r="E24" s="183"/>
      <c r="F24" s="183"/>
      <c r="G24" s="496"/>
    </row>
    <row r="25" spans="1:8" ht="26.4">
      <c r="A25" s="8">
        <v>14</v>
      </c>
      <c r="B25" s="11" t="s">
        <v>701</v>
      </c>
      <c r="C25" s="573">
        <v>0.23108657019718074</v>
      </c>
      <c r="D25" s="574">
        <v>0</v>
      </c>
      <c r="E25" s="574">
        <v>0</v>
      </c>
      <c r="F25" s="574">
        <v>0</v>
      </c>
      <c r="G25" s="575">
        <v>0</v>
      </c>
      <c r="H25" s="495"/>
    </row>
    <row r="26" spans="1:8">
      <c r="A26" s="10"/>
      <c r="B26" s="119" t="s">
        <v>88</v>
      </c>
      <c r="C26" s="273"/>
      <c r="D26" s="273"/>
      <c r="E26" s="273"/>
      <c r="F26" s="273"/>
      <c r="G26" s="274"/>
    </row>
    <row r="27" spans="1:8" ht="15" customHeight="1">
      <c r="A27" s="275">
        <v>15</v>
      </c>
      <c r="B27" s="11" t="s">
        <v>87</v>
      </c>
      <c r="C27" s="582">
        <v>3.9426109350534477E-2</v>
      </c>
      <c r="D27" s="583">
        <v>6.7858347769004401E-2</v>
      </c>
      <c r="E27" s="583">
        <v>6.6197990778702365E-2</v>
      </c>
      <c r="F27" s="583">
        <v>6.204372539781966E-2</v>
      </c>
      <c r="G27" s="584">
        <v>6.5872647048621377E-2</v>
      </c>
    </row>
    <row r="28" spans="1:8">
      <c r="A28" s="275">
        <v>16</v>
      </c>
      <c r="B28" s="11" t="s">
        <v>86</v>
      </c>
      <c r="C28" s="582">
        <v>-2.2029359931625644E-3</v>
      </c>
      <c r="D28" s="583">
        <v>0</v>
      </c>
      <c r="E28" s="583">
        <v>0</v>
      </c>
      <c r="F28" s="583">
        <v>0</v>
      </c>
      <c r="G28" s="584">
        <v>0</v>
      </c>
    </row>
    <row r="29" spans="1:8">
      <c r="A29" s="275">
        <v>17</v>
      </c>
      <c r="B29" s="11" t="s">
        <v>85</v>
      </c>
      <c r="C29" s="582">
        <v>-3.0312867553151223E-2</v>
      </c>
      <c r="D29" s="583">
        <v>-0.1411580828955431</v>
      </c>
      <c r="E29" s="583">
        <v>-7.4045213076350452E-2</v>
      </c>
      <c r="F29" s="583">
        <v>-6.5558704529591769E-2</v>
      </c>
      <c r="G29" s="584">
        <v>-3.3001725079338782E-3</v>
      </c>
    </row>
    <row r="30" spans="1:8">
      <c r="A30" s="275">
        <v>18</v>
      </c>
      <c r="B30" s="11" t="s">
        <v>84</v>
      </c>
      <c r="C30" s="582">
        <v>3.7223173357371915E-2</v>
      </c>
      <c r="D30" s="583">
        <v>6.7858347769004401E-2</v>
      </c>
      <c r="E30" s="583">
        <v>6.6197990778702365E-2</v>
      </c>
      <c r="F30" s="583">
        <v>6.204372539781966E-2</v>
      </c>
      <c r="G30" s="584">
        <v>6.5872647048621377E-2</v>
      </c>
    </row>
    <row r="31" spans="1:8">
      <c r="A31" s="275">
        <v>19</v>
      </c>
      <c r="B31" s="11" t="s">
        <v>154</v>
      </c>
      <c r="C31" s="582">
        <v>-8.5324391157459809E-2</v>
      </c>
      <c r="D31" s="583">
        <v>-0.1334865588347669</v>
      </c>
      <c r="E31" s="583">
        <v>-2.3705041155177686E-2</v>
      </c>
      <c r="F31" s="583">
        <v>-6.8220173460858985E-2</v>
      </c>
      <c r="G31" s="584">
        <v>-3.3001725079338782E-3</v>
      </c>
    </row>
    <row r="32" spans="1:8">
      <c r="A32" s="275">
        <v>20</v>
      </c>
      <c r="B32" s="11" t="s">
        <v>155</v>
      </c>
      <c r="C32" s="582">
        <v>-9.4668587918606537E-2</v>
      </c>
      <c r="D32" s="583">
        <v>-0.15516494467684588</v>
      </c>
      <c r="E32" s="583">
        <v>-7.9571960876634262E-2</v>
      </c>
      <c r="F32" s="583">
        <v>-7.1864996405404294E-2</v>
      </c>
      <c r="G32" s="584">
        <v>-3.3968389138793955E-3</v>
      </c>
    </row>
    <row r="33" spans="1:7">
      <c r="A33" s="10"/>
      <c r="B33" s="119" t="s">
        <v>216</v>
      </c>
      <c r="C33" s="585"/>
      <c r="D33" s="585"/>
      <c r="E33" s="585"/>
      <c r="F33" s="585"/>
      <c r="G33" s="586"/>
    </row>
    <row r="34" spans="1:7">
      <c r="A34" s="275">
        <v>21</v>
      </c>
      <c r="B34" s="11" t="s">
        <v>83</v>
      </c>
      <c r="C34" s="582">
        <v>0</v>
      </c>
      <c r="D34" s="583">
        <v>0</v>
      </c>
      <c r="E34" s="583">
        <v>0</v>
      </c>
      <c r="F34" s="583">
        <v>0</v>
      </c>
      <c r="G34" s="584">
        <v>0</v>
      </c>
    </row>
    <row r="35" spans="1:7" ht="15" customHeight="1">
      <c r="A35" s="275">
        <v>22</v>
      </c>
      <c r="B35" s="11" t="s">
        <v>674</v>
      </c>
      <c r="C35" s="582">
        <v>0</v>
      </c>
      <c r="D35" s="583">
        <v>0</v>
      </c>
      <c r="E35" s="583">
        <v>0</v>
      </c>
      <c r="F35" s="583">
        <v>0</v>
      </c>
      <c r="G35" s="584">
        <v>0</v>
      </c>
    </row>
    <row r="36" spans="1:7">
      <c r="A36" s="275">
        <v>23</v>
      </c>
      <c r="B36" s="11" t="s">
        <v>82</v>
      </c>
      <c r="C36" s="582">
        <v>0</v>
      </c>
      <c r="D36" s="583">
        <v>0</v>
      </c>
      <c r="E36" s="583">
        <v>0</v>
      </c>
      <c r="F36" s="583">
        <v>0</v>
      </c>
      <c r="G36" s="584">
        <v>0</v>
      </c>
    </row>
    <row r="37" spans="1:7" ht="15" customHeight="1">
      <c r="A37" s="275">
        <v>24</v>
      </c>
      <c r="B37" s="11" t="s">
        <v>81</v>
      </c>
      <c r="C37" s="582">
        <v>0</v>
      </c>
      <c r="D37" s="583">
        <v>0</v>
      </c>
      <c r="E37" s="583">
        <v>0</v>
      </c>
      <c r="F37" s="583">
        <v>0</v>
      </c>
      <c r="G37" s="584">
        <v>0</v>
      </c>
    </row>
    <row r="38" spans="1:7">
      <c r="A38" s="275">
        <v>25</v>
      </c>
      <c r="B38" s="11" t="s">
        <v>80</v>
      </c>
      <c r="C38" s="582">
        <v>0</v>
      </c>
      <c r="D38" s="583">
        <v>0</v>
      </c>
      <c r="E38" s="583">
        <v>0</v>
      </c>
      <c r="F38" s="583">
        <v>0</v>
      </c>
      <c r="G38" s="584">
        <v>0</v>
      </c>
    </row>
    <row r="39" spans="1:7" ht="15" customHeight="1">
      <c r="A39" s="10"/>
      <c r="B39" s="119" t="s">
        <v>217</v>
      </c>
      <c r="C39" s="585"/>
      <c r="D39" s="585"/>
      <c r="E39" s="585"/>
      <c r="F39" s="585"/>
      <c r="G39" s="586"/>
    </row>
    <row r="40" spans="1:7" ht="15" customHeight="1">
      <c r="A40" s="275">
        <v>26</v>
      </c>
      <c r="B40" s="11" t="s">
        <v>79</v>
      </c>
      <c r="C40" s="587">
        <v>1.0004729249427069</v>
      </c>
      <c r="D40" s="588">
        <v>0.9074778163511128</v>
      </c>
      <c r="E40" s="588">
        <v>0.94954649786269707</v>
      </c>
      <c r="F40" s="588">
        <v>0.97413296793697524</v>
      </c>
      <c r="G40" s="589">
        <v>0.94534114373501699</v>
      </c>
    </row>
    <row r="41" spans="1:7" ht="15" customHeight="1">
      <c r="A41" s="275">
        <v>27</v>
      </c>
      <c r="B41" s="11" t="s">
        <v>78</v>
      </c>
      <c r="C41" s="587">
        <v>0.9219849053143333</v>
      </c>
      <c r="D41" s="588">
        <v>0.35670614966880487</v>
      </c>
      <c r="E41" s="588">
        <v>0.99307669473340854</v>
      </c>
      <c r="F41" s="588">
        <v>0.89842776605166197</v>
      </c>
      <c r="G41" s="589">
        <v>0.54605842613548983</v>
      </c>
    </row>
    <row r="42" spans="1:7" ht="15" customHeight="1">
      <c r="A42" s="275">
        <v>28</v>
      </c>
      <c r="B42" s="11" t="s">
        <v>77</v>
      </c>
      <c r="C42" s="587">
        <v>0.72732388463905229</v>
      </c>
      <c r="D42" s="588">
        <v>0.14441667991948853</v>
      </c>
      <c r="E42" s="588">
        <v>0</v>
      </c>
      <c r="F42" s="588">
        <v>0</v>
      </c>
      <c r="G42" s="589">
        <v>0</v>
      </c>
    </row>
    <row r="43" spans="1:7" ht="15" customHeight="1">
      <c r="A43" s="276"/>
      <c r="B43" s="119" t="s">
        <v>258</v>
      </c>
      <c r="C43" s="273"/>
      <c r="D43" s="273"/>
      <c r="E43" s="273"/>
      <c r="F43" s="273"/>
      <c r="G43" s="274"/>
    </row>
    <row r="44" spans="1:7">
      <c r="A44" s="275">
        <v>29</v>
      </c>
      <c r="B44" s="11" t="s">
        <v>241</v>
      </c>
      <c r="C44" s="15">
        <v>14122641.891666673</v>
      </c>
      <c r="D44" s="16">
        <v>452655.96401639312</v>
      </c>
      <c r="E44" s="16">
        <v>3268.8172043010754</v>
      </c>
      <c r="F44" s="16">
        <v>0</v>
      </c>
      <c r="G44" s="17">
        <v>0</v>
      </c>
    </row>
    <row r="45" spans="1:7" ht="15" customHeight="1">
      <c r="A45" s="275">
        <v>30</v>
      </c>
      <c r="B45" s="11" t="s">
        <v>253</v>
      </c>
      <c r="C45" s="15">
        <v>10377351.318083346</v>
      </c>
      <c r="D45" s="16">
        <v>-7279430.0585573772</v>
      </c>
      <c r="E45" s="16">
        <v>-7487783.5431182776</v>
      </c>
      <c r="F45" s="16">
        <v>0</v>
      </c>
      <c r="G45" s="17">
        <v>0</v>
      </c>
    </row>
    <row r="46" spans="1:7" ht="15" customHeight="1">
      <c r="A46" s="311">
        <v>31</v>
      </c>
      <c r="B46" s="312" t="s">
        <v>242</v>
      </c>
      <c r="C46" s="576">
        <v>1.3609100683578925</v>
      </c>
      <c r="D46" s="314" t="s">
        <v>752</v>
      </c>
      <c r="E46" s="314" t="s">
        <v>752</v>
      </c>
      <c r="F46" s="314" t="s">
        <v>752</v>
      </c>
      <c r="G46" s="315" t="s">
        <v>752</v>
      </c>
    </row>
    <row r="47" spans="1:7" ht="15" customHeight="1">
      <c r="A47" s="311"/>
      <c r="B47" s="119" t="s">
        <v>337</v>
      </c>
      <c r="C47" s="313"/>
      <c r="D47" s="314"/>
      <c r="E47" s="314"/>
      <c r="F47" s="314"/>
      <c r="G47" s="315"/>
    </row>
    <row r="48" spans="1:7" ht="15" customHeight="1">
      <c r="A48" s="311">
        <v>32</v>
      </c>
      <c r="B48" s="312" t="s">
        <v>344</v>
      </c>
      <c r="C48" s="313">
        <v>18928741.454999998</v>
      </c>
      <c r="D48" s="314">
        <v>7796839.9099999992</v>
      </c>
      <c r="E48" s="314">
        <v>7354346.4798980001</v>
      </c>
      <c r="F48" s="314">
        <v>7524779.0183999995</v>
      </c>
      <c r="G48" s="315">
        <v>5074825.1100000003</v>
      </c>
    </row>
    <row r="49" spans="1:7" ht="15" customHeight="1">
      <c r="A49" s="311">
        <v>33</v>
      </c>
      <c r="B49" s="312" t="s">
        <v>359</v>
      </c>
      <c r="C49" s="313">
        <v>3021815.1269999989</v>
      </c>
      <c r="D49" s="314">
        <v>1729785.8715000001</v>
      </c>
      <c r="E49" s="314">
        <v>1417466.1060000027</v>
      </c>
      <c r="F49" s="314">
        <v>1286901.0734999999</v>
      </c>
      <c r="G49" s="315">
        <v>796409.24499999988</v>
      </c>
    </row>
    <row r="50" spans="1:7" ht="14.4" thickBot="1">
      <c r="A50" s="277">
        <v>34</v>
      </c>
      <c r="B50" s="121" t="s">
        <v>377</v>
      </c>
      <c r="C50" s="18">
        <v>6.2640302796392762</v>
      </c>
      <c r="D50" s="19">
        <v>4.5074017764053629</v>
      </c>
      <c r="E50" s="19">
        <v>5.1883755447609881</v>
      </c>
      <c r="F50" s="19">
        <v>5.8472085954010202</v>
      </c>
      <c r="G50" s="20">
        <v>6.3721323450985317</v>
      </c>
    </row>
    <row r="51" spans="1:7">
      <c r="A51" s="21"/>
    </row>
    <row r="52" spans="1:7">
      <c r="B52" s="175"/>
    </row>
    <row r="53" spans="1:7" ht="52.8">
      <c r="B53" s="175" t="s">
        <v>257</v>
      </c>
    </row>
    <row r="55" spans="1:7" ht="14.4">
      <c r="B55" s="174"/>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F18" sqref="F18"/>
    </sheetView>
  </sheetViews>
  <sheetFormatPr defaultColWidth="8.77734375" defaultRowHeight="13.8"/>
  <cols>
    <col min="1" max="1" width="11.44140625" style="500" customWidth="1"/>
    <col min="2" max="2" width="76.77734375" style="566" customWidth="1"/>
    <col min="3" max="3" width="22.77734375" style="500" customWidth="1"/>
    <col min="4" max="16384" width="8.77734375" style="500"/>
  </cols>
  <sheetData>
    <row r="1" spans="1:3">
      <c r="A1" s="134" t="s">
        <v>30</v>
      </c>
      <c r="B1" s="499" t="str">
        <f>'Info '!C2</f>
        <v>JSC Pave Bank Georgia</v>
      </c>
    </row>
    <row r="2" spans="1:3">
      <c r="A2" s="134" t="s">
        <v>31</v>
      </c>
      <c r="B2" s="501">
        <f>'1. key ratios '!B2</f>
        <v>45747</v>
      </c>
    </row>
    <row r="3" spans="1:3">
      <c r="B3" s="500"/>
    </row>
    <row r="4" spans="1:3">
      <c r="A4" s="500" t="s">
        <v>295</v>
      </c>
      <c r="B4" s="500" t="s">
        <v>296</v>
      </c>
    </row>
    <row r="5" spans="1:3">
      <c r="A5" s="548" t="s">
        <v>297</v>
      </c>
      <c r="B5" s="549"/>
      <c r="C5" s="550"/>
    </row>
    <row r="6" spans="1:3" ht="27.6">
      <c r="A6" s="554">
        <v>1</v>
      </c>
      <c r="B6" s="555" t="s">
        <v>751</v>
      </c>
      <c r="C6" s="556">
        <v>30506172.75</v>
      </c>
    </row>
    <row r="7" spans="1:3">
      <c r="A7" s="554">
        <v>2</v>
      </c>
      <c r="B7" s="555" t="s">
        <v>298</v>
      </c>
      <c r="C7" s="556">
        <v>-259105.8</v>
      </c>
    </row>
    <row r="8" spans="1:3" ht="27.6">
      <c r="A8" s="557">
        <v>3</v>
      </c>
      <c r="B8" s="558" t="s">
        <v>299</v>
      </c>
      <c r="C8" s="556">
        <f>C6+C7</f>
        <v>30247066.949999999</v>
      </c>
    </row>
    <row r="9" spans="1:3">
      <c r="A9" s="548" t="s">
        <v>300</v>
      </c>
      <c r="B9" s="549"/>
      <c r="C9" s="551"/>
    </row>
    <row r="10" spans="1:3" ht="25.8" customHeight="1">
      <c r="A10" s="554">
        <v>4</v>
      </c>
      <c r="B10" s="559" t="s">
        <v>749</v>
      </c>
      <c r="C10" s="556">
        <f>IF('15. CCR '!F34=FALSE,0,'15. CCR '!F34)</f>
        <v>0</v>
      </c>
    </row>
    <row r="11" spans="1:3" ht="25.8" customHeight="1">
      <c r="A11" s="554">
        <v>5</v>
      </c>
      <c r="B11" s="560" t="s">
        <v>750</v>
      </c>
      <c r="C11" s="556">
        <f>IF('15. CCR '!G34=FALSE,0,'15. CCR '!G34)</f>
        <v>0</v>
      </c>
    </row>
    <row r="12" spans="1:3" ht="25.8" customHeight="1">
      <c r="A12" s="554">
        <v>6</v>
      </c>
      <c r="B12" s="560" t="s">
        <v>743</v>
      </c>
      <c r="C12" s="561">
        <f>IF('15. CCR '!I34=FALSE,0,'15. CCR '!I34)</f>
        <v>0</v>
      </c>
    </row>
    <row r="13" spans="1:3" ht="25.8" customHeight="1">
      <c r="A13" s="562">
        <v>7</v>
      </c>
      <c r="B13" s="559" t="s">
        <v>744</v>
      </c>
      <c r="C13" s="556">
        <f>IF('15. CCR '!E34=FALSE,0,'15. CCR '!E34)</f>
        <v>0</v>
      </c>
    </row>
    <row r="14" spans="1:3" ht="25.8" customHeight="1">
      <c r="A14" s="557">
        <v>8</v>
      </c>
      <c r="B14" s="552" t="s">
        <v>301</v>
      </c>
      <c r="C14" s="563">
        <f>C12</f>
        <v>0</v>
      </c>
    </row>
    <row r="15" spans="1:3">
      <c r="A15" s="548" t="s">
        <v>302</v>
      </c>
      <c r="B15" s="549"/>
      <c r="C15" s="551"/>
    </row>
    <row r="16" spans="1:3" ht="27.6">
      <c r="A16" s="562">
        <v>9</v>
      </c>
      <c r="B16" s="559" t="s">
        <v>303</v>
      </c>
      <c r="C16" s="556"/>
    </row>
    <row r="17" spans="1:3">
      <c r="A17" s="562">
        <v>10</v>
      </c>
      <c r="B17" s="559" t="s">
        <v>304</v>
      </c>
      <c r="C17" s="556"/>
    </row>
    <row r="18" spans="1:3">
      <c r="A18" s="562">
        <v>11</v>
      </c>
      <c r="B18" s="559" t="s">
        <v>305</v>
      </c>
      <c r="C18" s="556"/>
    </row>
    <row r="19" spans="1:3" ht="27.6">
      <c r="A19" s="562">
        <v>12</v>
      </c>
      <c r="B19" s="559" t="s">
        <v>306</v>
      </c>
      <c r="C19" s="556"/>
    </row>
    <row r="20" spans="1:3">
      <c r="A20" s="562">
        <v>14</v>
      </c>
      <c r="B20" s="559" t="s">
        <v>307</v>
      </c>
      <c r="C20" s="556"/>
    </row>
    <row r="21" spans="1:3">
      <c r="A21" s="562">
        <v>14</v>
      </c>
      <c r="B21" s="559" t="s">
        <v>308</v>
      </c>
      <c r="C21" s="556"/>
    </row>
    <row r="22" spans="1:3">
      <c r="A22" s="557">
        <v>15</v>
      </c>
      <c r="B22" s="552" t="s">
        <v>309</v>
      </c>
      <c r="C22" s="563">
        <f>SUM(C16:C21)</f>
        <v>0</v>
      </c>
    </row>
    <row r="23" spans="1:3">
      <c r="A23" s="548" t="s">
        <v>310</v>
      </c>
      <c r="B23" s="549"/>
      <c r="C23" s="551"/>
    </row>
    <row r="24" spans="1:3">
      <c r="A24" s="567">
        <v>16</v>
      </c>
      <c r="B24" s="560" t="s">
        <v>311</v>
      </c>
      <c r="C24" s="556"/>
    </row>
    <row r="25" spans="1:3">
      <c r="A25" s="567">
        <v>17</v>
      </c>
      <c r="B25" s="560" t="s">
        <v>312</v>
      </c>
      <c r="C25" s="556"/>
    </row>
    <row r="26" spans="1:3">
      <c r="A26" s="568">
        <v>18</v>
      </c>
      <c r="B26" s="552" t="s">
        <v>313</v>
      </c>
      <c r="C26" s="563">
        <f>C24+C25</f>
        <v>0</v>
      </c>
    </row>
    <row r="27" spans="1:3">
      <c r="A27" s="548" t="s">
        <v>314</v>
      </c>
      <c r="B27" s="549"/>
      <c r="C27" s="551"/>
    </row>
    <row r="28" spans="1:3" ht="27.6">
      <c r="A28" s="567">
        <v>19</v>
      </c>
      <c r="B28" s="559" t="s">
        <v>315</v>
      </c>
      <c r="C28" s="564"/>
    </row>
    <row r="29" spans="1:3">
      <c r="A29" s="567">
        <v>20</v>
      </c>
      <c r="B29" s="560" t="s">
        <v>316</v>
      </c>
      <c r="C29" s="564"/>
    </row>
    <row r="30" spans="1:3">
      <c r="A30" s="548" t="s">
        <v>748</v>
      </c>
      <c r="B30" s="549"/>
      <c r="C30" s="551"/>
    </row>
    <row r="31" spans="1:3">
      <c r="A31" s="568">
        <v>21</v>
      </c>
      <c r="B31" s="553" t="s">
        <v>317</v>
      </c>
      <c r="C31" s="569">
        <v>6989690.96</v>
      </c>
    </row>
    <row r="32" spans="1:3">
      <c r="A32" s="568">
        <v>22</v>
      </c>
      <c r="B32" s="552" t="s">
        <v>318</v>
      </c>
      <c r="C32" s="563">
        <f>C8+C14+C22+C26</f>
        <v>30247066.949999999</v>
      </c>
    </row>
    <row r="33" spans="1:3">
      <c r="A33" s="548" t="s">
        <v>319</v>
      </c>
      <c r="B33" s="549"/>
      <c r="C33" s="551"/>
    </row>
    <row r="34" spans="1:3">
      <c r="A34" s="557">
        <v>23</v>
      </c>
      <c r="B34" s="552" t="s">
        <v>319</v>
      </c>
      <c r="C34" s="570">
        <f>C31/C32</f>
        <v>0.23108657019718074</v>
      </c>
    </row>
    <row r="35" spans="1:3">
      <c r="A35" s="548" t="s">
        <v>320</v>
      </c>
      <c r="B35" s="549"/>
      <c r="C35" s="551"/>
    </row>
    <row r="36" spans="1:3">
      <c r="A36" s="565" t="s">
        <v>321</v>
      </c>
      <c r="B36" s="559" t="s">
        <v>322</v>
      </c>
      <c r="C36" s="564"/>
    </row>
    <row r="37" spans="1:3" ht="27.6">
      <c r="A37" s="565" t="s">
        <v>323</v>
      </c>
      <c r="B37" s="555" t="s">
        <v>324</v>
      </c>
      <c r="C37" s="56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14" sqref="E14"/>
    </sheetView>
  </sheetViews>
  <sheetFormatPr defaultColWidth="8.88671875" defaultRowHeight="14.4"/>
  <cols>
    <col min="1" max="1" width="11.44140625" customWidth="1"/>
    <col min="2" max="2" width="45.5546875" style="232" bestFit="1" customWidth="1"/>
    <col min="3" max="6" width="25.33203125" customWidth="1"/>
  </cols>
  <sheetData>
    <row r="1" spans="1:6">
      <c r="A1" s="2" t="s">
        <v>30</v>
      </c>
      <c r="B1" s="3" t="str">
        <f>'Info '!C2</f>
        <v>JSC Pave Bank Georgia</v>
      </c>
    </row>
    <row r="2" spans="1:6">
      <c r="A2" s="2" t="s">
        <v>31</v>
      </c>
      <c r="B2" s="272">
        <f>'1. key ratios '!B2</f>
        <v>45747</v>
      </c>
    </row>
    <row r="3" spans="1:6">
      <c r="A3" s="4"/>
      <c r="B3"/>
    </row>
    <row r="4" spans="1:6">
      <c r="A4" s="544" t="s">
        <v>738</v>
      </c>
    </row>
    <row r="5" spans="1:6" ht="43.2">
      <c r="B5" s="539"/>
      <c r="C5" s="545" t="s">
        <v>739</v>
      </c>
      <c r="D5" s="545" t="s">
        <v>741</v>
      </c>
      <c r="E5" s="545" t="s">
        <v>740</v>
      </c>
      <c r="F5" s="545" t="s">
        <v>742</v>
      </c>
    </row>
    <row r="6" spans="1:6">
      <c r="B6" s="546" t="s">
        <v>716</v>
      </c>
      <c r="C6" s="533" t="b">
        <f>IF(C7&gt;0,C7,IF(C8&gt;0,C8,IF(C9&gt;0,C9)))</f>
        <v>0</v>
      </c>
      <c r="D6" s="533" t="b">
        <f>IF(D7&gt;0,D7,IF(D8&gt;0,D8,IF(D9&gt;0,D9)))</f>
        <v>0</v>
      </c>
      <c r="E6" s="533" t="b">
        <f>IF(E7&gt;0,E7,IF(E8&gt;0,E8,IF(E9&gt;0,E9)))</f>
        <v>0</v>
      </c>
      <c r="F6" s="533" t="b">
        <f>IF(F7&gt;0,F7,IF(F8&gt;0,F8,IF(F9&gt;0,F9)))</f>
        <v>0</v>
      </c>
    </row>
    <row r="7" spans="1:6">
      <c r="B7" s="534" t="s">
        <v>729</v>
      </c>
      <c r="C7" s="547"/>
      <c r="D7" s="547"/>
      <c r="E7" s="547"/>
      <c r="F7" s="547"/>
    </row>
    <row r="8" spans="1:6">
      <c r="B8" s="534" t="s">
        <v>730</v>
      </c>
      <c r="C8" s="547"/>
      <c r="D8" s="547"/>
      <c r="E8" s="547"/>
      <c r="F8" s="547"/>
    </row>
    <row r="9" spans="1:6">
      <c r="B9" s="534" t="s">
        <v>737</v>
      </c>
      <c r="C9" s="547"/>
      <c r="D9" s="547"/>
      <c r="E9" s="547"/>
      <c r="F9" s="547"/>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L10" sqref="L10"/>
    </sheetView>
  </sheetViews>
  <sheetFormatPr defaultRowHeight="14.4"/>
  <cols>
    <col min="1" max="1" width="8.77734375" style="136"/>
    <col min="2" max="2" width="82.6640625" style="143" customWidth="1"/>
    <col min="3" max="7" width="17.5546875" style="136" customWidth="1"/>
  </cols>
  <sheetData>
    <row r="1" spans="1:7">
      <c r="A1" s="136" t="s">
        <v>30</v>
      </c>
      <c r="B1" s="3" t="str">
        <f>'Info '!C2</f>
        <v>JSC Pave Bank Georgia</v>
      </c>
    </row>
    <row r="2" spans="1:7">
      <c r="A2" s="136" t="s">
        <v>31</v>
      </c>
      <c r="B2" s="272">
        <f>'1. key ratios '!B2</f>
        <v>45747</v>
      </c>
    </row>
    <row r="4" spans="1:7" ht="15" thickBot="1">
      <c r="A4" s="136" t="s">
        <v>376</v>
      </c>
      <c r="B4" s="278" t="s">
        <v>337</v>
      </c>
    </row>
    <row r="5" spans="1:7">
      <c r="A5" s="279"/>
      <c r="B5" s="280"/>
      <c r="C5" s="748" t="s">
        <v>338</v>
      </c>
      <c r="D5" s="748"/>
      <c r="E5" s="748"/>
      <c r="F5" s="748"/>
      <c r="G5" s="749" t="s">
        <v>339</v>
      </c>
    </row>
    <row r="6" spans="1:7">
      <c r="A6" s="281"/>
      <c r="B6" s="282"/>
      <c r="C6" s="283" t="s">
        <v>340</v>
      </c>
      <c r="D6" s="283" t="s">
        <v>341</v>
      </c>
      <c r="E6" s="283" t="s">
        <v>342</v>
      </c>
      <c r="F6" s="283" t="s">
        <v>343</v>
      </c>
      <c r="G6" s="750"/>
    </row>
    <row r="7" spans="1:7">
      <c r="A7" s="284"/>
      <c r="B7" s="285" t="s">
        <v>344</v>
      </c>
      <c r="C7" s="286"/>
      <c r="D7" s="286"/>
      <c r="E7" s="286"/>
      <c r="F7" s="286"/>
      <c r="G7" s="287"/>
    </row>
    <row r="8" spans="1:7">
      <c r="A8" s="288">
        <v>1</v>
      </c>
      <c r="B8" s="289" t="s">
        <v>345</v>
      </c>
      <c r="C8" s="290">
        <f>SUM(C9:C10)</f>
        <v>6989690.96</v>
      </c>
      <c r="D8" s="290">
        <f>SUM(D9:D10)</f>
        <v>0</v>
      </c>
      <c r="E8" s="290">
        <f>SUM(E9:E10)</f>
        <v>0</v>
      </c>
      <c r="F8" s="290">
        <f>SUM(F9:F10)</f>
        <v>845116.46000000008</v>
      </c>
      <c r="G8" s="291">
        <f>SUM(G9:G10)</f>
        <v>7834807.4199999999</v>
      </c>
    </row>
    <row r="9" spans="1:7">
      <c r="A9" s="288">
        <v>2</v>
      </c>
      <c r="B9" s="292" t="s">
        <v>346</v>
      </c>
      <c r="C9" s="290">
        <v>6989690.96</v>
      </c>
      <c r="D9" s="290"/>
      <c r="E9" s="290"/>
      <c r="F9" s="290"/>
      <c r="G9" s="291">
        <f>C9</f>
        <v>6989690.96</v>
      </c>
    </row>
    <row r="10" spans="1:7" ht="27.6">
      <c r="A10" s="288">
        <v>3</v>
      </c>
      <c r="B10" s="292" t="s">
        <v>347</v>
      </c>
      <c r="C10" s="293"/>
      <c r="D10" s="293"/>
      <c r="E10" s="293"/>
      <c r="F10" s="290">
        <v>845116.46000000008</v>
      </c>
      <c r="G10" s="291">
        <f>F10</f>
        <v>845116.46000000008</v>
      </c>
    </row>
    <row r="11" spans="1:7" ht="14.55" customHeight="1">
      <c r="A11" s="288">
        <v>4</v>
      </c>
      <c r="B11" s="289" t="s">
        <v>348</v>
      </c>
      <c r="C11" s="290">
        <f t="shared" ref="C11:F11" si="0">SUM(C12:C13)</f>
        <v>0</v>
      </c>
      <c r="D11" s="290">
        <f t="shared" si="0"/>
        <v>0</v>
      </c>
      <c r="E11" s="290">
        <f t="shared" si="0"/>
        <v>0</v>
      </c>
      <c r="F11" s="290">
        <f t="shared" si="0"/>
        <v>0</v>
      </c>
      <c r="G11" s="291">
        <f>SUM(G12:G13)</f>
        <v>0</v>
      </c>
    </row>
    <row r="12" spans="1:7">
      <c r="A12" s="288">
        <v>5</v>
      </c>
      <c r="B12" s="292" t="s">
        <v>349</v>
      </c>
      <c r="C12" s="290"/>
      <c r="D12" s="294"/>
      <c r="E12" s="290"/>
      <c r="F12" s="290"/>
      <c r="G12" s="291"/>
    </row>
    <row r="13" spans="1:7">
      <c r="A13" s="288">
        <v>6</v>
      </c>
      <c r="B13" s="292" t="s">
        <v>350</v>
      </c>
      <c r="C13" s="290"/>
      <c r="D13" s="294"/>
      <c r="E13" s="290"/>
      <c r="F13" s="290"/>
      <c r="G13" s="291"/>
    </row>
    <row r="14" spans="1:7">
      <c r="A14" s="288">
        <v>7</v>
      </c>
      <c r="B14" s="289" t="s">
        <v>351</v>
      </c>
      <c r="C14" s="290">
        <f t="shared" ref="C14:F14" si="1">SUM(C15:C16)</f>
        <v>0</v>
      </c>
      <c r="D14" s="290">
        <f t="shared" si="1"/>
        <v>22187868.07</v>
      </c>
      <c r="E14" s="290">
        <f t="shared" si="1"/>
        <v>0</v>
      </c>
      <c r="F14" s="290">
        <f t="shared" si="1"/>
        <v>0</v>
      </c>
      <c r="G14" s="291">
        <f>SUM(G15:G16)</f>
        <v>11093934.035</v>
      </c>
    </row>
    <row r="15" spans="1:7" ht="41.4">
      <c r="A15" s="288">
        <v>8</v>
      </c>
      <c r="B15" s="292" t="s">
        <v>352</v>
      </c>
      <c r="C15" s="290"/>
      <c r="D15" s="294">
        <v>22187868.07</v>
      </c>
      <c r="E15" s="290"/>
      <c r="F15" s="290"/>
      <c r="G15" s="291">
        <f>D15*0.5</f>
        <v>11093934.035</v>
      </c>
    </row>
    <row r="16" spans="1:7" ht="27.6">
      <c r="A16" s="288">
        <v>9</v>
      </c>
      <c r="B16" s="292" t="s">
        <v>353</v>
      </c>
      <c r="C16" s="290"/>
      <c r="D16" s="294"/>
      <c r="E16" s="290"/>
      <c r="F16" s="290"/>
      <c r="G16" s="291"/>
    </row>
    <row r="17" spans="1:7">
      <c r="A17" s="288">
        <v>10</v>
      </c>
      <c r="B17" s="289" t="s">
        <v>354</v>
      </c>
      <c r="C17" s="290"/>
      <c r="D17" s="294"/>
      <c r="E17" s="290"/>
      <c r="F17" s="290"/>
      <c r="G17" s="291"/>
    </row>
    <row r="18" spans="1:7">
      <c r="A18" s="288">
        <v>11</v>
      </c>
      <c r="B18" s="289" t="s">
        <v>355</v>
      </c>
      <c r="C18" s="290">
        <f>SUM(C19:C20)</f>
        <v>0</v>
      </c>
      <c r="D18" s="294">
        <f t="shared" ref="D18:G18" si="2">SUM(D19:D20)</f>
        <v>224391.46000000171</v>
      </c>
      <c r="E18" s="290">
        <f t="shared" si="2"/>
        <v>0</v>
      </c>
      <c r="F18" s="290">
        <f t="shared" si="2"/>
        <v>0</v>
      </c>
      <c r="G18" s="291">
        <f t="shared" si="2"/>
        <v>0</v>
      </c>
    </row>
    <row r="19" spans="1:7">
      <c r="A19" s="288">
        <v>12</v>
      </c>
      <c r="B19" s="292" t="s">
        <v>356</v>
      </c>
      <c r="C19" s="293"/>
      <c r="D19" s="294"/>
      <c r="E19" s="290"/>
      <c r="F19" s="290"/>
      <c r="G19" s="291"/>
    </row>
    <row r="20" spans="1:7">
      <c r="A20" s="288">
        <v>13</v>
      </c>
      <c r="B20" s="292" t="s">
        <v>357</v>
      </c>
      <c r="C20" s="290"/>
      <c r="D20" s="290">
        <v>224391.46000000171</v>
      </c>
      <c r="E20" s="290"/>
      <c r="F20" s="290"/>
      <c r="G20" s="291">
        <v>0</v>
      </c>
    </row>
    <row r="21" spans="1:7">
      <c r="A21" s="295">
        <v>14</v>
      </c>
      <c r="B21" s="296" t="s">
        <v>358</v>
      </c>
      <c r="C21" s="293"/>
      <c r="D21" s="293"/>
      <c r="E21" s="293"/>
      <c r="F21" s="293"/>
      <c r="G21" s="297">
        <f>SUM(G8,G11,G14,G17,G18)</f>
        <v>18928741.454999998</v>
      </c>
    </row>
    <row r="22" spans="1:7">
      <c r="A22" s="298"/>
      <c r="B22" s="299" t="s">
        <v>359</v>
      </c>
      <c r="C22" s="300"/>
      <c r="D22" s="301"/>
      <c r="E22" s="300"/>
      <c r="F22" s="300"/>
      <c r="G22" s="302"/>
    </row>
    <row r="23" spans="1:7">
      <c r="A23" s="288">
        <v>15</v>
      </c>
      <c r="B23" s="289" t="s">
        <v>360</v>
      </c>
      <c r="C23" s="303"/>
      <c r="D23" s="571">
        <v>17024432.120000001</v>
      </c>
      <c r="E23" s="572"/>
      <c r="F23" s="572"/>
      <c r="G23" s="291">
        <f>D23*0.05</f>
        <v>851221.60600000015</v>
      </c>
    </row>
    <row r="24" spans="1:7">
      <c r="A24" s="288">
        <v>16</v>
      </c>
      <c r="B24" s="289" t="s">
        <v>361</v>
      </c>
      <c r="C24" s="290">
        <f>SUM(C25:C27,C29,C31)</f>
        <v>0</v>
      </c>
      <c r="D24" s="294">
        <f t="shared" ref="D24:G24" si="3">SUM(D25:D27,D29,D31)</f>
        <v>13002401.539999999</v>
      </c>
      <c r="E24" s="290">
        <f t="shared" si="3"/>
        <v>0</v>
      </c>
      <c r="F24" s="290">
        <f t="shared" si="3"/>
        <v>0</v>
      </c>
      <c r="G24" s="291">
        <f t="shared" si="3"/>
        <v>1950360.2309999997</v>
      </c>
    </row>
    <row r="25" spans="1:7">
      <c r="A25" s="288">
        <v>17</v>
      </c>
      <c r="B25" s="292" t="s">
        <v>362</v>
      </c>
      <c r="C25" s="290"/>
      <c r="D25" s="294"/>
      <c r="E25" s="290"/>
      <c r="F25" s="290"/>
      <c r="G25" s="291"/>
    </row>
    <row r="26" spans="1:7" ht="27.6">
      <c r="A26" s="288">
        <v>18</v>
      </c>
      <c r="B26" s="292" t="s">
        <v>363</v>
      </c>
      <c r="C26" s="290"/>
      <c r="D26" s="294">
        <v>13002401.539999999</v>
      </c>
      <c r="E26" s="290"/>
      <c r="F26" s="290"/>
      <c r="G26" s="291">
        <v>1950360.2309999997</v>
      </c>
    </row>
    <row r="27" spans="1:7">
      <c r="A27" s="288">
        <v>19</v>
      </c>
      <c r="B27" s="292" t="s">
        <v>364</v>
      </c>
      <c r="C27" s="290"/>
      <c r="D27" s="294"/>
      <c r="E27" s="290"/>
      <c r="F27" s="290"/>
      <c r="G27" s="291"/>
    </row>
    <row r="28" spans="1:7">
      <c r="A28" s="288">
        <v>20</v>
      </c>
      <c r="B28" s="304" t="s">
        <v>365</v>
      </c>
      <c r="C28" s="290"/>
      <c r="D28" s="294"/>
      <c r="E28" s="290"/>
      <c r="F28" s="290"/>
      <c r="G28" s="291"/>
    </row>
    <row r="29" spans="1:7">
      <c r="A29" s="288">
        <v>21</v>
      </c>
      <c r="B29" s="292" t="s">
        <v>366</v>
      </c>
      <c r="C29" s="290"/>
      <c r="D29" s="294"/>
      <c r="E29" s="290"/>
      <c r="F29" s="290"/>
      <c r="G29" s="291"/>
    </row>
    <row r="30" spans="1:7">
      <c r="A30" s="288">
        <v>22</v>
      </c>
      <c r="B30" s="304" t="s">
        <v>365</v>
      </c>
      <c r="C30" s="290"/>
      <c r="D30" s="294"/>
      <c r="E30" s="290"/>
      <c r="F30" s="290"/>
      <c r="G30" s="291"/>
    </row>
    <row r="31" spans="1:7">
      <c r="A31" s="288">
        <v>23</v>
      </c>
      <c r="B31" s="292" t="s">
        <v>367</v>
      </c>
      <c r="C31" s="290"/>
      <c r="D31" s="294"/>
      <c r="E31" s="290"/>
      <c r="F31" s="290"/>
      <c r="G31" s="291"/>
    </row>
    <row r="32" spans="1:7">
      <c r="A32" s="288">
        <v>24</v>
      </c>
      <c r="B32" s="289" t="s">
        <v>368</v>
      </c>
      <c r="C32" s="290"/>
      <c r="D32" s="294"/>
      <c r="E32" s="290"/>
      <c r="F32" s="290"/>
      <c r="G32" s="291"/>
    </row>
    <row r="33" spans="1:7">
      <c r="A33" s="288">
        <v>25</v>
      </c>
      <c r="B33" s="289" t="s">
        <v>369</v>
      </c>
      <c r="C33" s="290">
        <f>SUM(C34:C35)</f>
        <v>0</v>
      </c>
      <c r="D33" s="290">
        <f>SUM(D34:D35)</f>
        <v>0</v>
      </c>
      <c r="E33" s="290">
        <f>SUM(E34:E35)</f>
        <v>0</v>
      </c>
      <c r="F33" s="290">
        <f>SUM(F34:F35)</f>
        <v>220233.28999999911</v>
      </c>
      <c r="G33" s="291">
        <f>SUM(G34:G35)</f>
        <v>220233.28999999911</v>
      </c>
    </row>
    <row r="34" spans="1:7">
      <c r="A34" s="288">
        <v>26</v>
      </c>
      <c r="B34" s="292" t="s">
        <v>370</v>
      </c>
      <c r="C34" s="293"/>
      <c r="D34" s="294"/>
      <c r="E34" s="290"/>
      <c r="F34" s="290">
        <v>220233.28999999911</v>
      </c>
      <c r="G34" s="291">
        <v>220233.28999999911</v>
      </c>
    </row>
    <row r="35" spans="1:7">
      <c r="A35" s="288">
        <v>27</v>
      </c>
      <c r="B35" s="292" t="s">
        <v>371</v>
      </c>
      <c r="C35" s="290"/>
      <c r="D35" s="294"/>
      <c r="E35" s="290"/>
      <c r="F35" s="290"/>
      <c r="G35" s="291"/>
    </row>
    <row r="36" spans="1:7">
      <c r="A36" s="288">
        <v>28</v>
      </c>
      <c r="B36" s="289" t="s">
        <v>372</v>
      </c>
      <c r="C36" s="290"/>
      <c r="D36" s="294"/>
      <c r="E36" s="290"/>
      <c r="F36" s="290"/>
      <c r="G36" s="291"/>
    </row>
    <row r="37" spans="1:7">
      <c r="A37" s="295">
        <v>29</v>
      </c>
      <c r="B37" s="296" t="s">
        <v>373</v>
      </c>
      <c r="C37" s="293"/>
      <c r="D37" s="293"/>
      <c r="E37" s="293"/>
      <c r="F37" s="293"/>
      <c r="G37" s="297">
        <f>SUM(G23:G24,G32:G33,G36)</f>
        <v>3021815.1269999989</v>
      </c>
    </row>
    <row r="38" spans="1:7">
      <c r="A38" s="284"/>
      <c r="B38" s="305"/>
      <c r="C38" s="306"/>
      <c r="D38" s="306"/>
      <c r="E38" s="306"/>
      <c r="F38" s="306"/>
      <c r="G38" s="307"/>
    </row>
    <row r="39" spans="1:7" ht="15" thickBot="1">
      <c r="A39" s="308">
        <v>30</v>
      </c>
      <c r="B39" s="309" t="s">
        <v>374</v>
      </c>
      <c r="C39" s="199"/>
      <c r="D39" s="200"/>
      <c r="E39" s="200"/>
      <c r="F39" s="201"/>
      <c r="G39" s="310">
        <f>IFERROR(G21/G37,0)</f>
        <v>6.2640302796392762</v>
      </c>
    </row>
    <row r="42" spans="1:7" ht="41.4">
      <c r="B42" s="143"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E30" sqref="E30"/>
    </sheetView>
  </sheetViews>
  <sheetFormatPr defaultColWidth="9.21875" defaultRowHeight="12"/>
  <cols>
    <col min="1" max="1" width="11.77734375" style="318" bestFit="1" customWidth="1"/>
    <col min="2" max="2" width="105.21875" style="318" bestFit="1" customWidth="1"/>
    <col min="3" max="3" width="14.109375" style="318" bestFit="1" customWidth="1"/>
    <col min="4" max="4" width="8.88671875" style="318" bestFit="1" customWidth="1"/>
    <col min="5" max="5" width="17.44140625" style="318" bestFit="1" customWidth="1"/>
    <col min="6" max="6" width="10.44140625" style="318" bestFit="1" customWidth="1"/>
    <col min="7" max="7" width="30.44140625" style="318" customWidth="1"/>
    <col min="8" max="8" width="14.109375" style="318" bestFit="1" customWidth="1"/>
    <col min="9" max="16384" width="9.21875" style="318"/>
  </cols>
  <sheetData>
    <row r="1" spans="1:8" ht="13.8">
      <c r="A1" s="316" t="s">
        <v>30</v>
      </c>
      <c r="B1" s="368" t="str">
        <f>'Info '!C2</f>
        <v>JSC Pave Bank Georgia</v>
      </c>
    </row>
    <row r="2" spans="1:8">
      <c r="A2" s="316" t="s">
        <v>31</v>
      </c>
      <c r="B2" s="367">
        <f>'1. key ratios '!B2</f>
        <v>45747</v>
      </c>
    </row>
    <row r="3" spans="1:8">
      <c r="A3" s="317" t="s">
        <v>380</v>
      </c>
    </row>
    <row r="5" spans="1:8" ht="12" customHeight="1">
      <c r="A5" s="751" t="s">
        <v>381</v>
      </c>
      <c r="B5" s="752"/>
      <c r="C5" s="757" t="s">
        <v>382</v>
      </c>
      <c r="D5" s="758"/>
      <c r="E5" s="758"/>
      <c r="F5" s="758"/>
      <c r="G5" s="758"/>
      <c r="H5" s="759"/>
    </row>
    <row r="6" spans="1:8">
      <c r="A6" s="753"/>
      <c r="B6" s="754"/>
      <c r="C6" s="760"/>
      <c r="D6" s="761"/>
      <c r="E6" s="761"/>
      <c r="F6" s="761"/>
      <c r="G6" s="761"/>
      <c r="H6" s="762"/>
    </row>
    <row r="7" spans="1:8">
      <c r="A7" s="755"/>
      <c r="B7" s="756"/>
      <c r="C7" s="366" t="s">
        <v>383</v>
      </c>
      <c r="D7" s="366" t="s">
        <v>384</v>
      </c>
      <c r="E7" s="366" t="s">
        <v>385</v>
      </c>
      <c r="F7" s="366" t="s">
        <v>386</v>
      </c>
      <c r="G7" s="366" t="s">
        <v>387</v>
      </c>
      <c r="H7" s="366" t="s">
        <v>64</v>
      </c>
    </row>
    <row r="8" spans="1:8">
      <c r="A8" s="362">
        <v>1</v>
      </c>
      <c r="B8" s="361" t="s">
        <v>51</v>
      </c>
      <c r="C8" s="679">
        <v>17024432.120000001</v>
      </c>
      <c r="D8" s="679"/>
      <c r="E8" s="679"/>
      <c r="F8" s="679"/>
      <c r="G8" s="679"/>
      <c r="H8" s="679">
        <f t="shared" ref="H8:H21" si="0">SUM(C8:G8)</f>
        <v>17024432.120000001</v>
      </c>
    </row>
    <row r="9" spans="1:8">
      <c r="A9" s="362">
        <v>2</v>
      </c>
      <c r="B9" s="361" t="s">
        <v>52</v>
      </c>
      <c r="C9" s="679"/>
      <c r="D9" s="679"/>
      <c r="E9" s="679"/>
      <c r="F9" s="679"/>
      <c r="G9" s="679"/>
      <c r="H9" s="679">
        <f t="shared" si="0"/>
        <v>0</v>
      </c>
    </row>
    <row r="10" spans="1:8">
      <c r="A10" s="362">
        <v>3</v>
      </c>
      <c r="B10" s="361" t="s">
        <v>152</v>
      </c>
      <c r="C10" s="679"/>
      <c r="D10" s="679"/>
      <c r="E10" s="679"/>
      <c r="F10" s="679"/>
      <c r="G10" s="679"/>
      <c r="H10" s="679">
        <f t="shared" si="0"/>
        <v>0</v>
      </c>
    </row>
    <row r="11" spans="1:8">
      <c r="A11" s="362">
        <v>4</v>
      </c>
      <c r="B11" s="361" t="s">
        <v>53</v>
      </c>
      <c r="C11" s="679"/>
      <c r="D11" s="679"/>
      <c r="E11" s="679"/>
      <c r="F11" s="679"/>
      <c r="G11" s="679"/>
      <c r="H11" s="679">
        <f t="shared" si="0"/>
        <v>0</v>
      </c>
    </row>
    <row r="12" spans="1:8">
      <c r="A12" s="362">
        <v>5</v>
      </c>
      <c r="B12" s="361" t="s">
        <v>54</v>
      </c>
      <c r="C12" s="679"/>
      <c r="D12" s="679"/>
      <c r="E12" s="679"/>
      <c r="F12" s="679"/>
      <c r="G12" s="679"/>
      <c r="H12" s="679">
        <f t="shared" si="0"/>
        <v>0</v>
      </c>
    </row>
    <row r="13" spans="1:8">
      <c r="A13" s="362">
        <v>6</v>
      </c>
      <c r="B13" s="361" t="s">
        <v>55</v>
      </c>
      <c r="C13" s="679">
        <v>13002401.539999997</v>
      </c>
      <c r="D13" s="679"/>
      <c r="E13" s="679"/>
      <c r="F13" s="679"/>
      <c r="G13" s="679"/>
      <c r="H13" s="679">
        <f t="shared" si="0"/>
        <v>13002401.539999997</v>
      </c>
    </row>
    <row r="14" spans="1:8">
      <c r="A14" s="362">
        <v>7</v>
      </c>
      <c r="B14" s="361" t="s">
        <v>56</v>
      </c>
      <c r="C14" s="679"/>
      <c r="D14" s="679"/>
      <c r="E14" s="679"/>
      <c r="F14" s="679"/>
      <c r="G14" s="679"/>
      <c r="H14" s="679">
        <f t="shared" si="0"/>
        <v>0</v>
      </c>
    </row>
    <row r="15" spans="1:8">
      <c r="A15" s="362">
        <v>8</v>
      </c>
      <c r="B15" s="363" t="s">
        <v>57</v>
      </c>
      <c r="C15" s="679"/>
      <c r="D15" s="679"/>
      <c r="E15" s="679"/>
      <c r="F15" s="679"/>
      <c r="G15" s="679"/>
      <c r="H15" s="679">
        <f t="shared" si="0"/>
        <v>0</v>
      </c>
    </row>
    <row r="16" spans="1:8">
      <c r="A16" s="362">
        <v>9</v>
      </c>
      <c r="B16" s="361" t="s">
        <v>58</v>
      </c>
      <c r="C16" s="679"/>
      <c r="D16" s="679"/>
      <c r="E16" s="679"/>
      <c r="F16" s="679"/>
      <c r="G16" s="679"/>
      <c r="H16" s="679">
        <f t="shared" si="0"/>
        <v>0</v>
      </c>
    </row>
    <row r="17" spans="1:8">
      <c r="A17" s="362">
        <v>10</v>
      </c>
      <c r="B17" s="365" t="s">
        <v>395</v>
      </c>
      <c r="C17" s="679"/>
      <c r="D17" s="679"/>
      <c r="E17" s="679"/>
      <c r="F17" s="679"/>
      <c r="G17" s="679"/>
      <c r="H17" s="679">
        <f t="shared" si="0"/>
        <v>0</v>
      </c>
    </row>
    <row r="18" spans="1:8">
      <c r="A18" s="362">
        <v>11</v>
      </c>
      <c r="B18" s="361" t="s">
        <v>60</v>
      </c>
      <c r="C18" s="679"/>
      <c r="D18" s="679"/>
      <c r="E18" s="679"/>
      <c r="F18" s="679"/>
      <c r="G18" s="679"/>
      <c r="H18" s="679">
        <f t="shared" si="0"/>
        <v>0</v>
      </c>
    </row>
    <row r="19" spans="1:8">
      <c r="A19" s="362">
        <v>12</v>
      </c>
      <c r="B19" s="361" t="s">
        <v>61</v>
      </c>
      <c r="C19" s="679"/>
      <c r="D19" s="679"/>
      <c r="E19" s="679"/>
      <c r="F19" s="679"/>
      <c r="G19" s="679"/>
      <c r="H19" s="679">
        <f t="shared" si="0"/>
        <v>0</v>
      </c>
    </row>
    <row r="20" spans="1:8">
      <c r="A20" s="364">
        <v>13</v>
      </c>
      <c r="B20" s="363" t="s">
        <v>144</v>
      </c>
      <c r="C20" s="679"/>
      <c r="D20" s="679"/>
      <c r="E20" s="679"/>
      <c r="F20" s="679"/>
      <c r="G20" s="679"/>
      <c r="H20" s="679">
        <f t="shared" si="0"/>
        <v>0</v>
      </c>
    </row>
    <row r="21" spans="1:8">
      <c r="A21" s="362">
        <v>14</v>
      </c>
      <c r="B21" s="361" t="s">
        <v>63</v>
      </c>
      <c r="C21" s="679">
        <v>0</v>
      </c>
      <c r="D21" s="679">
        <v>0</v>
      </c>
      <c r="E21" s="679">
        <v>94887.16</v>
      </c>
      <c r="F21" s="679">
        <v>34371.31</v>
      </c>
      <c r="G21" s="679">
        <v>90974.82</v>
      </c>
      <c r="H21" s="679">
        <f t="shared" si="0"/>
        <v>220233.29</v>
      </c>
    </row>
    <row r="22" spans="1:8">
      <c r="A22" s="360">
        <v>15</v>
      </c>
      <c r="B22" s="359" t="s">
        <v>64</v>
      </c>
      <c r="C22" s="679">
        <f>SUM(C18:C21)+SUM(C8:C16)</f>
        <v>30026833.659999996</v>
      </c>
      <c r="D22" s="679">
        <f t="shared" ref="D22:H22" si="1">SUM(D18:D21)+SUM(D8:D16)</f>
        <v>0</v>
      </c>
      <c r="E22" s="679">
        <f t="shared" si="1"/>
        <v>94887.16</v>
      </c>
      <c r="F22" s="679">
        <f t="shared" si="1"/>
        <v>34371.31</v>
      </c>
      <c r="G22" s="679">
        <f t="shared" si="1"/>
        <v>90974.82</v>
      </c>
      <c r="H22" s="679">
        <f t="shared" si="1"/>
        <v>30247066.949999996</v>
      </c>
    </row>
    <row r="26" spans="1:8" ht="24">
      <c r="B26" s="321"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7" sqref="D27"/>
    </sheetView>
  </sheetViews>
  <sheetFormatPr defaultColWidth="9.21875" defaultRowHeight="12"/>
  <cols>
    <col min="1" max="1" width="11.77734375" style="369" bestFit="1" customWidth="1"/>
    <col min="2" max="2" width="86.77734375" style="318" customWidth="1"/>
    <col min="3" max="4" width="31.5546875" style="318" customWidth="1"/>
    <col min="5" max="5" width="15.109375" style="318" bestFit="1" customWidth="1"/>
    <col min="6" max="6" width="11.77734375" style="318" bestFit="1" customWidth="1"/>
    <col min="7" max="7" width="21.5546875" style="318" bestFit="1" customWidth="1"/>
    <col min="8" max="8" width="41.44140625" style="318" customWidth="1"/>
    <col min="9" max="16384" width="9.21875" style="318"/>
  </cols>
  <sheetData>
    <row r="1" spans="1:8" ht="13.8">
      <c r="A1" s="316" t="s">
        <v>30</v>
      </c>
      <c r="B1" s="368" t="str">
        <f>'Info '!C2</f>
        <v>JSC Pave Bank Georgia</v>
      </c>
      <c r="C1" s="381"/>
      <c r="D1" s="381"/>
      <c r="E1" s="381"/>
      <c r="F1" s="381"/>
      <c r="G1" s="381"/>
      <c r="H1" s="381"/>
    </row>
    <row r="2" spans="1:8">
      <c r="A2" s="316" t="s">
        <v>31</v>
      </c>
      <c r="B2" s="367">
        <f>'1. key ratios '!B2</f>
        <v>45747</v>
      </c>
      <c r="C2" s="381"/>
      <c r="D2" s="381"/>
      <c r="E2" s="381"/>
      <c r="F2" s="381"/>
      <c r="G2" s="381"/>
      <c r="H2" s="381"/>
    </row>
    <row r="3" spans="1:8">
      <c r="A3" s="317" t="s">
        <v>388</v>
      </c>
      <c r="B3" s="381"/>
      <c r="C3" s="381"/>
      <c r="D3" s="381"/>
      <c r="E3" s="381"/>
      <c r="F3" s="381"/>
      <c r="G3" s="381"/>
      <c r="H3" s="381"/>
    </row>
    <row r="4" spans="1:8">
      <c r="A4" s="382"/>
      <c r="B4" s="381"/>
      <c r="C4" s="380" t="s">
        <v>0</v>
      </c>
      <c r="D4" s="380" t="s">
        <v>1</v>
      </c>
      <c r="E4" s="380" t="s">
        <v>2</v>
      </c>
      <c r="F4" s="380" t="s">
        <v>3</v>
      </c>
      <c r="G4" s="380" t="s">
        <v>4</v>
      </c>
      <c r="H4" s="380" t="s">
        <v>5</v>
      </c>
    </row>
    <row r="5" spans="1:8" ht="34.049999999999997" customHeight="1">
      <c r="A5" s="751" t="s">
        <v>389</v>
      </c>
      <c r="B5" s="752"/>
      <c r="C5" s="765" t="s">
        <v>390</v>
      </c>
      <c r="D5" s="765"/>
      <c r="E5" s="765" t="s">
        <v>627</v>
      </c>
      <c r="F5" s="763" t="s">
        <v>391</v>
      </c>
      <c r="G5" s="763" t="s">
        <v>392</v>
      </c>
      <c r="H5" s="378" t="s">
        <v>626</v>
      </c>
    </row>
    <row r="6" spans="1:8" ht="24">
      <c r="A6" s="755"/>
      <c r="B6" s="756"/>
      <c r="C6" s="379" t="s">
        <v>393</v>
      </c>
      <c r="D6" s="379" t="s">
        <v>394</v>
      </c>
      <c r="E6" s="765"/>
      <c r="F6" s="764"/>
      <c r="G6" s="764"/>
      <c r="H6" s="378" t="s">
        <v>625</v>
      </c>
    </row>
    <row r="7" spans="1:8">
      <c r="A7" s="376">
        <v>1</v>
      </c>
      <c r="B7" s="361" t="s">
        <v>51</v>
      </c>
      <c r="C7" s="680"/>
      <c r="D7" s="680">
        <v>17024432.120000001</v>
      </c>
      <c r="E7" s="680"/>
      <c r="F7" s="680"/>
      <c r="G7" s="680"/>
      <c r="H7" s="681">
        <f>C7+D7-E7-F7</f>
        <v>17024432.120000001</v>
      </c>
    </row>
    <row r="8" spans="1:8">
      <c r="A8" s="376">
        <v>2</v>
      </c>
      <c r="B8" s="361" t="s">
        <v>52</v>
      </c>
      <c r="C8" s="680"/>
      <c r="D8" s="680">
        <v>0</v>
      </c>
      <c r="E8" s="680"/>
      <c r="F8" s="680"/>
      <c r="G8" s="680"/>
      <c r="H8" s="681">
        <f t="shared" ref="H8:H20" si="0">C8+D8-E8-F8</f>
        <v>0</v>
      </c>
    </row>
    <row r="9" spans="1:8">
      <c r="A9" s="376">
        <v>3</v>
      </c>
      <c r="B9" s="361" t="s">
        <v>152</v>
      </c>
      <c r="C9" s="680"/>
      <c r="D9" s="680">
        <v>0</v>
      </c>
      <c r="E9" s="680"/>
      <c r="F9" s="680"/>
      <c r="G9" s="680"/>
      <c r="H9" s="681">
        <f t="shared" si="0"/>
        <v>0</v>
      </c>
    </row>
    <row r="10" spans="1:8">
      <c r="A10" s="376">
        <v>4</v>
      </c>
      <c r="B10" s="361" t="s">
        <v>53</v>
      </c>
      <c r="C10" s="680"/>
      <c r="D10" s="680">
        <v>0</v>
      </c>
      <c r="E10" s="680"/>
      <c r="F10" s="680"/>
      <c r="G10" s="680"/>
      <c r="H10" s="681">
        <f t="shared" si="0"/>
        <v>0</v>
      </c>
    </row>
    <row r="11" spans="1:8">
      <c r="A11" s="376">
        <v>5</v>
      </c>
      <c r="B11" s="361" t="s">
        <v>54</v>
      </c>
      <c r="C11" s="680"/>
      <c r="D11" s="680">
        <v>0</v>
      </c>
      <c r="E11" s="680"/>
      <c r="F11" s="680"/>
      <c r="G11" s="680"/>
      <c r="H11" s="681">
        <f t="shared" si="0"/>
        <v>0</v>
      </c>
    </row>
    <row r="12" spans="1:8">
      <c r="A12" s="376">
        <v>6</v>
      </c>
      <c r="B12" s="361" t="s">
        <v>55</v>
      </c>
      <c r="C12" s="680"/>
      <c r="D12" s="680">
        <v>13002401.539999999</v>
      </c>
      <c r="E12" s="680"/>
      <c r="F12" s="680"/>
      <c r="G12" s="680"/>
      <c r="H12" s="681">
        <f t="shared" si="0"/>
        <v>13002401.539999999</v>
      </c>
    </row>
    <row r="13" spans="1:8">
      <c r="A13" s="376">
        <v>7</v>
      </c>
      <c r="B13" s="361" t="s">
        <v>56</v>
      </c>
      <c r="C13" s="680"/>
      <c r="D13" s="680">
        <v>0</v>
      </c>
      <c r="E13" s="680"/>
      <c r="F13" s="680"/>
      <c r="G13" s="680"/>
      <c r="H13" s="681">
        <f t="shared" si="0"/>
        <v>0</v>
      </c>
    </row>
    <row r="14" spans="1:8">
      <c r="A14" s="376">
        <v>8</v>
      </c>
      <c r="B14" s="363" t="s">
        <v>57</v>
      </c>
      <c r="C14" s="680"/>
      <c r="D14" s="680">
        <v>0</v>
      </c>
      <c r="E14" s="680"/>
      <c r="F14" s="680"/>
      <c r="G14" s="680"/>
      <c r="H14" s="681">
        <f t="shared" si="0"/>
        <v>0</v>
      </c>
    </row>
    <row r="15" spans="1:8">
      <c r="A15" s="376">
        <v>9</v>
      </c>
      <c r="B15" s="361" t="s">
        <v>58</v>
      </c>
      <c r="C15" s="680"/>
      <c r="D15" s="680">
        <v>0</v>
      </c>
      <c r="E15" s="680"/>
      <c r="F15" s="680"/>
      <c r="G15" s="680"/>
      <c r="H15" s="681">
        <f t="shared" si="0"/>
        <v>0</v>
      </c>
    </row>
    <row r="16" spans="1:8">
      <c r="A16" s="376">
        <v>10</v>
      </c>
      <c r="B16" s="365" t="s">
        <v>395</v>
      </c>
      <c r="C16" s="680"/>
      <c r="D16" s="680">
        <v>0</v>
      </c>
      <c r="E16" s="680"/>
      <c r="F16" s="680"/>
      <c r="G16" s="680"/>
      <c r="H16" s="681">
        <f t="shared" si="0"/>
        <v>0</v>
      </c>
    </row>
    <row r="17" spans="1:8">
      <c r="A17" s="376">
        <v>11</v>
      </c>
      <c r="B17" s="361" t="s">
        <v>60</v>
      </c>
      <c r="C17" s="680"/>
      <c r="D17" s="680">
        <v>0</v>
      </c>
      <c r="E17" s="680"/>
      <c r="F17" s="680"/>
      <c r="G17" s="680"/>
      <c r="H17" s="681">
        <f t="shared" si="0"/>
        <v>0</v>
      </c>
    </row>
    <row r="18" spans="1:8">
      <c r="A18" s="376">
        <v>12</v>
      </c>
      <c r="B18" s="361" t="s">
        <v>61</v>
      </c>
      <c r="C18" s="680"/>
      <c r="D18" s="680">
        <v>0</v>
      </c>
      <c r="E18" s="680"/>
      <c r="F18" s="680"/>
      <c r="G18" s="680"/>
      <c r="H18" s="681">
        <f t="shared" si="0"/>
        <v>0</v>
      </c>
    </row>
    <row r="19" spans="1:8">
      <c r="A19" s="377">
        <v>13</v>
      </c>
      <c r="B19" s="363" t="s">
        <v>144</v>
      </c>
      <c r="C19" s="680"/>
      <c r="D19" s="680">
        <v>0</v>
      </c>
      <c r="E19" s="680"/>
      <c r="F19" s="680"/>
      <c r="G19" s="680"/>
      <c r="H19" s="681">
        <f t="shared" si="0"/>
        <v>0</v>
      </c>
    </row>
    <row r="20" spans="1:8">
      <c r="A20" s="376">
        <v>14</v>
      </c>
      <c r="B20" s="361" t="s">
        <v>63</v>
      </c>
      <c r="C20" s="680"/>
      <c r="D20" s="680">
        <v>479339.09</v>
      </c>
      <c r="E20" s="680"/>
      <c r="F20" s="680"/>
      <c r="G20" s="680"/>
      <c r="H20" s="681">
        <f t="shared" si="0"/>
        <v>479339.09</v>
      </c>
    </row>
    <row r="21" spans="1:8" s="373" customFormat="1">
      <c r="A21" s="375">
        <v>15</v>
      </c>
      <c r="B21" s="374" t="s">
        <v>64</v>
      </c>
      <c r="C21" s="682">
        <f t="shared" ref="C21:H21" si="1">SUM(C7:C15)+SUM(C17:C20)</f>
        <v>0</v>
      </c>
      <c r="D21" s="682">
        <f t="shared" si="1"/>
        <v>30506172.75</v>
      </c>
      <c r="E21" s="682">
        <f t="shared" si="1"/>
        <v>0</v>
      </c>
      <c r="F21" s="682">
        <f t="shared" si="1"/>
        <v>0</v>
      </c>
      <c r="G21" s="682">
        <f t="shared" si="1"/>
        <v>0</v>
      </c>
      <c r="H21" s="681">
        <f t="shared" si="1"/>
        <v>30506172.75</v>
      </c>
    </row>
    <row r="22" spans="1:8">
      <c r="A22" s="372">
        <v>16</v>
      </c>
      <c r="B22" s="371" t="s">
        <v>396</v>
      </c>
      <c r="C22" s="680"/>
      <c r="D22" s="680"/>
      <c r="E22" s="680"/>
      <c r="F22" s="680"/>
      <c r="G22" s="680"/>
      <c r="H22" s="681">
        <f>C22+D22-E22-F22</f>
        <v>0</v>
      </c>
    </row>
    <row r="23" spans="1:8">
      <c r="A23" s="372">
        <v>17</v>
      </c>
      <c r="B23" s="371" t="s">
        <v>397</v>
      </c>
      <c r="C23" s="680"/>
      <c r="D23" s="680"/>
      <c r="E23" s="680"/>
      <c r="F23" s="680"/>
      <c r="G23" s="680"/>
      <c r="H23" s="681">
        <f>C23+D23-E23-F23</f>
        <v>0</v>
      </c>
    </row>
    <row r="26" spans="1:8" ht="42.45" customHeight="1">
      <c r="B26" s="321"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41" sqref="D41"/>
    </sheetView>
  </sheetViews>
  <sheetFormatPr defaultColWidth="9.21875" defaultRowHeight="12"/>
  <cols>
    <col min="1" max="1" width="11" style="318" bestFit="1" customWidth="1"/>
    <col min="2" max="2" width="93.44140625" style="318" customWidth="1"/>
    <col min="3" max="4" width="35" style="318" customWidth="1"/>
    <col min="5" max="5" width="15.109375" style="318" bestFit="1" customWidth="1"/>
    <col min="6" max="6" width="11.77734375" style="318" bestFit="1" customWidth="1"/>
    <col min="7" max="7" width="22" style="318" customWidth="1"/>
    <col min="8" max="8" width="19.88671875" style="318" customWidth="1"/>
    <col min="9" max="16384" width="9.21875" style="318"/>
  </cols>
  <sheetData>
    <row r="1" spans="1:8" ht="13.8">
      <c r="A1" s="316" t="s">
        <v>30</v>
      </c>
      <c r="B1" s="368" t="str">
        <f>'Info '!C2</f>
        <v>JSC Pave Bank Georgia</v>
      </c>
      <c r="C1" s="381"/>
      <c r="D1" s="381"/>
      <c r="E1" s="381"/>
      <c r="F1" s="381"/>
      <c r="G1" s="381"/>
      <c r="H1" s="381"/>
    </row>
    <row r="2" spans="1:8">
      <c r="A2" s="316" t="s">
        <v>31</v>
      </c>
      <c r="B2" s="367">
        <f>'1. key ratios '!B2</f>
        <v>45747</v>
      </c>
      <c r="C2" s="381"/>
      <c r="D2" s="381"/>
      <c r="E2" s="381"/>
      <c r="F2" s="381"/>
      <c r="G2" s="381"/>
      <c r="H2" s="381"/>
    </row>
    <row r="3" spans="1:8">
      <c r="A3" s="317" t="s">
        <v>398</v>
      </c>
      <c r="B3" s="381"/>
      <c r="C3" s="381"/>
      <c r="D3" s="381"/>
      <c r="E3" s="381"/>
      <c r="F3" s="381"/>
      <c r="G3" s="381"/>
      <c r="H3" s="381"/>
    </row>
    <row r="4" spans="1:8">
      <c r="A4" s="382"/>
      <c r="B4" s="381"/>
      <c r="C4" s="380" t="s">
        <v>0</v>
      </c>
      <c r="D4" s="380" t="s">
        <v>1</v>
      </c>
      <c r="E4" s="380" t="s">
        <v>2</v>
      </c>
      <c r="F4" s="380" t="s">
        <v>3</v>
      </c>
      <c r="G4" s="380" t="s">
        <v>4</v>
      </c>
      <c r="H4" s="380" t="s">
        <v>5</v>
      </c>
    </row>
    <row r="5" spans="1:8" ht="41.55" customHeight="1">
      <c r="A5" s="751" t="s">
        <v>389</v>
      </c>
      <c r="B5" s="752"/>
      <c r="C5" s="765" t="s">
        <v>390</v>
      </c>
      <c r="D5" s="765"/>
      <c r="E5" s="765" t="s">
        <v>627</v>
      </c>
      <c r="F5" s="763" t="s">
        <v>391</v>
      </c>
      <c r="G5" s="763" t="s">
        <v>392</v>
      </c>
      <c r="H5" s="378" t="s">
        <v>626</v>
      </c>
    </row>
    <row r="6" spans="1:8" ht="24">
      <c r="A6" s="755"/>
      <c r="B6" s="756"/>
      <c r="C6" s="379" t="s">
        <v>393</v>
      </c>
      <c r="D6" s="379" t="s">
        <v>394</v>
      </c>
      <c r="E6" s="765"/>
      <c r="F6" s="764"/>
      <c r="G6" s="764"/>
      <c r="H6" s="378" t="s">
        <v>625</v>
      </c>
    </row>
    <row r="7" spans="1:8">
      <c r="A7" s="370">
        <v>1</v>
      </c>
      <c r="B7" s="385" t="s">
        <v>486</v>
      </c>
      <c r="C7" s="680"/>
      <c r="D7" s="680">
        <v>17024432.120000001</v>
      </c>
      <c r="E7" s="680"/>
      <c r="F7" s="680"/>
      <c r="G7" s="680"/>
      <c r="H7" s="681">
        <f t="shared" ref="H7:H34" si="0">C7+D7-E7-F7</f>
        <v>17024432.120000001</v>
      </c>
    </row>
    <row r="8" spans="1:8">
      <c r="A8" s="370">
        <v>2</v>
      </c>
      <c r="B8" s="385" t="s">
        <v>399</v>
      </c>
      <c r="C8" s="680"/>
      <c r="D8" s="680">
        <v>13002401.539999999</v>
      </c>
      <c r="E8" s="680"/>
      <c r="F8" s="680"/>
      <c r="G8" s="680"/>
      <c r="H8" s="681">
        <f t="shared" si="0"/>
        <v>13002401.539999999</v>
      </c>
    </row>
    <row r="9" spans="1:8">
      <c r="A9" s="370">
        <v>3</v>
      </c>
      <c r="B9" s="385" t="s">
        <v>400</v>
      </c>
      <c r="C9" s="680"/>
      <c r="D9" s="680">
        <v>0</v>
      </c>
      <c r="E9" s="680"/>
      <c r="F9" s="680"/>
      <c r="G9" s="680"/>
      <c r="H9" s="681">
        <f t="shared" si="0"/>
        <v>0</v>
      </c>
    </row>
    <row r="10" spans="1:8">
      <c r="A10" s="370">
        <v>4</v>
      </c>
      <c r="B10" s="385" t="s">
        <v>487</v>
      </c>
      <c r="C10" s="680"/>
      <c r="D10" s="680">
        <v>0</v>
      </c>
      <c r="E10" s="680"/>
      <c r="F10" s="680"/>
      <c r="G10" s="680"/>
      <c r="H10" s="681">
        <f t="shared" si="0"/>
        <v>0</v>
      </c>
    </row>
    <row r="11" spans="1:8">
      <c r="A11" s="370">
        <v>5</v>
      </c>
      <c r="B11" s="385" t="s">
        <v>401</v>
      </c>
      <c r="C11" s="680"/>
      <c r="D11" s="680">
        <v>0</v>
      </c>
      <c r="E11" s="680"/>
      <c r="F11" s="680"/>
      <c r="G11" s="680"/>
      <c r="H11" s="681">
        <f t="shared" si="0"/>
        <v>0</v>
      </c>
    </row>
    <row r="12" spans="1:8">
      <c r="A12" s="370">
        <v>6</v>
      </c>
      <c r="B12" s="385" t="s">
        <v>402</v>
      </c>
      <c r="C12" s="680"/>
      <c r="D12" s="680">
        <v>0</v>
      </c>
      <c r="E12" s="680"/>
      <c r="F12" s="680"/>
      <c r="G12" s="680"/>
      <c r="H12" s="681">
        <f t="shared" si="0"/>
        <v>0</v>
      </c>
    </row>
    <row r="13" spans="1:8">
      <c r="A13" s="370">
        <v>7</v>
      </c>
      <c r="B13" s="385" t="s">
        <v>403</v>
      </c>
      <c r="C13" s="680"/>
      <c r="D13" s="680">
        <v>0</v>
      </c>
      <c r="E13" s="680"/>
      <c r="F13" s="680"/>
      <c r="G13" s="680"/>
      <c r="H13" s="681">
        <f t="shared" si="0"/>
        <v>0</v>
      </c>
    </row>
    <row r="14" spans="1:8">
      <c r="A14" s="370">
        <v>8</v>
      </c>
      <c r="B14" s="385" t="s">
        <v>404</v>
      </c>
      <c r="C14" s="680"/>
      <c r="D14" s="680">
        <v>0</v>
      </c>
      <c r="E14" s="680"/>
      <c r="F14" s="680"/>
      <c r="G14" s="680"/>
      <c r="H14" s="681">
        <f t="shared" si="0"/>
        <v>0</v>
      </c>
    </row>
    <row r="15" spans="1:8">
      <c r="A15" s="370">
        <v>9</v>
      </c>
      <c r="B15" s="385" t="s">
        <v>405</v>
      </c>
      <c r="C15" s="680"/>
      <c r="D15" s="680">
        <v>0</v>
      </c>
      <c r="E15" s="680"/>
      <c r="F15" s="680"/>
      <c r="G15" s="680"/>
      <c r="H15" s="681">
        <f t="shared" si="0"/>
        <v>0</v>
      </c>
    </row>
    <row r="16" spans="1:8">
      <c r="A16" s="370">
        <v>10</v>
      </c>
      <c r="B16" s="385" t="s">
        <v>406</v>
      </c>
      <c r="C16" s="680"/>
      <c r="D16" s="680">
        <v>0</v>
      </c>
      <c r="E16" s="680"/>
      <c r="F16" s="680"/>
      <c r="G16" s="680"/>
      <c r="H16" s="681">
        <f t="shared" si="0"/>
        <v>0</v>
      </c>
    </row>
    <row r="17" spans="1:8">
      <c r="A17" s="370">
        <v>11</v>
      </c>
      <c r="B17" s="385" t="s">
        <v>407</v>
      </c>
      <c r="C17" s="680"/>
      <c r="D17" s="680">
        <v>0</v>
      </c>
      <c r="E17" s="680"/>
      <c r="F17" s="680"/>
      <c r="G17" s="680"/>
      <c r="H17" s="681">
        <f t="shared" si="0"/>
        <v>0</v>
      </c>
    </row>
    <row r="18" spans="1:8">
      <c r="A18" s="370">
        <v>12</v>
      </c>
      <c r="B18" s="385" t="s">
        <v>408</v>
      </c>
      <c r="C18" s="680"/>
      <c r="D18" s="680">
        <v>0</v>
      </c>
      <c r="E18" s="680"/>
      <c r="F18" s="680"/>
      <c r="G18" s="680"/>
      <c r="H18" s="681">
        <f t="shared" si="0"/>
        <v>0</v>
      </c>
    </row>
    <row r="19" spans="1:8">
      <c r="A19" s="370">
        <v>13</v>
      </c>
      <c r="B19" s="385" t="s">
        <v>409</v>
      </c>
      <c r="C19" s="680"/>
      <c r="D19" s="680">
        <v>0</v>
      </c>
      <c r="E19" s="680"/>
      <c r="F19" s="680"/>
      <c r="G19" s="680"/>
      <c r="H19" s="681">
        <f t="shared" si="0"/>
        <v>0</v>
      </c>
    </row>
    <row r="20" spans="1:8">
      <c r="A20" s="370">
        <v>14</v>
      </c>
      <c r="B20" s="385" t="s">
        <v>410</v>
      </c>
      <c r="C20" s="680"/>
      <c r="D20" s="680">
        <v>0</v>
      </c>
      <c r="E20" s="680"/>
      <c r="F20" s="680"/>
      <c r="G20" s="680"/>
      <c r="H20" s="681">
        <f t="shared" si="0"/>
        <v>0</v>
      </c>
    </row>
    <row r="21" spans="1:8">
      <c r="A21" s="370">
        <v>15</v>
      </c>
      <c r="B21" s="385" t="s">
        <v>411</v>
      </c>
      <c r="C21" s="680"/>
      <c r="D21" s="680">
        <v>0</v>
      </c>
      <c r="E21" s="680"/>
      <c r="F21" s="680"/>
      <c r="G21" s="680"/>
      <c r="H21" s="681">
        <f t="shared" si="0"/>
        <v>0</v>
      </c>
    </row>
    <row r="22" spans="1:8">
      <c r="A22" s="370">
        <v>16</v>
      </c>
      <c r="B22" s="385" t="s">
        <v>412</v>
      </c>
      <c r="C22" s="680"/>
      <c r="D22" s="680">
        <v>0</v>
      </c>
      <c r="E22" s="680"/>
      <c r="F22" s="680"/>
      <c r="G22" s="680"/>
      <c r="H22" s="681">
        <f t="shared" si="0"/>
        <v>0</v>
      </c>
    </row>
    <row r="23" spans="1:8">
      <c r="A23" s="370">
        <v>17</v>
      </c>
      <c r="B23" s="385" t="s">
        <v>490</v>
      </c>
      <c r="C23" s="680"/>
      <c r="D23" s="680">
        <v>0</v>
      </c>
      <c r="E23" s="680"/>
      <c r="F23" s="680"/>
      <c r="G23" s="680"/>
      <c r="H23" s="681">
        <f t="shared" si="0"/>
        <v>0</v>
      </c>
    </row>
    <row r="24" spans="1:8">
      <c r="A24" s="370">
        <v>18</v>
      </c>
      <c r="B24" s="385" t="s">
        <v>413</v>
      </c>
      <c r="C24" s="680"/>
      <c r="D24" s="680">
        <v>0</v>
      </c>
      <c r="E24" s="680"/>
      <c r="F24" s="680"/>
      <c r="G24" s="680"/>
      <c r="H24" s="681">
        <f t="shared" si="0"/>
        <v>0</v>
      </c>
    </row>
    <row r="25" spans="1:8">
      <c r="A25" s="370">
        <v>19</v>
      </c>
      <c r="B25" s="385" t="s">
        <v>414</v>
      </c>
      <c r="C25" s="680"/>
      <c r="D25" s="680">
        <v>0</v>
      </c>
      <c r="E25" s="680"/>
      <c r="F25" s="680"/>
      <c r="G25" s="680"/>
      <c r="H25" s="681">
        <f t="shared" si="0"/>
        <v>0</v>
      </c>
    </row>
    <row r="26" spans="1:8">
      <c r="A26" s="370">
        <v>20</v>
      </c>
      <c r="B26" s="385" t="s">
        <v>489</v>
      </c>
      <c r="C26" s="680"/>
      <c r="D26" s="680">
        <v>0</v>
      </c>
      <c r="E26" s="680"/>
      <c r="F26" s="680"/>
      <c r="G26" s="680"/>
      <c r="H26" s="681">
        <f t="shared" si="0"/>
        <v>0</v>
      </c>
    </row>
    <row r="27" spans="1:8">
      <c r="A27" s="370">
        <v>21</v>
      </c>
      <c r="B27" s="385" t="s">
        <v>415</v>
      </c>
      <c r="C27" s="680"/>
      <c r="D27" s="680">
        <v>0</v>
      </c>
      <c r="E27" s="680"/>
      <c r="F27" s="680"/>
      <c r="G27" s="680"/>
      <c r="H27" s="681">
        <f t="shared" si="0"/>
        <v>0</v>
      </c>
    </row>
    <row r="28" spans="1:8">
      <c r="A28" s="370">
        <v>22</v>
      </c>
      <c r="B28" s="385" t="s">
        <v>416</v>
      </c>
      <c r="C28" s="680"/>
      <c r="D28" s="680">
        <v>0</v>
      </c>
      <c r="E28" s="680"/>
      <c r="F28" s="680"/>
      <c r="G28" s="680"/>
      <c r="H28" s="681">
        <f t="shared" si="0"/>
        <v>0</v>
      </c>
    </row>
    <row r="29" spans="1:8">
      <c r="A29" s="370">
        <v>23</v>
      </c>
      <c r="B29" s="385" t="s">
        <v>417</v>
      </c>
      <c r="C29" s="680"/>
      <c r="D29" s="680">
        <v>0</v>
      </c>
      <c r="E29" s="680"/>
      <c r="F29" s="680"/>
      <c r="G29" s="680"/>
      <c r="H29" s="681">
        <f t="shared" si="0"/>
        <v>0</v>
      </c>
    </row>
    <row r="30" spans="1:8">
      <c r="A30" s="370">
        <v>24</v>
      </c>
      <c r="B30" s="385" t="s">
        <v>488</v>
      </c>
      <c r="C30" s="680"/>
      <c r="D30" s="680">
        <v>0</v>
      </c>
      <c r="E30" s="680"/>
      <c r="F30" s="680"/>
      <c r="G30" s="680"/>
      <c r="H30" s="681">
        <f t="shared" si="0"/>
        <v>0</v>
      </c>
    </row>
    <row r="31" spans="1:8">
      <c r="A31" s="370">
        <v>25</v>
      </c>
      <c r="B31" s="385" t="s">
        <v>418</v>
      </c>
      <c r="C31" s="680"/>
      <c r="D31" s="680">
        <v>0</v>
      </c>
      <c r="E31" s="680"/>
      <c r="F31" s="680"/>
      <c r="G31" s="680"/>
      <c r="H31" s="681">
        <f t="shared" si="0"/>
        <v>0</v>
      </c>
    </row>
    <row r="32" spans="1:8">
      <c r="A32" s="370">
        <v>26</v>
      </c>
      <c r="B32" s="385" t="s">
        <v>485</v>
      </c>
      <c r="C32" s="680"/>
      <c r="D32" s="680">
        <v>0</v>
      </c>
      <c r="E32" s="680"/>
      <c r="F32" s="680"/>
      <c r="G32" s="680"/>
      <c r="H32" s="681">
        <f t="shared" si="0"/>
        <v>0</v>
      </c>
    </row>
    <row r="33" spans="1:8">
      <c r="A33" s="370">
        <v>27</v>
      </c>
      <c r="B33" s="370" t="s">
        <v>419</v>
      </c>
      <c r="C33" s="680"/>
      <c r="D33" s="680">
        <v>479339.09</v>
      </c>
      <c r="E33" s="680"/>
      <c r="F33" s="680"/>
      <c r="G33" s="680"/>
      <c r="H33" s="681">
        <f t="shared" si="0"/>
        <v>479339.09</v>
      </c>
    </row>
    <row r="34" spans="1:8">
      <c r="A34" s="370">
        <v>28</v>
      </c>
      <c r="B34" s="374" t="s">
        <v>64</v>
      </c>
      <c r="C34" s="682">
        <f>SUM(C7:C33)</f>
        <v>0</v>
      </c>
      <c r="D34" s="682">
        <f>SUM(D7:D33)</f>
        <v>30506172.75</v>
      </c>
      <c r="E34" s="682">
        <f>SUM(E7:E33)</f>
        <v>0</v>
      </c>
      <c r="F34" s="682">
        <f>SUM(F7:F33)</f>
        <v>0</v>
      </c>
      <c r="G34" s="682">
        <f>SUM(G7:G33)</f>
        <v>0</v>
      </c>
      <c r="H34" s="681">
        <f t="shared" si="0"/>
        <v>30506172.75</v>
      </c>
    </row>
    <row r="36" spans="1:8">
      <c r="B36" s="38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F24" sqref="F24"/>
    </sheetView>
  </sheetViews>
  <sheetFormatPr defaultColWidth="9.21875" defaultRowHeight="12"/>
  <cols>
    <col min="1" max="1" width="11.77734375" style="318" bestFit="1" customWidth="1"/>
    <col min="2" max="2" width="70.109375" style="318" bestFit="1" customWidth="1"/>
    <col min="3" max="3" width="5.5546875" style="318" bestFit="1" customWidth="1"/>
    <col min="4" max="4" width="22.21875" style="318" bestFit="1" customWidth="1"/>
    <col min="5" max="16384" width="9.21875" style="318"/>
  </cols>
  <sheetData>
    <row r="1" spans="1:4" ht="13.8">
      <c r="A1" s="316" t="s">
        <v>30</v>
      </c>
      <c r="B1" s="368" t="str">
        <f>'Info '!C2</f>
        <v>JSC Pave Bank Georgia</v>
      </c>
    </row>
    <row r="2" spans="1:4">
      <c r="A2" s="316" t="s">
        <v>31</v>
      </c>
      <c r="B2" s="367">
        <f>'1. key ratios '!B2</f>
        <v>45747</v>
      </c>
    </row>
    <row r="3" spans="1:4">
      <c r="A3" s="317" t="s">
        <v>420</v>
      </c>
    </row>
    <row r="5" spans="1:4">
      <c r="A5" s="766" t="s">
        <v>634</v>
      </c>
      <c r="B5" s="766"/>
      <c r="C5" s="366" t="s">
        <v>437</v>
      </c>
      <c r="D5" s="366" t="s">
        <v>478</v>
      </c>
    </row>
    <row r="6" spans="1:4">
      <c r="A6" s="393">
        <v>1</v>
      </c>
      <c r="B6" s="386" t="s">
        <v>633</v>
      </c>
      <c r="C6" s="388"/>
      <c r="D6" s="388"/>
    </row>
    <row r="7" spans="1:4">
      <c r="A7" s="390">
        <v>2</v>
      </c>
      <c r="B7" s="386" t="s">
        <v>632</v>
      </c>
      <c r="C7" s="388">
        <f>SUM(C8:C9)</f>
        <v>0</v>
      </c>
      <c r="D7" s="388">
        <f>SUM(D8:D9)</f>
        <v>0</v>
      </c>
    </row>
    <row r="8" spans="1:4">
      <c r="A8" s="392">
        <v>2.1</v>
      </c>
      <c r="B8" s="391" t="s">
        <v>493</v>
      </c>
      <c r="C8" s="388"/>
      <c r="D8" s="388"/>
    </row>
    <row r="9" spans="1:4">
      <c r="A9" s="392">
        <v>2.2000000000000002</v>
      </c>
      <c r="B9" s="391" t="s">
        <v>491</v>
      </c>
      <c r="C9" s="388"/>
      <c r="D9" s="388"/>
    </row>
    <row r="10" spans="1:4">
      <c r="A10" s="393">
        <v>3</v>
      </c>
      <c r="B10" s="386" t="s">
        <v>631</v>
      </c>
      <c r="C10" s="388">
        <f>SUM(C11:C13)</f>
        <v>0</v>
      </c>
      <c r="D10" s="388">
        <f>SUM(D11:D13)</f>
        <v>0</v>
      </c>
    </row>
    <row r="11" spans="1:4">
      <c r="A11" s="392">
        <v>3.1</v>
      </c>
      <c r="B11" s="391" t="s">
        <v>422</v>
      </c>
      <c r="C11" s="388"/>
      <c r="D11" s="388"/>
    </row>
    <row r="12" spans="1:4">
      <c r="A12" s="392">
        <v>3.2</v>
      </c>
      <c r="B12" s="391" t="s">
        <v>630</v>
      </c>
      <c r="C12" s="388"/>
      <c r="D12" s="388"/>
    </row>
    <row r="13" spans="1:4">
      <c r="A13" s="392">
        <v>3.3</v>
      </c>
      <c r="B13" s="391" t="s">
        <v>492</v>
      </c>
      <c r="C13" s="388"/>
      <c r="D13" s="388"/>
    </row>
    <row r="14" spans="1:4">
      <c r="A14" s="390">
        <v>4</v>
      </c>
      <c r="B14" s="389" t="s">
        <v>629</v>
      </c>
      <c r="C14" s="388"/>
      <c r="D14" s="388"/>
    </row>
    <row r="15" spans="1:4">
      <c r="A15" s="387">
        <v>5</v>
      </c>
      <c r="B15" s="386" t="s">
        <v>628</v>
      </c>
      <c r="C15" s="359">
        <f>C6+C7-C10+C14</f>
        <v>0</v>
      </c>
      <c r="D15" s="359">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31" sqref="D31"/>
    </sheetView>
  </sheetViews>
  <sheetFormatPr defaultColWidth="9.21875" defaultRowHeight="12"/>
  <cols>
    <col min="1" max="1" width="11.77734375" style="318" bestFit="1" customWidth="1"/>
    <col min="2" max="2" width="62.88671875" style="318" bestFit="1" customWidth="1"/>
    <col min="3" max="3" width="37" style="318" customWidth="1"/>
    <col min="4" max="4" width="50.5546875" style="318" customWidth="1"/>
    <col min="5" max="16384" width="9.21875" style="318"/>
  </cols>
  <sheetData>
    <row r="1" spans="1:4" ht="13.8">
      <c r="A1" s="316" t="s">
        <v>30</v>
      </c>
      <c r="B1" s="368" t="str">
        <f>'Info '!C2</f>
        <v>JSC Pave Bank Georgia</v>
      </c>
    </row>
    <row r="2" spans="1:4">
      <c r="A2" s="316" t="s">
        <v>31</v>
      </c>
      <c r="B2" s="367">
        <f>'1. key ratios '!B2</f>
        <v>45747</v>
      </c>
    </row>
    <row r="3" spans="1:4">
      <c r="A3" s="317" t="s">
        <v>424</v>
      </c>
    </row>
    <row r="4" spans="1:4">
      <c r="A4" s="317"/>
    </row>
    <row r="5" spans="1:4" ht="15" customHeight="1">
      <c r="A5" s="767" t="s">
        <v>494</v>
      </c>
      <c r="B5" s="768"/>
      <c r="C5" s="771" t="s">
        <v>425</v>
      </c>
      <c r="D5" s="771" t="s">
        <v>426</v>
      </c>
    </row>
    <row r="6" spans="1:4">
      <c r="A6" s="769"/>
      <c r="B6" s="770"/>
      <c r="C6" s="771"/>
      <c r="D6" s="771"/>
    </row>
    <row r="7" spans="1:4">
      <c r="A7" s="359">
        <v>1</v>
      </c>
      <c r="B7" s="359" t="s">
        <v>421</v>
      </c>
      <c r="C7" s="388"/>
      <c r="D7" s="394"/>
    </row>
    <row r="8" spans="1:4">
      <c r="A8" s="388">
        <v>2</v>
      </c>
      <c r="B8" s="388" t="s">
        <v>427</v>
      </c>
      <c r="C8" s="388"/>
      <c r="D8" s="394"/>
    </row>
    <row r="9" spans="1:4">
      <c r="A9" s="388">
        <v>3</v>
      </c>
      <c r="B9" s="397" t="s">
        <v>637</v>
      </c>
      <c r="C9" s="388"/>
      <c r="D9" s="394"/>
    </row>
    <row r="10" spans="1:4">
      <c r="A10" s="388">
        <v>4</v>
      </c>
      <c r="B10" s="388" t="s">
        <v>428</v>
      </c>
      <c r="C10" s="388">
        <f>SUM(C11:C17)</f>
        <v>0</v>
      </c>
      <c r="D10" s="394"/>
    </row>
    <row r="11" spans="1:4">
      <c r="A11" s="388">
        <v>5</v>
      </c>
      <c r="B11" s="396" t="s">
        <v>636</v>
      </c>
      <c r="C11" s="388"/>
      <c r="D11" s="394"/>
    </row>
    <row r="12" spans="1:4">
      <c r="A12" s="388">
        <v>6</v>
      </c>
      <c r="B12" s="396" t="s">
        <v>429</v>
      </c>
      <c r="C12" s="388"/>
      <c r="D12" s="394"/>
    </row>
    <row r="13" spans="1:4">
      <c r="A13" s="388">
        <v>7</v>
      </c>
      <c r="B13" s="396" t="s">
        <v>432</v>
      </c>
      <c r="C13" s="388"/>
      <c r="D13" s="394"/>
    </row>
    <row r="14" spans="1:4">
      <c r="A14" s="388">
        <v>8</v>
      </c>
      <c r="B14" s="396" t="s">
        <v>430</v>
      </c>
      <c r="C14" s="388"/>
      <c r="D14" s="388"/>
    </row>
    <row r="15" spans="1:4">
      <c r="A15" s="388">
        <v>9</v>
      </c>
      <c r="B15" s="396" t="s">
        <v>431</v>
      </c>
      <c r="C15" s="388"/>
      <c r="D15" s="388"/>
    </row>
    <row r="16" spans="1:4">
      <c r="A16" s="388">
        <v>10</v>
      </c>
      <c r="B16" s="396" t="s">
        <v>433</v>
      </c>
      <c r="C16" s="388"/>
      <c r="D16" s="388"/>
    </row>
    <row r="17" spans="1:4">
      <c r="A17" s="388">
        <v>11</v>
      </c>
      <c r="B17" s="396" t="s">
        <v>635</v>
      </c>
      <c r="C17" s="388"/>
      <c r="D17" s="394"/>
    </row>
    <row r="18" spans="1:4">
      <c r="A18" s="359">
        <v>12</v>
      </c>
      <c r="B18" s="395" t="s">
        <v>423</v>
      </c>
      <c r="C18" s="359">
        <f>C7+C8+C9-C10</f>
        <v>0</v>
      </c>
      <c r="D18" s="394"/>
    </row>
    <row r="21" spans="1:4">
      <c r="B21" s="316"/>
    </row>
    <row r="22" spans="1:4">
      <c r="B22" s="316"/>
    </row>
    <row r="23" spans="1:4">
      <c r="B23" s="317"/>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G35" sqref="G35"/>
    </sheetView>
  </sheetViews>
  <sheetFormatPr defaultColWidth="9.21875" defaultRowHeight="12"/>
  <cols>
    <col min="1" max="1" width="11.77734375" style="381" bestFit="1" customWidth="1"/>
    <col min="2" max="2" width="40.44140625" style="381" customWidth="1"/>
    <col min="3" max="3" width="5.109375" style="381" bestFit="1" customWidth="1"/>
    <col min="4" max="4" width="3.6640625" style="381" customWidth="1"/>
    <col min="5" max="7" width="22.21875" style="381" customWidth="1"/>
    <col min="8" max="8" width="5.5546875" style="381" customWidth="1"/>
    <col min="9" max="18" width="22.21875" style="381" customWidth="1"/>
    <col min="19" max="19" width="23.21875" style="381" bestFit="1" customWidth="1"/>
    <col min="20" max="26" width="22.21875" style="381" customWidth="1"/>
    <col min="27" max="27" width="23.21875" style="381" bestFit="1" customWidth="1"/>
    <col min="28" max="28" width="20" style="381" customWidth="1"/>
    <col min="29" max="16384" width="9.21875" style="381"/>
  </cols>
  <sheetData>
    <row r="1" spans="1:28" ht="13.8">
      <c r="A1" s="316" t="s">
        <v>30</v>
      </c>
      <c r="B1" s="368" t="str">
        <f>'Info '!C2</f>
        <v>JSC Pave Bank Georgia</v>
      </c>
    </row>
    <row r="2" spans="1:28">
      <c r="A2" s="316" t="s">
        <v>31</v>
      </c>
      <c r="B2" s="367">
        <f>'1. key ratios '!B2</f>
        <v>45747</v>
      </c>
      <c r="C2" s="382"/>
    </row>
    <row r="3" spans="1:28">
      <c r="A3" s="317" t="s">
        <v>434</v>
      </c>
    </row>
    <row r="5" spans="1:28" ht="15" customHeight="1">
      <c r="A5" s="773" t="s">
        <v>649</v>
      </c>
      <c r="B5" s="774"/>
      <c r="C5" s="779" t="s">
        <v>435</v>
      </c>
      <c r="D5" s="780"/>
      <c r="E5" s="780"/>
      <c r="F5" s="780"/>
      <c r="G5" s="780"/>
      <c r="H5" s="780"/>
      <c r="I5" s="780"/>
      <c r="J5" s="780"/>
      <c r="K5" s="780"/>
      <c r="L5" s="780"/>
      <c r="M5" s="780"/>
      <c r="N5" s="780"/>
      <c r="O5" s="780"/>
      <c r="P5" s="780"/>
      <c r="Q5" s="780"/>
      <c r="R5" s="780"/>
      <c r="S5" s="780"/>
      <c r="T5" s="406"/>
      <c r="U5" s="406"/>
      <c r="V5" s="406"/>
      <c r="W5" s="406"/>
      <c r="X5" s="406"/>
      <c r="Y5" s="406"/>
      <c r="Z5" s="406"/>
      <c r="AA5" s="405"/>
      <c r="AB5" s="400"/>
    </row>
    <row r="6" spans="1:28" ht="12" customHeight="1">
      <c r="A6" s="775"/>
      <c r="B6" s="776"/>
      <c r="C6" s="781" t="s">
        <v>64</v>
      </c>
      <c r="D6" s="783" t="s">
        <v>648</v>
      </c>
      <c r="E6" s="783"/>
      <c r="F6" s="783"/>
      <c r="G6" s="783"/>
      <c r="H6" s="783" t="s">
        <v>647</v>
      </c>
      <c r="I6" s="783"/>
      <c r="J6" s="783"/>
      <c r="K6" s="783"/>
      <c r="L6" s="403"/>
      <c r="M6" s="784" t="s">
        <v>646</v>
      </c>
      <c r="N6" s="784"/>
      <c r="O6" s="784"/>
      <c r="P6" s="784"/>
      <c r="Q6" s="784"/>
      <c r="R6" s="784"/>
      <c r="S6" s="764"/>
      <c r="T6" s="404"/>
      <c r="U6" s="772" t="s">
        <v>645</v>
      </c>
      <c r="V6" s="772"/>
      <c r="W6" s="772"/>
      <c r="X6" s="772"/>
      <c r="Y6" s="772"/>
      <c r="Z6" s="772"/>
      <c r="AA6" s="765"/>
      <c r="AB6" s="403"/>
    </row>
    <row r="7" spans="1:28" ht="24">
      <c r="A7" s="777"/>
      <c r="B7" s="778"/>
      <c r="C7" s="782"/>
      <c r="D7" s="402"/>
      <c r="E7" s="378" t="s">
        <v>436</v>
      </c>
      <c r="F7" s="378" t="s">
        <v>643</v>
      </c>
      <c r="G7" s="380" t="s">
        <v>644</v>
      </c>
      <c r="H7" s="382"/>
      <c r="I7" s="378" t="s">
        <v>436</v>
      </c>
      <c r="J7" s="378" t="s">
        <v>643</v>
      </c>
      <c r="K7" s="380" t="s">
        <v>644</v>
      </c>
      <c r="L7" s="401"/>
      <c r="M7" s="378" t="s">
        <v>436</v>
      </c>
      <c r="N7" s="378" t="s">
        <v>643</v>
      </c>
      <c r="O7" s="378" t="s">
        <v>642</v>
      </c>
      <c r="P7" s="378" t="s">
        <v>641</v>
      </c>
      <c r="Q7" s="378" t="s">
        <v>640</v>
      </c>
      <c r="R7" s="378" t="s">
        <v>639</v>
      </c>
      <c r="S7" s="378" t="s">
        <v>638</v>
      </c>
      <c r="T7" s="401"/>
      <c r="U7" s="378" t="s">
        <v>436</v>
      </c>
      <c r="V7" s="378" t="s">
        <v>643</v>
      </c>
      <c r="W7" s="378" t="s">
        <v>642</v>
      </c>
      <c r="X7" s="378" t="s">
        <v>641</v>
      </c>
      <c r="Y7" s="378" t="s">
        <v>640</v>
      </c>
      <c r="Z7" s="378" t="s">
        <v>639</v>
      </c>
      <c r="AA7" s="378" t="s">
        <v>638</v>
      </c>
      <c r="AB7" s="400"/>
    </row>
    <row r="8" spans="1:28">
      <c r="A8" s="399">
        <v>1</v>
      </c>
      <c r="B8" s="374" t="s">
        <v>437</v>
      </c>
      <c r="C8" s="374"/>
      <c r="D8" s="370"/>
      <c r="E8" s="370"/>
      <c r="F8" s="370"/>
      <c r="G8" s="370"/>
      <c r="H8" s="370"/>
      <c r="I8" s="370"/>
      <c r="J8" s="370"/>
      <c r="K8" s="370"/>
      <c r="L8" s="370"/>
      <c r="M8" s="370"/>
      <c r="N8" s="370"/>
      <c r="O8" s="370"/>
      <c r="P8" s="370"/>
      <c r="Q8" s="370"/>
      <c r="R8" s="370"/>
      <c r="S8" s="370"/>
      <c r="T8" s="370"/>
      <c r="U8" s="370"/>
      <c r="V8" s="370"/>
      <c r="W8" s="370"/>
      <c r="X8" s="370"/>
      <c r="Y8" s="370"/>
      <c r="Z8" s="370"/>
      <c r="AA8" s="370"/>
    </row>
    <row r="9" spans="1:28">
      <c r="A9" s="370">
        <v>1.1000000000000001</v>
      </c>
      <c r="B9" s="390" t="s">
        <v>438</v>
      </c>
      <c r="C9" s="390"/>
      <c r="D9" s="370"/>
      <c r="E9" s="370"/>
      <c r="F9" s="370"/>
      <c r="G9" s="370"/>
      <c r="H9" s="370"/>
      <c r="I9" s="370"/>
      <c r="J9" s="370"/>
      <c r="K9" s="370"/>
      <c r="L9" s="370"/>
      <c r="M9" s="370"/>
      <c r="N9" s="370"/>
      <c r="O9" s="370"/>
      <c r="P9" s="370"/>
      <c r="Q9" s="370"/>
      <c r="R9" s="370"/>
      <c r="S9" s="370"/>
      <c r="T9" s="370"/>
      <c r="U9" s="370"/>
      <c r="V9" s="370"/>
      <c r="W9" s="370"/>
      <c r="X9" s="370"/>
      <c r="Y9" s="370"/>
      <c r="Z9" s="370"/>
      <c r="AA9" s="370"/>
    </row>
    <row r="10" spans="1:28">
      <c r="A10" s="370">
        <v>1.2</v>
      </c>
      <c r="B10" s="390" t="s">
        <v>439</v>
      </c>
      <c r="C10" s="39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row>
    <row r="11" spans="1:28">
      <c r="A11" s="370">
        <v>1.3</v>
      </c>
      <c r="B11" s="390" t="s">
        <v>440</v>
      </c>
      <c r="C11" s="39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row>
    <row r="12" spans="1:28">
      <c r="A12" s="370">
        <v>1.4</v>
      </c>
      <c r="B12" s="390" t="s">
        <v>441</v>
      </c>
      <c r="C12" s="39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row>
    <row r="13" spans="1:28">
      <c r="A13" s="370">
        <v>1.5</v>
      </c>
      <c r="B13" s="390" t="s">
        <v>442</v>
      </c>
      <c r="C13" s="39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row>
    <row r="14" spans="1:28">
      <c r="A14" s="370">
        <v>1.6</v>
      </c>
      <c r="B14" s="390" t="s">
        <v>443</v>
      </c>
      <c r="C14" s="39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row>
    <row r="15" spans="1:28">
      <c r="A15" s="399">
        <v>2</v>
      </c>
      <c r="B15" s="374" t="s">
        <v>444</v>
      </c>
      <c r="C15" s="374"/>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row>
    <row r="16" spans="1:28">
      <c r="A16" s="370">
        <v>2.1</v>
      </c>
      <c r="B16" s="390" t="s">
        <v>438</v>
      </c>
      <c r="C16" s="39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row>
    <row r="17" spans="1:27">
      <c r="A17" s="370">
        <v>2.2000000000000002</v>
      </c>
      <c r="B17" s="390" t="s">
        <v>439</v>
      </c>
      <c r="C17" s="39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row>
    <row r="18" spans="1:27">
      <c r="A18" s="370">
        <v>2.2999999999999998</v>
      </c>
      <c r="B18" s="390" t="s">
        <v>440</v>
      </c>
      <c r="C18" s="39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row>
    <row r="19" spans="1:27">
      <c r="A19" s="370">
        <v>2.4</v>
      </c>
      <c r="B19" s="390" t="s">
        <v>441</v>
      </c>
      <c r="C19" s="390"/>
      <c r="D19" s="370"/>
      <c r="E19" s="370"/>
      <c r="F19" s="370"/>
      <c r="G19" s="370"/>
      <c r="H19" s="370"/>
      <c r="I19" s="370"/>
      <c r="J19" s="370"/>
      <c r="K19" s="370"/>
      <c r="L19" s="370"/>
      <c r="M19" s="370"/>
      <c r="N19" s="370"/>
      <c r="O19" s="370"/>
      <c r="P19" s="370"/>
      <c r="Q19" s="370"/>
      <c r="R19" s="370"/>
      <c r="S19" s="370"/>
      <c r="T19" s="370"/>
      <c r="U19" s="370"/>
      <c r="V19" s="370"/>
      <c r="W19" s="370"/>
      <c r="X19" s="370"/>
      <c r="Y19" s="370"/>
      <c r="Z19" s="370"/>
      <c r="AA19" s="370"/>
    </row>
    <row r="20" spans="1:27">
      <c r="A20" s="370">
        <v>2.5</v>
      </c>
      <c r="B20" s="390" t="s">
        <v>442</v>
      </c>
      <c r="C20" s="390"/>
      <c r="D20" s="370"/>
      <c r="E20" s="370"/>
      <c r="F20" s="370"/>
      <c r="G20" s="370"/>
      <c r="H20" s="370"/>
      <c r="I20" s="370"/>
      <c r="J20" s="370"/>
      <c r="K20" s="370"/>
      <c r="L20" s="370"/>
      <c r="M20" s="370"/>
      <c r="N20" s="370"/>
      <c r="O20" s="370"/>
      <c r="P20" s="370"/>
      <c r="Q20" s="370"/>
      <c r="R20" s="370"/>
      <c r="S20" s="370"/>
      <c r="T20" s="370"/>
      <c r="U20" s="370"/>
      <c r="V20" s="370"/>
      <c r="W20" s="370"/>
      <c r="X20" s="370"/>
      <c r="Y20" s="370"/>
      <c r="Z20" s="370"/>
      <c r="AA20" s="370"/>
    </row>
    <row r="21" spans="1:27">
      <c r="A21" s="370">
        <v>2.6</v>
      </c>
      <c r="B21" s="390" t="s">
        <v>443</v>
      </c>
      <c r="C21" s="39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row>
    <row r="22" spans="1:27">
      <c r="A22" s="399">
        <v>3</v>
      </c>
      <c r="B22" s="374" t="s">
        <v>484</v>
      </c>
      <c r="C22" s="374"/>
      <c r="D22" s="374"/>
      <c r="E22" s="398"/>
      <c r="F22" s="398"/>
      <c r="G22" s="398"/>
      <c r="H22" s="374"/>
      <c r="I22" s="398"/>
      <c r="J22" s="398"/>
      <c r="K22" s="398"/>
      <c r="L22" s="374"/>
      <c r="M22" s="398"/>
      <c r="N22" s="398"/>
      <c r="O22" s="398"/>
      <c r="P22" s="398"/>
      <c r="Q22" s="398"/>
      <c r="R22" s="398"/>
      <c r="S22" s="398"/>
      <c r="T22" s="374"/>
      <c r="U22" s="398"/>
      <c r="V22" s="398"/>
      <c r="W22" s="398"/>
      <c r="X22" s="398"/>
      <c r="Y22" s="398"/>
      <c r="Z22" s="398"/>
      <c r="AA22" s="398"/>
    </row>
    <row r="23" spans="1:27">
      <c r="A23" s="370">
        <v>3.1</v>
      </c>
      <c r="B23" s="390" t="s">
        <v>438</v>
      </c>
      <c r="C23" s="390"/>
      <c r="D23" s="374"/>
      <c r="E23" s="398"/>
      <c r="F23" s="398"/>
      <c r="G23" s="398"/>
      <c r="H23" s="374"/>
      <c r="I23" s="398"/>
      <c r="J23" s="398"/>
      <c r="K23" s="398"/>
      <c r="L23" s="374"/>
      <c r="M23" s="398"/>
      <c r="N23" s="398"/>
      <c r="O23" s="398"/>
      <c r="P23" s="398"/>
      <c r="Q23" s="398"/>
      <c r="R23" s="398"/>
      <c r="S23" s="398"/>
      <c r="T23" s="374"/>
      <c r="U23" s="398"/>
      <c r="V23" s="398"/>
      <c r="W23" s="398"/>
      <c r="X23" s="398"/>
      <c r="Y23" s="398"/>
      <c r="Z23" s="398"/>
      <c r="AA23" s="398"/>
    </row>
    <row r="24" spans="1:27">
      <c r="A24" s="370">
        <v>3.2</v>
      </c>
      <c r="B24" s="390" t="s">
        <v>439</v>
      </c>
      <c r="C24" s="390"/>
      <c r="D24" s="374"/>
      <c r="E24" s="398"/>
      <c r="F24" s="398"/>
      <c r="G24" s="398"/>
      <c r="H24" s="374"/>
      <c r="I24" s="398"/>
      <c r="J24" s="398"/>
      <c r="K24" s="398"/>
      <c r="L24" s="374"/>
      <c r="M24" s="398"/>
      <c r="N24" s="398"/>
      <c r="O24" s="398"/>
      <c r="P24" s="398"/>
      <c r="Q24" s="398"/>
      <c r="R24" s="398"/>
      <c r="S24" s="398"/>
      <c r="T24" s="374"/>
      <c r="U24" s="398"/>
      <c r="V24" s="398"/>
      <c r="W24" s="398"/>
      <c r="X24" s="398"/>
      <c r="Y24" s="398"/>
      <c r="Z24" s="398"/>
      <c r="AA24" s="398"/>
    </row>
    <row r="25" spans="1:27">
      <c r="A25" s="370">
        <v>3.3</v>
      </c>
      <c r="B25" s="390" t="s">
        <v>440</v>
      </c>
      <c r="C25" s="390"/>
      <c r="D25" s="374"/>
      <c r="E25" s="398"/>
      <c r="F25" s="398"/>
      <c r="G25" s="398"/>
      <c r="H25" s="374"/>
      <c r="I25" s="398"/>
      <c r="J25" s="398"/>
      <c r="K25" s="398"/>
      <c r="L25" s="374"/>
      <c r="M25" s="398"/>
      <c r="N25" s="398"/>
      <c r="O25" s="398"/>
      <c r="P25" s="398"/>
      <c r="Q25" s="398"/>
      <c r="R25" s="398"/>
      <c r="S25" s="398"/>
      <c r="T25" s="374"/>
      <c r="U25" s="398"/>
      <c r="V25" s="398"/>
      <c r="W25" s="398"/>
      <c r="X25" s="398"/>
      <c r="Y25" s="398"/>
      <c r="Z25" s="398"/>
      <c r="AA25" s="398"/>
    </row>
    <row r="26" spans="1:27">
      <c r="A26" s="370">
        <v>3.4</v>
      </c>
      <c r="B26" s="390" t="s">
        <v>441</v>
      </c>
      <c r="C26" s="390"/>
      <c r="D26" s="374"/>
      <c r="E26" s="398"/>
      <c r="F26" s="398"/>
      <c r="G26" s="398"/>
      <c r="H26" s="374"/>
      <c r="I26" s="398"/>
      <c r="J26" s="398"/>
      <c r="K26" s="398"/>
      <c r="L26" s="374"/>
      <c r="M26" s="398"/>
      <c r="N26" s="398"/>
      <c r="O26" s="398"/>
      <c r="P26" s="398"/>
      <c r="Q26" s="398"/>
      <c r="R26" s="398"/>
      <c r="S26" s="398"/>
      <c r="T26" s="374"/>
      <c r="U26" s="398"/>
      <c r="V26" s="398"/>
      <c r="W26" s="398"/>
      <c r="X26" s="398"/>
      <c r="Y26" s="398"/>
      <c r="Z26" s="398"/>
      <c r="AA26" s="398"/>
    </row>
    <row r="27" spans="1:27">
      <c r="A27" s="370">
        <v>3.5</v>
      </c>
      <c r="B27" s="390" t="s">
        <v>442</v>
      </c>
      <c r="C27" s="390"/>
      <c r="D27" s="374"/>
      <c r="E27" s="398"/>
      <c r="F27" s="398"/>
      <c r="G27" s="398"/>
      <c r="H27" s="374"/>
      <c r="I27" s="398"/>
      <c r="J27" s="398"/>
      <c r="K27" s="398"/>
      <c r="L27" s="374"/>
      <c r="M27" s="398"/>
      <c r="N27" s="398"/>
      <c r="O27" s="398"/>
      <c r="P27" s="398"/>
      <c r="Q27" s="398"/>
      <c r="R27" s="398"/>
      <c r="S27" s="398"/>
      <c r="T27" s="374"/>
      <c r="U27" s="398"/>
      <c r="V27" s="398"/>
      <c r="W27" s="398"/>
      <c r="X27" s="398"/>
      <c r="Y27" s="398"/>
      <c r="Z27" s="398"/>
      <c r="AA27" s="398"/>
    </row>
    <row r="28" spans="1:27">
      <c r="A28" s="370">
        <v>3.6</v>
      </c>
      <c r="B28" s="390" t="s">
        <v>443</v>
      </c>
      <c r="C28" s="390"/>
      <c r="D28" s="374"/>
      <c r="E28" s="398"/>
      <c r="F28" s="398"/>
      <c r="G28" s="398"/>
      <c r="H28" s="374"/>
      <c r="I28" s="398"/>
      <c r="J28" s="398"/>
      <c r="K28" s="398"/>
      <c r="L28" s="374"/>
      <c r="M28" s="398"/>
      <c r="N28" s="398"/>
      <c r="O28" s="398"/>
      <c r="P28" s="398"/>
      <c r="Q28" s="398"/>
      <c r="R28" s="398"/>
      <c r="S28" s="398"/>
      <c r="T28" s="374"/>
      <c r="U28" s="398"/>
      <c r="V28" s="398"/>
      <c r="W28" s="398"/>
      <c r="X28" s="398"/>
      <c r="Y28" s="398"/>
      <c r="Z28" s="398"/>
      <c r="AA28" s="398"/>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AA27" sqref="AA27"/>
    </sheetView>
  </sheetViews>
  <sheetFormatPr defaultColWidth="9.21875" defaultRowHeight="12"/>
  <cols>
    <col min="1" max="1" width="11.77734375" style="381" bestFit="1" customWidth="1"/>
    <col min="2" max="2" width="41.77734375" style="381" customWidth="1"/>
    <col min="3" max="3" width="5.109375" style="381" bestFit="1" customWidth="1"/>
    <col min="4" max="4" width="4.33203125" style="381" customWidth="1"/>
    <col min="5" max="5" width="14" style="381" bestFit="1" customWidth="1"/>
    <col min="6" max="6" width="15.77734375" style="381" bestFit="1" customWidth="1"/>
    <col min="7" max="7" width="14.88671875" style="381" bestFit="1" customWidth="1"/>
    <col min="8" max="8" width="4.33203125" style="381" customWidth="1"/>
    <col min="9" max="9" width="14" style="381" bestFit="1" customWidth="1"/>
    <col min="10" max="10" width="15.77734375" style="381" bestFit="1" customWidth="1"/>
    <col min="11" max="11" width="14.88671875" style="381" bestFit="1" customWidth="1"/>
    <col min="12" max="12" width="4.33203125" style="381" customWidth="1"/>
    <col min="13" max="13" width="14" style="381" bestFit="1" customWidth="1"/>
    <col min="14" max="14" width="21.88671875" style="381" bestFit="1" customWidth="1"/>
    <col min="15" max="15" width="21.6640625" style="381" bestFit="1" customWidth="1"/>
    <col min="16" max="16" width="21.77734375" style="381" bestFit="1" customWidth="1"/>
    <col min="17" max="18" width="19.77734375" style="381" bestFit="1" customWidth="1"/>
    <col min="19" max="19" width="13.21875" style="381" bestFit="1" customWidth="1"/>
    <col min="20" max="20" width="5.109375" style="381" customWidth="1"/>
    <col min="21" max="21" width="14" style="381" bestFit="1" customWidth="1"/>
    <col min="22" max="22" width="21.88671875" style="381" bestFit="1" customWidth="1"/>
    <col min="23" max="23" width="21.6640625" style="381" bestFit="1" customWidth="1"/>
    <col min="24" max="24" width="21.77734375" style="381" bestFit="1" customWidth="1"/>
    <col min="25" max="26" width="19.77734375" style="381" bestFit="1" customWidth="1"/>
    <col min="27" max="27" width="13.21875" style="381" bestFit="1" customWidth="1"/>
    <col min="28" max="16384" width="9.21875" style="381"/>
  </cols>
  <sheetData>
    <row r="1" spans="1:27" ht="13.8">
      <c r="A1" s="316" t="s">
        <v>30</v>
      </c>
      <c r="B1" s="368" t="str">
        <f>'Info '!C2</f>
        <v>JSC Pave Bank Georgia</v>
      </c>
    </row>
    <row r="2" spans="1:27">
      <c r="A2" s="316" t="s">
        <v>31</v>
      </c>
      <c r="B2" s="367">
        <f>'1. key ratios '!B2</f>
        <v>45747</v>
      </c>
    </row>
    <row r="3" spans="1:27">
      <c r="A3" s="317" t="s">
        <v>446</v>
      </c>
      <c r="C3" s="383"/>
    </row>
    <row r="4" spans="1:27" ht="12.6" thickBot="1">
      <c r="A4" s="317"/>
      <c r="B4" s="383"/>
      <c r="C4" s="383"/>
    </row>
    <row r="5" spans="1:27" ht="13.5" customHeight="1">
      <c r="A5" s="785" t="s">
        <v>652</v>
      </c>
      <c r="B5" s="786"/>
      <c r="C5" s="794" t="s">
        <v>651</v>
      </c>
      <c r="D5" s="795"/>
      <c r="E5" s="795"/>
      <c r="F5" s="795"/>
      <c r="G5" s="795"/>
      <c r="H5" s="795"/>
      <c r="I5" s="795"/>
      <c r="J5" s="795"/>
      <c r="K5" s="795"/>
      <c r="L5" s="795"/>
      <c r="M5" s="795"/>
      <c r="N5" s="795"/>
      <c r="O5" s="795"/>
      <c r="P5" s="795"/>
      <c r="Q5" s="795"/>
      <c r="R5" s="795"/>
      <c r="S5" s="796"/>
      <c r="T5" s="406"/>
      <c r="U5" s="406"/>
      <c r="V5" s="406"/>
      <c r="W5" s="406"/>
      <c r="X5" s="406"/>
      <c r="Y5" s="406"/>
      <c r="Z5" s="406"/>
      <c r="AA5" s="405"/>
    </row>
    <row r="6" spans="1:27" ht="12" customHeight="1">
      <c r="A6" s="787"/>
      <c r="B6" s="788"/>
      <c r="C6" s="791" t="s">
        <v>64</v>
      </c>
      <c r="D6" s="783" t="s">
        <v>648</v>
      </c>
      <c r="E6" s="783"/>
      <c r="F6" s="783"/>
      <c r="G6" s="783"/>
      <c r="H6" s="783" t="s">
        <v>647</v>
      </c>
      <c r="I6" s="783"/>
      <c r="J6" s="783"/>
      <c r="K6" s="783"/>
      <c r="L6" s="403"/>
      <c r="M6" s="784" t="s">
        <v>646</v>
      </c>
      <c r="N6" s="784"/>
      <c r="O6" s="784"/>
      <c r="P6" s="784"/>
      <c r="Q6" s="784"/>
      <c r="R6" s="784"/>
      <c r="S6" s="793"/>
      <c r="T6" s="406"/>
      <c r="U6" s="772" t="s">
        <v>645</v>
      </c>
      <c r="V6" s="772"/>
      <c r="W6" s="772"/>
      <c r="X6" s="772"/>
      <c r="Y6" s="772"/>
      <c r="Z6" s="772"/>
      <c r="AA6" s="765"/>
    </row>
    <row r="7" spans="1:27" ht="24">
      <c r="A7" s="789"/>
      <c r="B7" s="790"/>
      <c r="C7" s="792"/>
      <c r="D7" s="402"/>
      <c r="E7" s="378" t="s">
        <v>436</v>
      </c>
      <c r="F7" s="378" t="s">
        <v>643</v>
      </c>
      <c r="G7" s="380" t="s">
        <v>644</v>
      </c>
      <c r="H7" s="382"/>
      <c r="I7" s="378" t="s">
        <v>436</v>
      </c>
      <c r="J7" s="378" t="s">
        <v>643</v>
      </c>
      <c r="K7" s="380" t="s">
        <v>644</v>
      </c>
      <c r="L7" s="401"/>
      <c r="M7" s="378" t="s">
        <v>436</v>
      </c>
      <c r="N7" s="378" t="s">
        <v>643</v>
      </c>
      <c r="O7" s="378" t="s">
        <v>642</v>
      </c>
      <c r="P7" s="378" t="s">
        <v>641</v>
      </c>
      <c r="Q7" s="378" t="s">
        <v>640</v>
      </c>
      <c r="R7" s="378" t="s">
        <v>639</v>
      </c>
      <c r="S7" s="440" t="s">
        <v>638</v>
      </c>
      <c r="T7" s="439"/>
      <c r="U7" s="378" t="s">
        <v>436</v>
      </c>
      <c r="V7" s="378" t="s">
        <v>643</v>
      </c>
      <c r="W7" s="378" t="s">
        <v>642</v>
      </c>
      <c r="X7" s="378" t="s">
        <v>641</v>
      </c>
      <c r="Y7" s="378" t="s">
        <v>640</v>
      </c>
      <c r="Z7" s="378" t="s">
        <v>639</v>
      </c>
      <c r="AA7" s="378" t="s">
        <v>638</v>
      </c>
    </row>
    <row r="8" spans="1:27">
      <c r="A8" s="438">
        <v>1</v>
      </c>
      <c r="B8" s="437" t="s">
        <v>437</v>
      </c>
      <c r="C8" s="436"/>
      <c r="D8" s="370"/>
      <c r="E8" s="370"/>
      <c r="F8" s="370"/>
      <c r="G8" s="370"/>
      <c r="H8" s="370"/>
      <c r="I8" s="370"/>
      <c r="J8" s="370"/>
      <c r="K8" s="370"/>
      <c r="L8" s="370"/>
      <c r="M8" s="370"/>
      <c r="N8" s="370"/>
      <c r="O8" s="370"/>
      <c r="P8" s="370"/>
      <c r="Q8" s="370"/>
      <c r="R8" s="370"/>
      <c r="S8" s="413"/>
      <c r="T8" s="414"/>
      <c r="U8" s="370"/>
      <c r="V8" s="370"/>
      <c r="W8" s="370"/>
      <c r="X8" s="370"/>
      <c r="Y8" s="370"/>
      <c r="Z8" s="370"/>
      <c r="AA8" s="413"/>
    </row>
    <row r="9" spans="1:27">
      <c r="A9" s="429">
        <v>1.1000000000000001</v>
      </c>
      <c r="B9" s="435" t="s">
        <v>447</v>
      </c>
      <c r="C9" s="429"/>
      <c r="D9" s="370"/>
      <c r="E9" s="370"/>
      <c r="F9" s="370"/>
      <c r="G9" s="370"/>
      <c r="H9" s="370"/>
      <c r="I9" s="370"/>
      <c r="J9" s="370"/>
      <c r="K9" s="370"/>
      <c r="L9" s="370"/>
      <c r="M9" s="370"/>
      <c r="N9" s="370"/>
      <c r="O9" s="370"/>
      <c r="P9" s="370"/>
      <c r="Q9" s="370"/>
      <c r="R9" s="370"/>
      <c r="S9" s="413"/>
      <c r="T9" s="414"/>
      <c r="U9" s="370"/>
      <c r="V9" s="370"/>
      <c r="W9" s="370"/>
      <c r="X9" s="370"/>
      <c r="Y9" s="370"/>
      <c r="Z9" s="370"/>
      <c r="AA9" s="413"/>
    </row>
    <row r="10" spans="1:27">
      <c r="A10" s="433" t="s">
        <v>14</v>
      </c>
      <c r="B10" s="434" t="s">
        <v>448</v>
      </c>
      <c r="C10" s="433"/>
      <c r="D10" s="370"/>
      <c r="E10" s="370"/>
      <c r="F10" s="370"/>
      <c r="G10" s="370"/>
      <c r="H10" s="370"/>
      <c r="I10" s="370"/>
      <c r="J10" s="370"/>
      <c r="K10" s="370"/>
      <c r="L10" s="370"/>
      <c r="M10" s="370"/>
      <c r="N10" s="370"/>
      <c r="O10" s="370"/>
      <c r="P10" s="370"/>
      <c r="Q10" s="370"/>
      <c r="R10" s="370"/>
      <c r="S10" s="413"/>
      <c r="T10" s="414"/>
      <c r="U10" s="370"/>
      <c r="V10" s="370"/>
      <c r="W10" s="370"/>
      <c r="X10" s="370"/>
      <c r="Y10" s="370"/>
      <c r="Z10" s="370"/>
      <c r="AA10" s="413"/>
    </row>
    <row r="11" spans="1:27">
      <c r="A11" s="431" t="s">
        <v>449</v>
      </c>
      <c r="B11" s="432" t="s">
        <v>450</v>
      </c>
      <c r="C11" s="431"/>
      <c r="D11" s="370"/>
      <c r="E11" s="370"/>
      <c r="F11" s="370"/>
      <c r="G11" s="370"/>
      <c r="H11" s="370"/>
      <c r="I11" s="370"/>
      <c r="J11" s="370"/>
      <c r="K11" s="370"/>
      <c r="L11" s="370"/>
      <c r="M11" s="370"/>
      <c r="N11" s="370"/>
      <c r="O11" s="370"/>
      <c r="P11" s="370"/>
      <c r="Q11" s="370"/>
      <c r="R11" s="370"/>
      <c r="S11" s="413"/>
      <c r="T11" s="414"/>
      <c r="U11" s="370"/>
      <c r="V11" s="370"/>
      <c r="W11" s="370"/>
      <c r="X11" s="370"/>
      <c r="Y11" s="370"/>
      <c r="Z11" s="370"/>
      <c r="AA11" s="413"/>
    </row>
    <row r="12" spans="1:27">
      <c r="A12" s="431" t="s">
        <v>451</v>
      </c>
      <c r="B12" s="432" t="s">
        <v>452</v>
      </c>
      <c r="C12" s="431"/>
      <c r="D12" s="370"/>
      <c r="E12" s="370"/>
      <c r="F12" s="370"/>
      <c r="G12" s="370"/>
      <c r="H12" s="370"/>
      <c r="I12" s="370"/>
      <c r="J12" s="370"/>
      <c r="K12" s="370"/>
      <c r="L12" s="370"/>
      <c r="M12" s="370"/>
      <c r="N12" s="370"/>
      <c r="O12" s="370"/>
      <c r="P12" s="370"/>
      <c r="Q12" s="370"/>
      <c r="R12" s="370"/>
      <c r="S12" s="413"/>
      <c r="T12" s="414"/>
      <c r="U12" s="370"/>
      <c r="V12" s="370"/>
      <c r="W12" s="370"/>
      <c r="X12" s="370"/>
      <c r="Y12" s="370"/>
      <c r="Z12" s="370"/>
      <c r="AA12" s="413"/>
    </row>
    <row r="13" spans="1:27">
      <c r="A13" s="431" t="s">
        <v>453</v>
      </c>
      <c r="B13" s="432" t="s">
        <v>454</v>
      </c>
      <c r="C13" s="431"/>
      <c r="D13" s="370"/>
      <c r="E13" s="370"/>
      <c r="F13" s="370"/>
      <c r="G13" s="370"/>
      <c r="H13" s="370"/>
      <c r="I13" s="370"/>
      <c r="J13" s="370"/>
      <c r="K13" s="370"/>
      <c r="L13" s="370"/>
      <c r="M13" s="370"/>
      <c r="N13" s="370"/>
      <c r="O13" s="370"/>
      <c r="P13" s="370"/>
      <c r="Q13" s="370"/>
      <c r="R13" s="370"/>
      <c r="S13" s="413"/>
      <c r="T13" s="414"/>
      <c r="U13" s="370"/>
      <c r="V13" s="370"/>
      <c r="W13" s="370"/>
      <c r="X13" s="370"/>
      <c r="Y13" s="370"/>
      <c r="Z13" s="370"/>
      <c r="AA13" s="413"/>
    </row>
    <row r="14" spans="1:27">
      <c r="A14" s="431" t="s">
        <v>455</v>
      </c>
      <c r="B14" s="432" t="s">
        <v>456</v>
      </c>
      <c r="C14" s="431"/>
      <c r="D14" s="370"/>
      <c r="E14" s="370"/>
      <c r="F14" s="370"/>
      <c r="G14" s="370"/>
      <c r="H14" s="370"/>
      <c r="I14" s="370"/>
      <c r="J14" s="370"/>
      <c r="K14" s="370"/>
      <c r="L14" s="370"/>
      <c r="M14" s="370"/>
      <c r="N14" s="370"/>
      <c r="O14" s="370"/>
      <c r="P14" s="370"/>
      <c r="Q14" s="370"/>
      <c r="R14" s="370"/>
      <c r="S14" s="413"/>
      <c r="T14" s="414"/>
      <c r="U14" s="370"/>
      <c r="V14" s="370"/>
      <c r="W14" s="370"/>
      <c r="X14" s="370"/>
      <c r="Y14" s="370"/>
      <c r="Z14" s="370"/>
      <c r="AA14" s="413"/>
    </row>
    <row r="15" spans="1:27">
      <c r="A15" s="430">
        <v>1.2</v>
      </c>
      <c r="B15" s="428" t="s">
        <v>650</v>
      </c>
      <c r="C15" s="430"/>
      <c r="D15" s="370"/>
      <c r="E15" s="370"/>
      <c r="F15" s="370"/>
      <c r="G15" s="370"/>
      <c r="H15" s="370"/>
      <c r="I15" s="370"/>
      <c r="J15" s="370"/>
      <c r="K15" s="370"/>
      <c r="L15" s="370"/>
      <c r="M15" s="370"/>
      <c r="N15" s="370"/>
      <c r="O15" s="370"/>
      <c r="P15" s="370"/>
      <c r="Q15" s="370"/>
      <c r="R15" s="370"/>
      <c r="S15" s="413"/>
      <c r="T15" s="414"/>
      <c r="U15" s="370"/>
      <c r="V15" s="370"/>
      <c r="W15" s="370"/>
      <c r="X15" s="370"/>
      <c r="Y15" s="370"/>
      <c r="Z15" s="370"/>
      <c r="AA15" s="413"/>
    </row>
    <row r="16" spans="1:27">
      <c r="A16" s="429">
        <v>1.3</v>
      </c>
      <c r="B16" s="428" t="s">
        <v>495</v>
      </c>
      <c r="C16" s="427"/>
      <c r="D16" s="425"/>
      <c r="E16" s="425"/>
      <c r="F16" s="425"/>
      <c r="G16" s="425"/>
      <c r="H16" s="425"/>
      <c r="I16" s="425"/>
      <c r="J16" s="425"/>
      <c r="K16" s="425"/>
      <c r="L16" s="425"/>
      <c r="M16" s="425"/>
      <c r="N16" s="425"/>
      <c r="O16" s="425"/>
      <c r="P16" s="425"/>
      <c r="Q16" s="425"/>
      <c r="R16" s="425"/>
      <c r="S16" s="424"/>
      <c r="T16" s="426"/>
      <c r="U16" s="425"/>
      <c r="V16" s="425"/>
      <c r="W16" s="425"/>
      <c r="X16" s="425"/>
      <c r="Y16" s="425"/>
      <c r="Z16" s="425"/>
      <c r="AA16" s="424"/>
    </row>
    <row r="17" spans="1:27">
      <c r="A17" s="420" t="s">
        <v>457</v>
      </c>
      <c r="B17" s="423" t="s">
        <v>458</v>
      </c>
      <c r="C17" s="422"/>
      <c r="D17" s="370"/>
      <c r="E17" s="370"/>
      <c r="F17" s="370"/>
      <c r="G17" s="370"/>
      <c r="H17" s="370"/>
      <c r="I17" s="370"/>
      <c r="J17" s="370"/>
      <c r="K17" s="370"/>
      <c r="L17" s="370"/>
      <c r="M17" s="370"/>
      <c r="N17" s="370"/>
      <c r="O17" s="370"/>
      <c r="P17" s="370"/>
      <c r="Q17" s="370"/>
      <c r="R17" s="370"/>
      <c r="S17" s="413"/>
      <c r="T17" s="414"/>
      <c r="U17" s="370"/>
      <c r="V17" s="370"/>
      <c r="W17" s="370"/>
      <c r="X17" s="370"/>
      <c r="Y17" s="370"/>
      <c r="Z17" s="370"/>
      <c r="AA17" s="413"/>
    </row>
    <row r="18" spans="1:27">
      <c r="A18" s="418" t="s">
        <v>459</v>
      </c>
      <c r="B18" s="419" t="s">
        <v>460</v>
      </c>
      <c r="C18" s="418"/>
      <c r="D18" s="370"/>
      <c r="E18" s="370"/>
      <c r="F18" s="370"/>
      <c r="G18" s="370"/>
      <c r="H18" s="370"/>
      <c r="I18" s="370"/>
      <c r="J18" s="370"/>
      <c r="K18" s="370"/>
      <c r="L18" s="370"/>
      <c r="M18" s="370"/>
      <c r="N18" s="370"/>
      <c r="O18" s="370"/>
      <c r="P18" s="370"/>
      <c r="Q18" s="370"/>
      <c r="R18" s="370"/>
      <c r="S18" s="413"/>
      <c r="T18" s="414"/>
      <c r="U18" s="370"/>
      <c r="V18" s="370"/>
      <c r="W18" s="370"/>
      <c r="X18" s="370"/>
      <c r="Y18" s="370"/>
      <c r="Z18" s="370"/>
      <c r="AA18" s="413"/>
    </row>
    <row r="19" spans="1:27">
      <c r="A19" s="420" t="s">
        <v>461</v>
      </c>
      <c r="B19" s="421" t="s">
        <v>462</v>
      </c>
      <c r="C19" s="420"/>
      <c r="D19" s="370"/>
      <c r="E19" s="370"/>
      <c r="F19" s="370"/>
      <c r="G19" s="370"/>
      <c r="H19" s="370"/>
      <c r="I19" s="370"/>
      <c r="J19" s="370"/>
      <c r="K19" s="370"/>
      <c r="L19" s="370"/>
      <c r="M19" s="370"/>
      <c r="N19" s="370"/>
      <c r="O19" s="370"/>
      <c r="P19" s="370"/>
      <c r="Q19" s="370"/>
      <c r="R19" s="370"/>
      <c r="S19" s="413"/>
      <c r="T19" s="414"/>
      <c r="U19" s="370"/>
      <c r="V19" s="370"/>
      <c r="W19" s="370"/>
      <c r="X19" s="370"/>
      <c r="Y19" s="370"/>
      <c r="Z19" s="370"/>
      <c r="AA19" s="413"/>
    </row>
    <row r="20" spans="1:27">
      <c r="A20" s="418" t="s">
        <v>463</v>
      </c>
      <c r="B20" s="419" t="s">
        <v>460</v>
      </c>
      <c r="C20" s="418"/>
      <c r="D20" s="370"/>
      <c r="E20" s="370"/>
      <c r="F20" s="370"/>
      <c r="G20" s="370"/>
      <c r="H20" s="370"/>
      <c r="I20" s="370"/>
      <c r="J20" s="370"/>
      <c r="K20" s="370"/>
      <c r="L20" s="370"/>
      <c r="M20" s="370"/>
      <c r="N20" s="370"/>
      <c r="O20" s="370"/>
      <c r="P20" s="370"/>
      <c r="Q20" s="370"/>
      <c r="R20" s="370"/>
      <c r="S20" s="413"/>
      <c r="T20" s="414"/>
      <c r="U20" s="370"/>
      <c r="V20" s="370"/>
      <c r="W20" s="370"/>
      <c r="X20" s="370"/>
      <c r="Y20" s="370"/>
      <c r="Z20" s="370"/>
      <c r="AA20" s="413"/>
    </row>
    <row r="21" spans="1:27">
      <c r="A21" s="417">
        <v>1.4</v>
      </c>
      <c r="B21" s="416" t="s">
        <v>464</v>
      </c>
      <c r="C21" s="415"/>
      <c r="D21" s="370"/>
      <c r="E21" s="370"/>
      <c r="F21" s="370"/>
      <c r="G21" s="370"/>
      <c r="H21" s="370"/>
      <c r="I21" s="370"/>
      <c r="J21" s="370"/>
      <c r="K21" s="370"/>
      <c r="L21" s="370"/>
      <c r="M21" s="370"/>
      <c r="N21" s="370"/>
      <c r="O21" s="370"/>
      <c r="P21" s="370"/>
      <c r="Q21" s="370"/>
      <c r="R21" s="370"/>
      <c r="S21" s="413"/>
      <c r="T21" s="414"/>
      <c r="U21" s="370"/>
      <c r="V21" s="370"/>
      <c r="W21" s="370"/>
      <c r="X21" s="370"/>
      <c r="Y21" s="370"/>
      <c r="Z21" s="370"/>
      <c r="AA21" s="413"/>
    </row>
    <row r="22" spans="1:27" ht="12.6" thickBot="1">
      <c r="A22" s="412">
        <v>1.5</v>
      </c>
      <c r="B22" s="411" t="s">
        <v>465</v>
      </c>
      <c r="C22" s="410"/>
      <c r="D22" s="408"/>
      <c r="E22" s="408"/>
      <c r="F22" s="408"/>
      <c r="G22" s="408"/>
      <c r="H22" s="408"/>
      <c r="I22" s="408"/>
      <c r="J22" s="408"/>
      <c r="K22" s="408"/>
      <c r="L22" s="408"/>
      <c r="M22" s="408"/>
      <c r="N22" s="408"/>
      <c r="O22" s="408"/>
      <c r="P22" s="408"/>
      <c r="Q22" s="408"/>
      <c r="R22" s="408"/>
      <c r="S22" s="407"/>
      <c r="T22" s="409"/>
      <c r="U22" s="408"/>
      <c r="V22" s="408"/>
      <c r="W22" s="408"/>
      <c r="X22" s="408"/>
      <c r="Y22" s="408"/>
      <c r="Z22" s="408"/>
      <c r="AA22" s="40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J1" sqref="J1"/>
    </sheetView>
  </sheetViews>
  <sheetFormatPr defaultColWidth="8.77734375" defaultRowHeight="13.8"/>
  <cols>
    <col min="1" max="1" width="8.77734375" style="513"/>
    <col min="2" max="2" width="69.21875" style="514" customWidth="1"/>
    <col min="3" max="3" width="13.6640625" style="500" customWidth="1"/>
    <col min="4" max="4" width="14.44140625" style="500" customWidth="1"/>
    <col min="5" max="8" width="13.21875" style="500" customWidth="1"/>
    <col min="9" max="16384" width="8.77734375" style="500"/>
  </cols>
  <sheetData>
    <row r="1" spans="1:8">
      <c r="A1" s="134" t="s">
        <v>30</v>
      </c>
      <c r="B1" s="499" t="str">
        <f>'Info '!C2</f>
        <v>JSC Pave Bank Georgia</v>
      </c>
      <c r="C1" s="499"/>
    </row>
    <row r="2" spans="1:8">
      <c r="A2" s="134" t="s">
        <v>31</v>
      </c>
      <c r="B2" s="501">
        <f>'1. key ratios '!B2</f>
        <v>45747</v>
      </c>
      <c r="C2" s="499"/>
    </row>
    <row r="3" spans="1:8" ht="14.4" thickBot="1">
      <c r="A3" s="134"/>
      <c r="B3" s="499"/>
      <c r="C3" s="499"/>
    </row>
    <row r="4" spans="1:8" ht="21" customHeight="1">
      <c r="A4" s="691" t="s">
        <v>6</v>
      </c>
      <c r="B4" s="693" t="s">
        <v>521</v>
      </c>
      <c r="C4" s="695" t="s">
        <v>522</v>
      </c>
      <c r="D4" s="695"/>
      <c r="E4" s="695"/>
      <c r="F4" s="695" t="s">
        <v>523</v>
      </c>
      <c r="G4" s="695"/>
      <c r="H4" s="696"/>
    </row>
    <row r="5" spans="1:8" ht="21" customHeight="1">
      <c r="A5" s="692"/>
      <c r="B5" s="694"/>
      <c r="C5" s="592" t="s">
        <v>32</v>
      </c>
      <c r="D5" s="592" t="s">
        <v>33</v>
      </c>
      <c r="E5" s="592" t="s">
        <v>34</v>
      </c>
      <c r="F5" s="592" t="s">
        <v>32</v>
      </c>
      <c r="G5" s="592" t="s">
        <v>33</v>
      </c>
      <c r="H5" s="593" t="s">
        <v>34</v>
      </c>
    </row>
    <row r="6" spans="1:8" ht="26.55" customHeight="1">
      <c r="A6" s="692"/>
      <c r="B6" s="594" t="s">
        <v>524</v>
      </c>
      <c r="C6" s="697"/>
      <c r="D6" s="698"/>
      <c r="E6" s="698"/>
      <c r="F6" s="698"/>
      <c r="G6" s="698"/>
      <c r="H6" s="699"/>
    </row>
    <row r="7" spans="1:8" ht="22.95" customHeight="1">
      <c r="A7" s="595">
        <v>1</v>
      </c>
      <c r="B7" s="596" t="s">
        <v>525</v>
      </c>
      <c r="C7" s="597">
        <f>SUM(C8:C10)</f>
        <v>8184704.2699999996</v>
      </c>
      <c r="D7" s="597">
        <f>SUM(D8:D10)</f>
        <v>21842129.390000001</v>
      </c>
      <c r="E7" s="598">
        <f>C7+D7</f>
        <v>30026833.66</v>
      </c>
      <c r="F7" s="597">
        <f>SUM(F8:F10)</f>
        <v>5275784.5</v>
      </c>
      <c r="G7" s="597">
        <f>SUM(G8:G10)</f>
        <v>0</v>
      </c>
      <c r="H7" s="599">
        <f>F7+G7</f>
        <v>5275784.5</v>
      </c>
    </row>
    <row r="8" spans="1:8">
      <c r="A8" s="595">
        <v>1.1000000000000001</v>
      </c>
      <c r="B8" s="600" t="s">
        <v>526</v>
      </c>
      <c r="C8" s="597">
        <v>0</v>
      </c>
      <c r="D8" s="597">
        <v>0</v>
      </c>
      <c r="E8" s="598">
        <f t="shared" ref="E8:E36" si="0">C8+D8</f>
        <v>0</v>
      </c>
      <c r="F8" s="597">
        <v>0</v>
      </c>
      <c r="G8" s="597">
        <v>0</v>
      </c>
      <c r="H8" s="599">
        <f t="shared" ref="H8:H36" si="1">F8+G8</f>
        <v>0</v>
      </c>
    </row>
    <row r="9" spans="1:8">
      <c r="A9" s="595">
        <v>1.2</v>
      </c>
      <c r="B9" s="600" t="s">
        <v>527</v>
      </c>
      <c r="C9" s="597">
        <v>119189.99</v>
      </c>
      <c r="D9" s="597">
        <v>16905242.130000003</v>
      </c>
      <c r="E9" s="598">
        <f t="shared" si="0"/>
        <v>17024432.120000001</v>
      </c>
      <c r="F9" s="597">
        <v>0</v>
      </c>
      <c r="G9" s="597">
        <v>0</v>
      </c>
      <c r="H9" s="599">
        <f t="shared" si="1"/>
        <v>0</v>
      </c>
    </row>
    <row r="10" spans="1:8">
      <c r="A10" s="595">
        <v>1.3</v>
      </c>
      <c r="B10" s="600" t="s">
        <v>528</v>
      </c>
      <c r="C10" s="597">
        <v>8065514.2799999993</v>
      </c>
      <c r="D10" s="597">
        <v>4936887.26</v>
      </c>
      <c r="E10" s="598">
        <f t="shared" si="0"/>
        <v>13002401.539999999</v>
      </c>
      <c r="F10" s="597">
        <v>5275784.5</v>
      </c>
      <c r="G10" s="597">
        <v>0</v>
      </c>
      <c r="H10" s="599">
        <f t="shared" si="1"/>
        <v>5275784.5</v>
      </c>
    </row>
    <row r="11" spans="1:8">
      <c r="A11" s="595">
        <v>2</v>
      </c>
      <c r="B11" s="502" t="s">
        <v>529</v>
      </c>
      <c r="C11" s="597">
        <v>0</v>
      </c>
      <c r="D11" s="597">
        <v>0</v>
      </c>
      <c r="E11" s="598">
        <f t="shared" si="0"/>
        <v>0</v>
      </c>
      <c r="F11" s="597">
        <v>0</v>
      </c>
      <c r="G11" s="597">
        <v>0</v>
      </c>
      <c r="H11" s="599">
        <f t="shared" si="1"/>
        <v>0</v>
      </c>
    </row>
    <row r="12" spans="1:8">
      <c r="A12" s="595">
        <v>2.1</v>
      </c>
      <c r="B12" s="601" t="s">
        <v>530</v>
      </c>
      <c r="C12" s="597">
        <v>0</v>
      </c>
      <c r="D12" s="597">
        <v>0</v>
      </c>
      <c r="E12" s="598">
        <f t="shared" si="0"/>
        <v>0</v>
      </c>
      <c r="F12" s="597">
        <v>0</v>
      </c>
      <c r="G12" s="597">
        <v>0</v>
      </c>
      <c r="H12" s="599">
        <f t="shared" si="1"/>
        <v>0</v>
      </c>
    </row>
    <row r="13" spans="1:8" ht="26.55" customHeight="1">
      <c r="A13" s="595">
        <v>3</v>
      </c>
      <c r="B13" s="503" t="s">
        <v>531</v>
      </c>
      <c r="C13" s="597">
        <v>0</v>
      </c>
      <c r="D13" s="597">
        <v>0</v>
      </c>
      <c r="E13" s="598">
        <f t="shared" si="0"/>
        <v>0</v>
      </c>
      <c r="F13" s="597">
        <v>0</v>
      </c>
      <c r="G13" s="597">
        <v>0</v>
      </c>
      <c r="H13" s="599">
        <f t="shared" si="1"/>
        <v>0</v>
      </c>
    </row>
    <row r="14" spans="1:8" ht="26.55" customHeight="1">
      <c r="A14" s="595">
        <v>4</v>
      </c>
      <c r="B14" s="504" t="s">
        <v>532</v>
      </c>
      <c r="C14" s="597">
        <v>0</v>
      </c>
      <c r="D14" s="597">
        <v>0</v>
      </c>
      <c r="E14" s="598">
        <f t="shared" si="0"/>
        <v>0</v>
      </c>
      <c r="F14" s="597">
        <v>0</v>
      </c>
      <c r="G14" s="597">
        <v>0</v>
      </c>
      <c r="H14" s="599">
        <f t="shared" si="1"/>
        <v>0</v>
      </c>
    </row>
    <row r="15" spans="1:8" ht="24.45" customHeight="1">
      <c r="A15" s="595">
        <v>5</v>
      </c>
      <c r="B15" s="505" t="s">
        <v>533</v>
      </c>
      <c r="C15" s="602">
        <f>SUM(C16:C18)</f>
        <v>0</v>
      </c>
      <c r="D15" s="602">
        <f>SUM(D16:D18)</f>
        <v>0</v>
      </c>
      <c r="E15" s="603">
        <f t="shared" si="0"/>
        <v>0</v>
      </c>
      <c r="F15" s="602">
        <f>SUM(F16:F18)</f>
        <v>0</v>
      </c>
      <c r="G15" s="602">
        <f>SUM(G16:G18)</f>
        <v>0</v>
      </c>
      <c r="H15" s="604">
        <f t="shared" si="1"/>
        <v>0</v>
      </c>
    </row>
    <row r="16" spans="1:8">
      <c r="A16" s="595">
        <v>5.0999999999999996</v>
      </c>
      <c r="B16" s="506" t="s">
        <v>534</v>
      </c>
      <c r="C16" s="597">
        <v>0</v>
      </c>
      <c r="D16" s="597">
        <v>0</v>
      </c>
      <c r="E16" s="598">
        <f t="shared" si="0"/>
        <v>0</v>
      </c>
      <c r="F16" s="597">
        <v>0</v>
      </c>
      <c r="G16" s="597">
        <v>0</v>
      </c>
      <c r="H16" s="599">
        <f t="shared" si="1"/>
        <v>0</v>
      </c>
    </row>
    <row r="17" spans="1:8">
      <c r="A17" s="595">
        <v>5.2</v>
      </c>
      <c r="B17" s="506" t="s">
        <v>535</v>
      </c>
      <c r="C17" s="597">
        <v>0</v>
      </c>
      <c r="D17" s="597">
        <v>0</v>
      </c>
      <c r="E17" s="598">
        <f t="shared" si="0"/>
        <v>0</v>
      </c>
      <c r="F17" s="597">
        <v>0</v>
      </c>
      <c r="G17" s="597">
        <v>0</v>
      </c>
      <c r="H17" s="599">
        <f t="shared" si="1"/>
        <v>0</v>
      </c>
    </row>
    <row r="18" spans="1:8">
      <c r="A18" s="595">
        <v>5.3</v>
      </c>
      <c r="B18" s="507" t="s">
        <v>536</v>
      </c>
      <c r="C18" s="597">
        <v>0</v>
      </c>
      <c r="D18" s="597">
        <v>0</v>
      </c>
      <c r="E18" s="598">
        <f t="shared" si="0"/>
        <v>0</v>
      </c>
      <c r="F18" s="597">
        <v>0</v>
      </c>
      <c r="G18" s="597">
        <v>0</v>
      </c>
      <c r="H18" s="599">
        <f t="shared" si="1"/>
        <v>0</v>
      </c>
    </row>
    <row r="19" spans="1:8">
      <c r="A19" s="595">
        <v>6</v>
      </c>
      <c r="B19" s="503" t="s">
        <v>537</v>
      </c>
      <c r="C19" s="597">
        <f>SUM(C20:C21)</f>
        <v>0</v>
      </c>
      <c r="D19" s="597">
        <f>SUM(D20:D21)</f>
        <v>0</v>
      </c>
      <c r="E19" s="598">
        <f t="shared" si="0"/>
        <v>0</v>
      </c>
      <c r="F19" s="597">
        <f>SUM(F20:F21)</f>
        <v>0</v>
      </c>
      <c r="G19" s="597">
        <f>SUM(G20:G21)</f>
        <v>0</v>
      </c>
      <c r="H19" s="599">
        <f t="shared" si="1"/>
        <v>0</v>
      </c>
    </row>
    <row r="20" spans="1:8">
      <c r="A20" s="595">
        <v>6.1</v>
      </c>
      <c r="B20" s="506" t="s">
        <v>535</v>
      </c>
      <c r="C20" s="597">
        <v>0</v>
      </c>
      <c r="D20" s="597">
        <v>0</v>
      </c>
      <c r="E20" s="598">
        <f t="shared" si="0"/>
        <v>0</v>
      </c>
      <c r="F20" s="597">
        <v>0</v>
      </c>
      <c r="G20" s="597">
        <v>0</v>
      </c>
      <c r="H20" s="599">
        <f t="shared" si="1"/>
        <v>0</v>
      </c>
    </row>
    <row r="21" spans="1:8">
      <c r="A21" s="595">
        <v>6.2</v>
      </c>
      <c r="B21" s="507" t="s">
        <v>536</v>
      </c>
      <c r="C21" s="597">
        <v>0</v>
      </c>
      <c r="D21" s="597">
        <v>0</v>
      </c>
      <c r="E21" s="598">
        <f t="shared" si="0"/>
        <v>0</v>
      </c>
      <c r="F21" s="597">
        <v>0</v>
      </c>
      <c r="G21" s="597">
        <v>0</v>
      </c>
      <c r="H21" s="599">
        <f t="shared" si="1"/>
        <v>0</v>
      </c>
    </row>
    <row r="22" spans="1:8">
      <c r="A22" s="595">
        <v>7</v>
      </c>
      <c r="B22" s="502" t="s">
        <v>538</v>
      </c>
      <c r="C22" s="597">
        <v>0</v>
      </c>
      <c r="D22" s="597">
        <v>0</v>
      </c>
      <c r="E22" s="598">
        <f t="shared" si="0"/>
        <v>0</v>
      </c>
      <c r="F22" s="597">
        <v>0</v>
      </c>
      <c r="G22" s="597">
        <v>0</v>
      </c>
      <c r="H22" s="599">
        <f t="shared" si="1"/>
        <v>0</v>
      </c>
    </row>
    <row r="23" spans="1:8">
      <c r="A23" s="595">
        <v>8</v>
      </c>
      <c r="B23" s="508" t="s">
        <v>539</v>
      </c>
      <c r="C23" s="597">
        <v>0</v>
      </c>
      <c r="D23" s="597">
        <v>0</v>
      </c>
      <c r="E23" s="598">
        <f t="shared" si="0"/>
        <v>0</v>
      </c>
      <c r="F23" s="597">
        <v>0</v>
      </c>
      <c r="G23" s="597">
        <v>0</v>
      </c>
      <c r="H23" s="599">
        <f t="shared" si="1"/>
        <v>0</v>
      </c>
    </row>
    <row r="24" spans="1:8">
      <c r="A24" s="595">
        <v>9</v>
      </c>
      <c r="B24" s="504" t="s">
        <v>540</v>
      </c>
      <c r="C24" s="597">
        <f>SUM(C25:C26)</f>
        <v>23847.22</v>
      </c>
      <c r="D24" s="597">
        <f>SUM(D25:D26)</f>
        <v>0</v>
      </c>
      <c r="E24" s="598">
        <f t="shared" si="0"/>
        <v>23847.22</v>
      </c>
      <c r="F24" s="597">
        <f>SUM(F25:F26)</f>
        <v>0</v>
      </c>
      <c r="G24" s="597">
        <f>SUM(G25:G26)</f>
        <v>0</v>
      </c>
      <c r="H24" s="599">
        <f t="shared" si="1"/>
        <v>0</v>
      </c>
    </row>
    <row r="25" spans="1:8">
      <c r="A25" s="595">
        <v>9.1</v>
      </c>
      <c r="B25" s="506" t="s">
        <v>541</v>
      </c>
      <c r="C25" s="597">
        <v>23847.22</v>
      </c>
      <c r="D25" s="597">
        <v>0</v>
      </c>
      <c r="E25" s="598">
        <f t="shared" si="0"/>
        <v>23847.22</v>
      </c>
      <c r="F25" s="597">
        <v>0</v>
      </c>
      <c r="G25" s="597">
        <v>0</v>
      </c>
      <c r="H25" s="599">
        <f t="shared" si="1"/>
        <v>0</v>
      </c>
    </row>
    <row r="26" spans="1:8">
      <c r="A26" s="595">
        <v>9.1999999999999993</v>
      </c>
      <c r="B26" s="506" t="s">
        <v>542</v>
      </c>
      <c r="C26" s="597">
        <v>0</v>
      </c>
      <c r="D26" s="597">
        <v>0</v>
      </c>
      <c r="E26" s="598">
        <f t="shared" si="0"/>
        <v>0</v>
      </c>
      <c r="F26" s="597">
        <v>0</v>
      </c>
      <c r="G26" s="597">
        <v>0</v>
      </c>
      <c r="H26" s="599">
        <f t="shared" si="1"/>
        <v>0</v>
      </c>
    </row>
    <row r="27" spans="1:8">
      <c r="A27" s="595">
        <v>10</v>
      </c>
      <c r="B27" s="504" t="s">
        <v>543</v>
      </c>
      <c r="C27" s="597">
        <f>SUM(C28:C29)</f>
        <v>259105.8</v>
      </c>
      <c r="D27" s="597">
        <f>SUM(D28:D29)</f>
        <v>0</v>
      </c>
      <c r="E27" s="598">
        <f t="shared" si="0"/>
        <v>259105.8</v>
      </c>
      <c r="F27" s="597">
        <f>SUM(F28:F29)</f>
        <v>300000</v>
      </c>
      <c r="G27" s="597">
        <f>SUM(G28:G29)</f>
        <v>0</v>
      </c>
      <c r="H27" s="599">
        <f t="shared" si="1"/>
        <v>300000</v>
      </c>
    </row>
    <row r="28" spans="1:8">
      <c r="A28" s="595">
        <v>10.1</v>
      </c>
      <c r="B28" s="506" t="s">
        <v>544</v>
      </c>
      <c r="C28" s="597">
        <v>0</v>
      </c>
      <c r="D28" s="597">
        <v>0</v>
      </c>
      <c r="E28" s="598">
        <f t="shared" si="0"/>
        <v>0</v>
      </c>
      <c r="F28" s="597">
        <v>0</v>
      </c>
      <c r="G28" s="597">
        <v>0</v>
      </c>
      <c r="H28" s="599">
        <f t="shared" si="1"/>
        <v>0</v>
      </c>
    </row>
    <row r="29" spans="1:8">
      <c r="A29" s="595">
        <v>10.199999999999999</v>
      </c>
      <c r="B29" s="506" t="s">
        <v>545</v>
      </c>
      <c r="C29" s="597">
        <v>259105.8</v>
      </c>
      <c r="D29" s="597">
        <v>0</v>
      </c>
      <c r="E29" s="598">
        <f t="shared" si="0"/>
        <v>259105.8</v>
      </c>
      <c r="F29" s="597">
        <v>300000</v>
      </c>
      <c r="G29" s="597">
        <v>0</v>
      </c>
      <c r="H29" s="599">
        <f t="shared" si="1"/>
        <v>300000</v>
      </c>
    </row>
    <row r="30" spans="1:8">
      <c r="A30" s="595">
        <v>11</v>
      </c>
      <c r="B30" s="504" t="s">
        <v>546</v>
      </c>
      <c r="C30" s="597">
        <f>SUM(C31:C32)</f>
        <v>94887.16</v>
      </c>
      <c r="D30" s="597">
        <f>SUM(D31:D32)</f>
        <v>0</v>
      </c>
      <c r="E30" s="598">
        <f t="shared" si="0"/>
        <v>94887.16</v>
      </c>
      <c r="F30" s="597">
        <f>SUM(F31:F32)</f>
        <v>0</v>
      </c>
      <c r="G30" s="597">
        <f>SUM(G31:G32)</f>
        <v>0</v>
      </c>
      <c r="H30" s="599">
        <f t="shared" si="1"/>
        <v>0</v>
      </c>
    </row>
    <row r="31" spans="1:8">
      <c r="A31" s="595">
        <v>11.1</v>
      </c>
      <c r="B31" s="506" t="s">
        <v>547</v>
      </c>
      <c r="C31" s="597">
        <v>94887.16</v>
      </c>
      <c r="D31" s="597">
        <v>0</v>
      </c>
      <c r="E31" s="598">
        <f t="shared" si="0"/>
        <v>94887.16</v>
      </c>
      <c r="F31" s="597">
        <v>0</v>
      </c>
      <c r="G31" s="597">
        <v>0</v>
      </c>
      <c r="H31" s="599">
        <f t="shared" si="1"/>
        <v>0</v>
      </c>
    </row>
    <row r="32" spans="1:8">
      <c r="A32" s="595">
        <v>11.2</v>
      </c>
      <c r="B32" s="506" t="s">
        <v>548</v>
      </c>
      <c r="C32" s="597">
        <v>0</v>
      </c>
      <c r="D32" s="597">
        <v>0</v>
      </c>
      <c r="E32" s="598">
        <f t="shared" si="0"/>
        <v>0</v>
      </c>
      <c r="F32" s="597">
        <v>0</v>
      </c>
      <c r="G32" s="597">
        <v>0</v>
      </c>
      <c r="H32" s="599">
        <f t="shared" si="1"/>
        <v>0</v>
      </c>
    </row>
    <row r="33" spans="1:8">
      <c r="A33" s="595">
        <v>13</v>
      </c>
      <c r="B33" s="504" t="s">
        <v>549</v>
      </c>
      <c r="C33" s="597">
        <v>10524.09</v>
      </c>
      <c r="D33" s="597">
        <v>90974.82</v>
      </c>
      <c r="E33" s="598">
        <f t="shared" si="0"/>
        <v>101498.91</v>
      </c>
      <c r="F33" s="597">
        <v>5041.57</v>
      </c>
      <c r="G33" s="597">
        <v>0</v>
      </c>
      <c r="H33" s="599">
        <f t="shared" si="1"/>
        <v>5041.57</v>
      </c>
    </row>
    <row r="34" spans="1:8">
      <c r="A34" s="595">
        <v>13.1</v>
      </c>
      <c r="B34" s="605" t="s">
        <v>550</v>
      </c>
      <c r="C34" s="597">
        <v>0</v>
      </c>
      <c r="D34" s="597">
        <v>0</v>
      </c>
      <c r="E34" s="598">
        <f t="shared" si="0"/>
        <v>0</v>
      </c>
      <c r="F34" s="597">
        <v>0</v>
      </c>
      <c r="G34" s="597">
        <v>0</v>
      </c>
      <c r="H34" s="599">
        <f t="shared" si="1"/>
        <v>0</v>
      </c>
    </row>
    <row r="35" spans="1:8">
      <c r="A35" s="595">
        <v>13.2</v>
      </c>
      <c r="B35" s="605" t="s">
        <v>551</v>
      </c>
      <c r="C35" s="597">
        <v>0</v>
      </c>
      <c r="D35" s="597">
        <v>0</v>
      </c>
      <c r="E35" s="598">
        <f t="shared" si="0"/>
        <v>0</v>
      </c>
      <c r="F35" s="597">
        <v>0</v>
      </c>
      <c r="G35" s="597">
        <v>0</v>
      </c>
      <c r="H35" s="599">
        <f t="shared" si="1"/>
        <v>0</v>
      </c>
    </row>
    <row r="36" spans="1:8">
      <c r="A36" s="595">
        <v>14</v>
      </c>
      <c r="B36" s="606" t="s">
        <v>552</v>
      </c>
      <c r="C36" s="597">
        <f>SUM(C7,C11,C13,C14,C15,C19,C22,C23,C24,C27,C30,C33)</f>
        <v>8573068.5399999991</v>
      </c>
      <c r="D36" s="597">
        <f>SUM(D7,D11,D13,D14,D15,D19,D22,D23,D24,D27,D30,D33)</f>
        <v>21933104.210000001</v>
      </c>
      <c r="E36" s="598">
        <f t="shared" si="0"/>
        <v>30506172.75</v>
      </c>
      <c r="F36" s="597">
        <f>SUM(F7,F11,F13,F14,F15,F19,F22,F23,F24,F27,F30,F33)</f>
        <v>5580826.0700000003</v>
      </c>
      <c r="G36" s="597">
        <f>SUM(G7,G11,G13,G14,G15,G19,G22,G23,G24,G27,G30,G33)</f>
        <v>0</v>
      </c>
      <c r="H36" s="599">
        <f t="shared" si="1"/>
        <v>5580826.0700000003</v>
      </c>
    </row>
    <row r="37" spans="1:8" ht="22.5" customHeight="1">
      <c r="A37" s="595"/>
      <c r="B37" s="607" t="s">
        <v>553</v>
      </c>
      <c r="C37" s="688"/>
      <c r="D37" s="689"/>
      <c r="E37" s="689"/>
      <c r="F37" s="689"/>
      <c r="G37" s="689"/>
      <c r="H37" s="690"/>
    </row>
    <row r="38" spans="1:8">
      <c r="A38" s="595">
        <v>15</v>
      </c>
      <c r="B38" s="509" t="s">
        <v>554</v>
      </c>
      <c r="C38" s="597">
        <v>0</v>
      </c>
      <c r="D38" s="597">
        <v>0</v>
      </c>
      <c r="E38" s="598">
        <f>C38+D38</f>
        <v>0</v>
      </c>
      <c r="F38" s="597">
        <v>0</v>
      </c>
      <c r="G38" s="597">
        <v>0</v>
      </c>
      <c r="H38" s="599">
        <f>F38+G38</f>
        <v>0</v>
      </c>
    </row>
    <row r="39" spans="1:8">
      <c r="A39" s="595">
        <v>15.1</v>
      </c>
      <c r="B39" s="601" t="s">
        <v>530</v>
      </c>
      <c r="C39" s="597">
        <v>0</v>
      </c>
      <c r="D39" s="597">
        <v>0</v>
      </c>
      <c r="E39" s="598">
        <f t="shared" ref="E39:E53" si="2">C39+D39</f>
        <v>0</v>
      </c>
      <c r="F39" s="597">
        <v>0</v>
      </c>
      <c r="G39" s="597">
        <v>0</v>
      </c>
      <c r="H39" s="599">
        <f t="shared" ref="H39:H53" si="3">F39+G39</f>
        <v>0</v>
      </c>
    </row>
    <row r="40" spans="1:8" ht="24" customHeight="1">
      <c r="A40" s="595">
        <v>16</v>
      </c>
      <c r="B40" s="502" t="s">
        <v>555</v>
      </c>
      <c r="C40" s="597">
        <v>0</v>
      </c>
      <c r="D40" s="597">
        <v>0</v>
      </c>
      <c r="E40" s="598">
        <f t="shared" si="2"/>
        <v>0</v>
      </c>
      <c r="F40" s="597">
        <v>0</v>
      </c>
      <c r="G40" s="597">
        <v>0</v>
      </c>
      <c r="H40" s="599">
        <f t="shared" si="3"/>
        <v>0</v>
      </c>
    </row>
    <row r="41" spans="1:8">
      <c r="A41" s="595">
        <v>17</v>
      </c>
      <c r="B41" s="502" t="s">
        <v>556</v>
      </c>
      <c r="C41" s="597">
        <f>SUM(C42:C45)</f>
        <v>1699408.42</v>
      </c>
      <c r="D41" s="597">
        <f>SUM(D42:D45)</f>
        <v>21333576.109999999</v>
      </c>
      <c r="E41" s="598">
        <f t="shared" si="2"/>
        <v>23032984.530000001</v>
      </c>
      <c r="F41" s="597">
        <f>SUM(F42:F45)</f>
        <v>0</v>
      </c>
      <c r="G41" s="597">
        <f>SUM(G42:G45)</f>
        <v>0</v>
      </c>
      <c r="H41" s="599">
        <f t="shared" si="3"/>
        <v>0</v>
      </c>
    </row>
    <row r="42" spans="1:8">
      <c r="A42" s="595">
        <v>17.100000000000001</v>
      </c>
      <c r="B42" s="510" t="s">
        <v>557</v>
      </c>
      <c r="C42" s="597">
        <v>1699408.42</v>
      </c>
      <c r="D42" s="597">
        <v>20488459.649999999</v>
      </c>
      <c r="E42" s="598">
        <f t="shared" si="2"/>
        <v>22187868.07</v>
      </c>
      <c r="F42" s="597">
        <v>0</v>
      </c>
      <c r="G42" s="597">
        <v>0</v>
      </c>
      <c r="H42" s="599">
        <f t="shared" si="3"/>
        <v>0</v>
      </c>
    </row>
    <row r="43" spans="1:8">
      <c r="A43" s="595">
        <v>17.2</v>
      </c>
      <c r="B43" s="600" t="s">
        <v>558</v>
      </c>
      <c r="C43" s="597">
        <v>0</v>
      </c>
      <c r="D43" s="597">
        <v>845116.46000000008</v>
      </c>
      <c r="E43" s="598">
        <f t="shared" si="2"/>
        <v>845116.46000000008</v>
      </c>
      <c r="F43" s="597">
        <v>0</v>
      </c>
      <c r="G43" s="597">
        <v>0</v>
      </c>
      <c r="H43" s="599">
        <f t="shared" si="3"/>
        <v>0</v>
      </c>
    </row>
    <row r="44" spans="1:8">
      <c r="A44" s="595">
        <v>17.3</v>
      </c>
      <c r="B44" s="510" t="s">
        <v>559</v>
      </c>
      <c r="C44" s="597">
        <v>0</v>
      </c>
      <c r="D44" s="597">
        <v>0</v>
      </c>
      <c r="E44" s="598">
        <f t="shared" si="2"/>
        <v>0</v>
      </c>
      <c r="F44" s="597">
        <v>0</v>
      </c>
      <c r="G44" s="597">
        <v>0</v>
      </c>
      <c r="H44" s="599">
        <f t="shared" si="3"/>
        <v>0</v>
      </c>
    </row>
    <row r="45" spans="1:8">
      <c r="A45" s="595">
        <v>17.399999999999999</v>
      </c>
      <c r="B45" s="510" t="s">
        <v>560</v>
      </c>
      <c r="C45" s="597">
        <v>0</v>
      </c>
      <c r="D45" s="597">
        <v>0</v>
      </c>
      <c r="E45" s="598">
        <f t="shared" si="2"/>
        <v>0</v>
      </c>
      <c r="F45" s="597">
        <v>0</v>
      </c>
      <c r="G45" s="597">
        <v>0</v>
      </c>
      <c r="H45" s="599">
        <f t="shared" si="3"/>
        <v>0</v>
      </c>
    </row>
    <row r="46" spans="1:8">
      <c r="A46" s="595">
        <v>18</v>
      </c>
      <c r="B46" s="504" t="s">
        <v>561</v>
      </c>
      <c r="C46" s="597">
        <v>0</v>
      </c>
      <c r="D46" s="597">
        <v>0</v>
      </c>
      <c r="E46" s="598">
        <f t="shared" si="2"/>
        <v>0</v>
      </c>
      <c r="F46" s="597">
        <v>0</v>
      </c>
      <c r="G46" s="597">
        <v>0</v>
      </c>
      <c r="H46" s="599">
        <f t="shared" si="3"/>
        <v>0</v>
      </c>
    </row>
    <row r="47" spans="1:8">
      <c r="A47" s="595">
        <v>19</v>
      </c>
      <c r="B47" s="504" t="s">
        <v>562</v>
      </c>
      <c r="C47" s="597">
        <f>SUM(C48:C49)</f>
        <v>22426.6</v>
      </c>
      <c r="D47" s="597">
        <f>SUM(D48:D49)</f>
        <v>0</v>
      </c>
      <c r="E47" s="598">
        <f t="shared" si="2"/>
        <v>22426.6</v>
      </c>
      <c r="F47" s="597">
        <f>SUM(F48:F49)</f>
        <v>93512.4</v>
      </c>
      <c r="G47" s="597">
        <f>SUM(G48:G49)</f>
        <v>0</v>
      </c>
      <c r="H47" s="599">
        <f t="shared" si="3"/>
        <v>93512.4</v>
      </c>
    </row>
    <row r="48" spans="1:8">
      <c r="A48" s="595">
        <v>19.100000000000001</v>
      </c>
      <c r="B48" s="511" t="s">
        <v>563</v>
      </c>
      <c r="C48" s="597">
        <v>22426.6</v>
      </c>
      <c r="D48" s="597">
        <v>0</v>
      </c>
      <c r="E48" s="598">
        <f t="shared" si="2"/>
        <v>22426.6</v>
      </c>
      <c r="F48" s="597">
        <v>93512.4</v>
      </c>
      <c r="G48" s="597">
        <v>0</v>
      </c>
      <c r="H48" s="599">
        <f t="shared" si="3"/>
        <v>93512.4</v>
      </c>
    </row>
    <row r="49" spans="1:8">
      <c r="A49" s="595">
        <v>19.2</v>
      </c>
      <c r="B49" s="512" t="s">
        <v>564</v>
      </c>
      <c r="C49" s="597">
        <v>0</v>
      </c>
      <c r="D49" s="597">
        <v>0</v>
      </c>
      <c r="E49" s="598">
        <f t="shared" si="2"/>
        <v>0</v>
      </c>
      <c r="F49" s="597">
        <v>0</v>
      </c>
      <c r="G49" s="597">
        <v>0</v>
      </c>
      <c r="H49" s="599">
        <f t="shared" si="3"/>
        <v>0</v>
      </c>
    </row>
    <row r="50" spans="1:8">
      <c r="A50" s="595">
        <v>20</v>
      </c>
      <c r="B50" s="521" t="s">
        <v>565</v>
      </c>
      <c r="C50" s="597">
        <v>0</v>
      </c>
      <c r="D50" s="597">
        <v>0</v>
      </c>
      <c r="E50" s="598">
        <f t="shared" si="2"/>
        <v>0</v>
      </c>
      <c r="F50" s="597">
        <v>0</v>
      </c>
      <c r="G50" s="597">
        <v>0</v>
      </c>
      <c r="H50" s="599">
        <f t="shared" si="3"/>
        <v>0</v>
      </c>
    </row>
    <row r="51" spans="1:8">
      <c r="A51" s="595">
        <v>21</v>
      </c>
      <c r="B51" s="508" t="s">
        <v>566</v>
      </c>
      <c r="C51" s="597">
        <v>92591.37</v>
      </c>
      <c r="D51" s="597">
        <v>109373.49000000002</v>
      </c>
      <c r="E51" s="598">
        <f t="shared" si="2"/>
        <v>201964.86000000002</v>
      </c>
      <c r="F51" s="597">
        <v>0</v>
      </c>
      <c r="G51" s="597">
        <v>112488.56</v>
      </c>
      <c r="H51" s="599">
        <f t="shared" si="3"/>
        <v>112488.56</v>
      </c>
    </row>
    <row r="52" spans="1:8">
      <c r="A52" s="595">
        <v>21.1</v>
      </c>
      <c r="B52" s="600" t="s">
        <v>567</v>
      </c>
      <c r="C52" s="597">
        <v>0</v>
      </c>
      <c r="D52" s="597">
        <v>0</v>
      </c>
      <c r="E52" s="598">
        <f t="shared" si="2"/>
        <v>0</v>
      </c>
      <c r="F52" s="597">
        <v>0</v>
      </c>
      <c r="G52" s="597">
        <v>0</v>
      </c>
      <c r="H52" s="599">
        <f t="shared" si="3"/>
        <v>0</v>
      </c>
    </row>
    <row r="53" spans="1:8">
      <c r="A53" s="595">
        <v>22</v>
      </c>
      <c r="B53" s="608" t="s">
        <v>568</v>
      </c>
      <c r="C53" s="597">
        <f>SUM(C38,C40,C41,C46,C47,C50,C51)</f>
        <v>1814426.3900000001</v>
      </c>
      <c r="D53" s="597">
        <f>SUM(D38,D40,D41,D46,D47,D50,D51)</f>
        <v>21442949.599999998</v>
      </c>
      <c r="E53" s="598">
        <f t="shared" si="2"/>
        <v>23257375.989999998</v>
      </c>
      <c r="F53" s="597">
        <f>SUM(F38,F40,F41,F46,F47,F50,F51)</f>
        <v>93512.4</v>
      </c>
      <c r="G53" s="597">
        <f>SUM(G38,G40,G41,G46,G47,G50,G51)</f>
        <v>112488.56</v>
      </c>
      <c r="H53" s="599">
        <f t="shared" si="3"/>
        <v>206000.96</v>
      </c>
    </row>
    <row r="54" spans="1:8" ht="24" customHeight="1">
      <c r="A54" s="595"/>
      <c r="B54" s="607" t="s">
        <v>569</v>
      </c>
      <c r="C54" s="688"/>
      <c r="D54" s="689"/>
      <c r="E54" s="689"/>
      <c r="F54" s="689"/>
      <c r="G54" s="689"/>
      <c r="H54" s="690"/>
    </row>
    <row r="55" spans="1:8">
      <c r="A55" s="595">
        <v>23</v>
      </c>
      <c r="B55" s="521" t="s">
        <v>710</v>
      </c>
      <c r="C55" s="597">
        <v>8052000</v>
      </c>
      <c r="D55" s="597">
        <v>0</v>
      </c>
      <c r="E55" s="598">
        <f>C55+D55</f>
        <v>8052000</v>
      </c>
      <c r="F55" s="597">
        <v>5000000</v>
      </c>
      <c r="G55" s="597">
        <v>0</v>
      </c>
      <c r="H55" s="599">
        <f>F55+G55</f>
        <v>5000000</v>
      </c>
    </row>
    <row r="56" spans="1:8">
      <c r="A56" s="595">
        <v>24</v>
      </c>
      <c r="B56" s="521" t="s">
        <v>571</v>
      </c>
      <c r="C56" s="597">
        <v>0</v>
      </c>
      <c r="D56" s="597">
        <v>0</v>
      </c>
      <c r="E56" s="598">
        <f t="shared" ref="E56:E69" si="4">C56+D56</f>
        <v>0</v>
      </c>
      <c r="F56" s="597">
        <v>0</v>
      </c>
      <c r="G56" s="597">
        <v>0</v>
      </c>
      <c r="H56" s="599">
        <f t="shared" ref="H56:H69" si="5">F56+G56</f>
        <v>0</v>
      </c>
    </row>
    <row r="57" spans="1:8">
      <c r="A57" s="595">
        <v>25</v>
      </c>
      <c r="B57" s="504" t="s">
        <v>572</v>
      </c>
      <c r="C57" s="597">
        <v>0</v>
      </c>
      <c r="D57" s="597">
        <v>0</v>
      </c>
      <c r="E57" s="598">
        <f t="shared" si="4"/>
        <v>0</v>
      </c>
      <c r="F57" s="597">
        <v>0</v>
      </c>
      <c r="G57" s="597">
        <v>0</v>
      </c>
      <c r="H57" s="599">
        <f t="shared" si="5"/>
        <v>0</v>
      </c>
    </row>
    <row r="58" spans="1:8">
      <c r="A58" s="595">
        <v>26</v>
      </c>
      <c r="B58" s="504" t="s">
        <v>573</v>
      </c>
      <c r="C58" s="597">
        <v>0</v>
      </c>
      <c r="D58" s="597">
        <v>0</v>
      </c>
      <c r="E58" s="598">
        <f t="shared" si="4"/>
        <v>0</v>
      </c>
      <c r="F58" s="597">
        <v>0</v>
      </c>
      <c r="G58" s="597">
        <v>0</v>
      </c>
      <c r="H58" s="599">
        <f t="shared" si="5"/>
        <v>0</v>
      </c>
    </row>
    <row r="59" spans="1:8">
      <c r="A59" s="595">
        <v>27</v>
      </c>
      <c r="B59" s="504" t="s">
        <v>574</v>
      </c>
      <c r="C59" s="597">
        <f>SUM(C60:C61)</f>
        <v>0</v>
      </c>
      <c r="D59" s="597">
        <f>SUM(D60:D61)</f>
        <v>0</v>
      </c>
      <c r="E59" s="598">
        <f t="shared" si="4"/>
        <v>0</v>
      </c>
      <c r="F59" s="597">
        <f>SUM(F60:F61)</f>
        <v>0</v>
      </c>
      <c r="G59" s="597">
        <f>SUM(G60:G61)</f>
        <v>0</v>
      </c>
      <c r="H59" s="599">
        <f t="shared" si="5"/>
        <v>0</v>
      </c>
    </row>
    <row r="60" spans="1:8">
      <c r="A60" s="595">
        <v>27.1</v>
      </c>
      <c r="B60" s="510" t="s">
        <v>575</v>
      </c>
      <c r="C60" s="597">
        <v>0</v>
      </c>
      <c r="D60" s="597">
        <v>0</v>
      </c>
      <c r="E60" s="598">
        <f t="shared" si="4"/>
        <v>0</v>
      </c>
      <c r="F60" s="597">
        <v>0</v>
      </c>
      <c r="G60" s="597">
        <v>0</v>
      </c>
      <c r="H60" s="599">
        <f t="shared" si="5"/>
        <v>0</v>
      </c>
    </row>
    <row r="61" spans="1:8">
      <c r="A61" s="595">
        <v>27.2</v>
      </c>
      <c r="B61" s="510" t="s">
        <v>576</v>
      </c>
      <c r="C61" s="597">
        <v>0</v>
      </c>
      <c r="D61" s="597">
        <v>0</v>
      </c>
      <c r="E61" s="598">
        <f t="shared" si="4"/>
        <v>0</v>
      </c>
      <c r="F61" s="597">
        <v>0</v>
      </c>
      <c r="G61" s="597">
        <v>0</v>
      </c>
      <c r="H61" s="599">
        <f t="shared" si="5"/>
        <v>0</v>
      </c>
    </row>
    <row r="62" spans="1:8">
      <c r="A62" s="595">
        <v>28</v>
      </c>
      <c r="B62" s="609" t="s">
        <v>577</v>
      </c>
      <c r="C62" s="597">
        <v>0</v>
      </c>
      <c r="D62" s="597">
        <v>0</v>
      </c>
      <c r="E62" s="598">
        <f t="shared" si="4"/>
        <v>0</v>
      </c>
      <c r="F62" s="597">
        <v>0</v>
      </c>
      <c r="G62" s="597">
        <v>0</v>
      </c>
      <c r="H62" s="599">
        <f t="shared" si="5"/>
        <v>0</v>
      </c>
    </row>
    <row r="63" spans="1:8">
      <c r="A63" s="595">
        <v>29</v>
      </c>
      <c r="B63" s="504" t="s">
        <v>578</v>
      </c>
      <c r="C63" s="597">
        <f>SUM(C64:C66)</f>
        <v>0</v>
      </c>
      <c r="D63" s="597">
        <f>SUM(D64:D66)</f>
        <v>0</v>
      </c>
      <c r="E63" s="598">
        <f t="shared" si="4"/>
        <v>0</v>
      </c>
      <c r="F63" s="597">
        <f>SUM(F64:F66)</f>
        <v>0</v>
      </c>
      <c r="G63" s="597">
        <f>SUM(G64:G66)</f>
        <v>0</v>
      </c>
      <c r="H63" s="599">
        <f t="shared" si="5"/>
        <v>0</v>
      </c>
    </row>
    <row r="64" spans="1:8">
      <c r="A64" s="595">
        <v>29.1</v>
      </c>
      <c r="B64" s="507" t="s">
        <v>579</v>
      </c>
      <c r="C64" s="597">
        <v>0</v>
      </c>
      <c r="D64" s="597">
        <v>0</v>
      </c>
      <c r="E64" s="598">
        <f t="shared" si="4"/>
        <v>0</v>
      </c>
      <c r="F64" s="597">
        <v>0</v>
      </c>
      <c r="G64" s="597">
        <v>0</v>
      </c>
      <c r="H64" s="599">
        <f t="shared" si="5"/>
        <v>0</v>
      </c>
    </row>
    <row r="65" spans="1:8" ht="25.05" customHeight="1">
      <c r="A65" s="595">
        <v>29.2</v>
      </c>
      <c r="B65" s="511" t="s">
        <v>580</v>
      </c>
      <c r="C65" s="597">
        <v>0</v>
      </c>
      <c r="D65" s="597">
        <v>0</v>
      </c>
      <c r="E65" s="598">
        <f t="shared" si="4"/>
        <v>0</v>
      </c>
      <c r="F65" s="597">
        <v>0</v>
      </c>
      <c r="G65" s="597">
        <v>0</v>
      </c>
      <c r="H65" s="599">
        <f t="shared" si="5"/>
        <v>0</v>
      </c>
    </row>
    <row r="66" spans="1:8" ht="22.5" customHeight="1">
      <c r="A66" s="595">
        <v>29.3</v>
      </c>
      <c r="B66" s="511" t="s">
        <v>581</v>
      </c>
      <c r="C66" s="597">
        <v>0</v>
      </c>
      <c r="D66" s="597">
        <v>0</v>
      </c>
      <c r="E66" s="598">
        <f t="shared" si="4"/>
        <v>0</v>
      </c>
      <c r="F66" s="597">
        <v>0</v>
      </c>
      <c r="G66" s="597">
        <v>0</v>
      </c>
      <c r="H66" s="599">
        <f t="shared" si="5"/>
        <v>0</v>
      </c>
    </row>
    <row r="67" spans="1:8">
      <c r="A67" s="595">
        <v>30</v>
      </c>
      <c r="B67" s="504" t="s">
        <v>582</v>
      </c>
      <c r="C67" s="597">
        <v>-803203.23999999987</v>
      </c>
      <c r="D67" s="597">
        <v>0</v>
      </c>
      <c r="E67" s="598">
        <f t="shared" si="4"/>
        <v>-803203.23999999987</v>
      </c>
      <c r="F67" s="597">
        <v>374825.11</v>
      </c>
      <c r="G67" s="597">
        <v>0</v>
      </c>
      <c r="H67" s="599">
        <f t="shared" si="5"/>
        <v>374825.11</v>
      </c>
    </row>
    <row r="68" spans="1:8">
      <c r="A68" s="595">
        <v>31</v>
      </c>
      <c r="B68" s="610" t="s">
        <v>583</v>
      </c>
      <c r="C68" s="597">
        <f>SUM(C55,C56,C57,C58,C59,C62,C63,C67)</f>
        <v>7248796.7599999998</v>
      </c>
      <c r="D68" s="597">
        <f>SUM(D55,D56,D57,D58,D59,D62,D63,D67)</f>
        <v>0</v>
      </c>
      <c r="E68" s="598">
        <f t="shared" si="4"/>
        <v>7248796.7599999998</v>
      </c>
      <c r="F68" s="597">
        <f>SUM(F55,F56,F57,F58,F59,F62,F63,F67)</f>
        <v>5374825.1100000003</v>
      </c>
      <c r="G68" s="597">
        <f>SUM(G55,G56,G57,G58,G59,G62,G63,G67)</f>
        <v>0</v>
      </c>
      <c r="H68" s="599">
        <f t="shared" si="5"/>
        <v>5374825.1100000003</v>
      </c>
    </row>
    <row r="69" spans="1:8" ht="14.4" thickBot="1">
      <c r="A69" s="611">
        <v>32</v>
      </c>
      <c r="B69" s="612" t="s">
        <v>584</v>
      </c>
      <c r="C69" s="613">
        <f>SUM(C53,C68)</f>
        <v>9063223.1500000004</v>
      </c>
      <c r="D69" s="613">
        <f>SUM(D53,D68)</f>
        <v>21442949.599999998</v>
      </c>
      <c r="E69" s="614">
        <f t="shared" si="4"/>
        <v>30506172.75</v>
      </c>
      <c r="F69" s="613">
        <f>SUM(F53,F68)</f>
        <v>5468337.5100000007</v>
      </c>
      <c r="G69" s="613">
        <f>SUM(G53,G68)</f>
        <v>112488.56</v>
      </c>
      <c r="H69" s="615">
        <f t="shared" si="5"/>
        <v>5580826.0700000003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N10" sqref="N10"/>
    </sheetView>
  </sheetViews>
  <sheetFormatPr defaultColWidth="9.21875" defaultRowHeight="12"/>
  <cols>
    <col min="1" max="1" width="11.77734375" style="381" bestFit="1" customWidth="1"/>
    <col min="2" max="2" width="59.109375" style="381" customWidth="1"/>
    <col min="3" max="3" width="3.5546875" style="381" customWidth="1"/>
    <col min="4" max="4" width="6.5546875" style="381" bestFit="1" customWidth="1"/>
    <col min="5" max="5" width="6.88671875" style="381" bestFit="1" customWidth="1"/>
    <col min="6" max="6" width="6.6640625" style="400" bestFit="1" customWidth="1"/>
    <col min="7" max="7" width="4.6640625" style="400" bestFit="1" customWidth="1"/>
    <col min="8" max="8" width="3.5546875" style="381" customWidth="1"/>
    <col min="9" max="9" width="6.5546875" style="400" bestFit="1" customWidth="1"/>
    <col min="10" max="10" width="6.88671875" style="400" bestFit="1" customWidth="1"/>
    <col min="11" max="11" width="6.6640625" style="400" bestFit="1" customWidth="1"/>
    <col min="12" max="12" width="4.6640625" style="400" bestFit="1" customWidth="1"/>
    <col min="13" max="16384" width="9.21875" style="381"/>
  </cols>
  <sheetData>
    <row r="1" spans="1:12" ht="13.8">
      <c r="A1" s="316" t="s">
        <v>30</v>
      </c>
      <c r="B1" s="368" t="str">
        <f>'Info '!C2</f>
        <v>JSC Pave Bank Georgia</v>
      </c>
      <c r="F1" s="381"/>
      <c r="G1" s="381"/>
      <c r="I1" s="381"/>
      <c r="J1" s="381"/>
      <c r="K1" s="381"/>
      <c r="L1" s="381"/>
    </row>
    <row r="2" spans="1:12">
      <c r="A2" s="316" t="s">
        <v>31</v>
      </c>
      <c r="B2" s="367">
        <f>'1. key ratios '!B2</f>
        <v>45747</v>
      </c>
      <c r="F2" s="381"/>
      <c r="G2" s="381"/>
      <c r="I2" s="381"/>
      <c r="J2" s="381"/>
      <c r="K2" s="381"/>
      <c r="L2" s="381"/>
    </row>
    <row r="3" spans="1:12">
      <c r="A3" s="317" t="s">
        <v>466</v>
      </c>
      <c r="F3" s="381"/>
      <c r="G3" s="381"/>
      <c r="I3" s="381"/>
      <c r="J3" s="381"/>
      <c r="K3" s="381"/>
      <c r="L3" s="381"/>
    </row>
    <row r="4" spans="1:12">
      <c r="F4" s="381"/>
      <c r="G4" s="381"/>
      <c r="I4" s="381"/>
      <c r="J4" s="381"/>
      <c r="K4" s="381"/>
      <c r="L4" s="381"/>
    </row>
    <row r="5" spans="1:12" ht="37.5" customHeight="1">
      <c r="A5" s="751" t="s">
        <v>483</v>
      </c>
      <c r="B5" s="752"/>
      <c r="C5" s="797" t="s">
        <v>467</v>
      </c>
      <c r="D5" s="798"/>
      <c r="E5" s="798"/>
      <c r="F5" s="798"/>
      <c r="G5" s="798"/>
      <c r="H5" s="797" t="s">
        <v>627</v>
      </c>
      <c r="I5" s="799"/>
      <c r="J5" s="799"/>
      <c r="K5" s="799"/>
      <c r="L5" s="800"/>
    </row>
    <row r="6" spans="1:12" ht="39.450000000000003" customHeight="1">
      <c r="A6" s="755"/>
      <c r="B6" s="756"/>
      <c r="C6" s="319"/>
      <c r="D6" s="379" t="s">
        <v>648</v>
      </c>
      <c r="E6" s="379" t="s">
        <v>647</v>
      </c>
      <c r="F6" s="379" t="s">
        <v>646</v>
      </c>
      <c r="G6" s="379" t="s">
        <v>645</v>
      </c>
      <c r="H6" s="401"/>
      <c r="I6" s="379" t="s">
        <v>648</v>
      </c>
      <c r="J6" s="379" t="s">
        <v>647</v>
      </c>
      <c r="K6" s="379" t="s">
        <v>646</v>
      </c>
      <c r="L6" s="379" t="s">
        <v>645</v>
      </c>
    </row>
    <row r="7" spans="1:12">
      <c r="A7" s="370">
        <v>1</v>
      </c>
      <c r="B7" s="385" t="s">
        <v>486</v>
      </c>
      <c r="C7" s="385"/>
      <c r="D7" s="370"/>
      <c r="E7" s="370"/>
      <c r="F7" s="443"/>
      <c r="G7" s="443"/>
      <c r="H7" s="370"/>
      <c r="I7" s="443"/>
      <c r="J7" s="443"/>
      <c r="K7" s="443"/>
      <c r="L7" s="443"/>
    </row>
    <row r="8" spans="1:12">
      <c r="A8" s="370">
        <v>2</v>
      </c>
      <c r="B8" s="385" t="s">
        <v>399</v>
      </c>
      <c r="C8" s="385"/>
      <c r="D8" s="370"/>
      <c r="E8" s="370"/>
      <c r="F8" s="378"/>
      <c r="G8" s="378"/>
      <c r="H8" s="370"/>
      <c r="I8" s="378"/>
      <c r="J8" s="378"/>
      <c r="K8" s="378"/>
      <c r="L8" s="378"/>
    </row>
    <row r="9" spans="1:12">
      <c r="A9" s="370">
        <v>3</v>
      </c>
      <c r="B9" s="385" t="s">
        <v>400</v>
      </c>
      <c r="C9" s="385"/>
      <c r="D9" s="370"/>
      <c r="E9" s="370"/>
      <c r="F9" s="380"/>
      <c r="G9" s="380"/>
      <c r="H9" s="370"/>
      <c r="I9" s="380"/>
      <c r="J9" s="380"/>
      <c r="K9" s="380"/>
      <c r="L9" s="380"/>
    </row>
    <row r="10" spans="1:12">
      <c r="A10" s="370">
        <v>4</v>
      </c>
      <c r="B10" s="385" t="s">
        <v>487</v>
      </c>
      <c r="C10" s="385"/>
      <c r="D10" s="370"/>
      <c r="E10" s="370"/>
      <c r="F10" s="380"/>
      <c r="G10" s="380"/>
      <c r="H10" s="370"/>
      <c r="I10" s="380"/>
      <c r="J10" s="380"/>
      <c r="K10" s="380"/>
      <c r="L10" s="380"/>
    </row>
    <row r="11" spans="1:12">
      <c r="A11" s="370">
        <v>5</v>
      </c>
      <c r="B11" s="385" t="s">
        <v>401</v>
      </c>
      <c r="C11" s="385"/>
      <c r="D11" s="370"/>
      <c r="E11" s="370"/>
      <c r="F11" s="380"/>
      <c r="G11" s="380"/>
      <c r="H11" s="370"/>
      <c r="I11" s="380"/>
      <c r="J11" s="380"/>
      <c r="K11" s="380"/>
      <c r="L11" s="380"/>
    </row>
    <row r="12" spans="1:12">
      <c r="A12" s="370">
        <v>6</v>
      </c>
      <c r="B12" s="385" t="s">
        <v>402</v>
      </c>
      <c r="C12" s="385"/>
      <c r="D12" s="370"/>
      <c r="E12" s="370"/>
      <c r="F12" s="380"/>
      <c r="G12" s="380"/>
      <c r="H12" s="370"/>
      <c r="I12" s="380"/>
      <c r="J12" s="380"/>
      <c r="K12" s="380"/>
      <c r="L12" s="380"/>
    </row>
    <row r="13" spans="1:12">
      <c r="A13" s="370">
        <v>7</v>
      </c>
      <c r="B13" s="385" t="s">
        <v>403</v>
      </c>
      <c r="C13" s="385"/>
      <c r="D13" s="370"/>
      <c r="E13" s="370"/>
      <c r="F13" s="380"/>
      <c r="G13" s="380"/>
      <c r="H13" s="370"/>
      <c r="I13" s="380"/>
      <c r="J13" s="380"/>
      <c r="K13" s="380"/>
      <c r="L13" s="380"/>
    </row>
    <row r="14" spans="1:12">
      <c r="A14" s="370">
        <v>8</v>
      </c>
      <c r="B14" s="385" t="s">
        <v>404</v>
      </c>
      <c r="C14" s="385"/>
      <c r="D14" s="370"/>
      <c r="E14" s="370"/>
      <c r="F14" s="380"/>
      <c r="G14" s="380"/>
      <c r="H14" s="370"/>
      <c r="I14" s="380"/>
      <c r="J14" s="380"/>
      <c r="K14" s="380"/>
      <c r="L14" s="380"/>
    </row>
    <row r="15" spans="1:12">
      <c r="A15" s="370">
        <v>9</v>
      </c>
      <c r="B15" s="385" t="s">
        <v>405</v>
      </c>
      <c r="C15" s="385"/>
      <c r="D15" s="370"/>
      <c r="E15" s="370"/>
      <c r="F15" s="380"/>
      <c r="G15" s="380"/>
      <c r="H15" s="370"/>
      <c r="I15" s="380"/>
      <c r="J15" s="380"/>
      <c r="K15" s="380"/>
      <c r="L15" s="380"/>
    </row>
    <row r="16" spans="1:12">
      <c r="A16" s="370">
        <v>10</v>
      </c>
      <c r="B16" s="385" t="s">
        <v>406</v>
      </c>
      <c r="C16" s="385"/>
      <c r="D16" s="370"/>
      <c r="E16" s="370"/>
      <c r="F16" s="380"/>
      <c r="G16" s="380"/>
      <c r="H16" s="370"/>
      <c r="I16" s="380"/>
      <c r="J16" s="380"/>
      <c r="K16" s="380"/>
      <c r="L16" s="380"/>
    </row>
    <row r="17" spans="1:12">
      <c r="A17" s="370">
        <v>11</v>
      </c>
      <c r="B17" s="385" t="s">
        <v>407</v>
      </c>
      <c r="C17" s="385"/>
      <c r="D17" s="370"/>
      <c r="E17" s="370"/>
      <c r="F17" s="380"/>
      <c r="G17" s="380"/>
      <c r="H17" s="370"/>
      <c r="I17" s="380"/>
      <c r="J17" s="380"/>
      <c r="K17" s="380"/>
      <c r="L17" s="380"/>
    </row>
    <row r="18" spans="1:12">
      <c r="A18" s="370">
        <v>12</v>
      </c>
      <c r="B18" s="385" t="s">
        <v>408</v>
      </c>
      <c r="C18" s="385"/>
      <c r="D18" s="370"/>
      <c r="E18" s="370"/>
      <c r="F18" s="380"/>
      <c r="G18" s="380"/>
      <c r="H18" s="370"/>
      <c r="I18" s="380"/>
      <c r="J18" s="380"/>
      <c r="K18" s="380"/>
      <c r="L18" s="380"/>
    </row>
    <row r="19" spans="1:12">
      <c r="A19" s="370">
        <v>13</v>
      </c>
      <c r="B19" s="385" t="s">
        <v>409</v>
      </c>
      <c r="C19" s="385"/>
      <c r="D19" s="370"/>
      <c r="E19" s="370"/>
      <c r="F19" s="380"/>
      <c r="G19" s="380"/>
      <c r="H19" s="370"/>
      <c r="I19" s="380"/>
      <c r="J19" s="380"/>
      <c r="K19" s="380"/>
      <c r="L19" s="380"/>
    </row>
    <row r="20" spans="1:12">
      <c r="A20" s="370">
        <v>14</v>
      </c>
      <c r="B20" s="385" t="s">
        <v>410</v>
      </c>
      <c r="C20" s="385"/>
      <c r="D20" s="370"/>
      <c r="E20" s="370"/>
      <c r="F20" s="380"/>
      <c r="G20" s="380"/>
      <c r="H20" s="370"/>
      <c r="I20" s="380"/>
      <c r="J20" s="380"/>
      <c r="K20" s="380"/>
      <c r="L20" s="380"/>
    </row>
    <row r="21" spans="1:12">
      <c r="A21" s="370">
        <v>15</v>
      </c>
      <c r="B21" s="385" t="s">
        <v>411</v>
      </c>
      <c r="C21" s="385"/>
      <c r="D21" s="370"/>
      <c r="E21" s="370"/>
      <c r="F21" s="380"/>
      <c r="G21" s="380"/>
      <c r="H21" s="370"/>
      <c r="I21" s="380"/>
      <c r="J21" s="380"/>
      <c r="K21" s="380"/>
      <c r="L21" s="380"/>
    </row>
    <row r="22" spans="1:12">
      <c r="A22" s="370">
        <v>16</v>
      </c>
      <c r="B22" s="385" t="s">
        <v>412</v>
      </c>
      <c r="C22" s="385"/>
      <c r="D22" s="370"/>
      <c r="E22" s="370"/>
      <c r="F22" s="380"/>
      <c r="G22" s="380"/>
      <c r="H22" s="370"/>
      <c r="I22" s="380"/>
      <c r="J22" s="380"/>
      <c r="K22" s="380"/>
      <c r="L22" s="380"/>
    </row>
    <row r="23" spans="1:12">
      <c r="A23" s="370">
        <v>17</v>
      </c>
      <c r="B23" s="385" t="s">
        <v>490</v>
      </c>
      <c r="C23" s="385"/>
      <c r="D23" s="370"/>
      <c r="E23" s="370"/>
      <c r="F23" s="380"/>
      <c r="G23" s="380"/>
      <c r="H23" s="370"/>
      <c r="I23" s="380"/>
      <c r="J23" s="380"/>
      <c r="K23" s="380"/>
      <c r="L23" s="380"/>
    </row>
    <row r="24" spans="1:12">
      <c r="A24" s="370">
        <v>18</v>
      </c>
      <c r="B24" s="385" t="s">
        <v>413</v>
      </c>
      <c r="C24" s="385"/>
      <c r="D24" s="370"/>
      <c r="E24" s="370"/>
      <c r="F24" s="380"/>
      <c r="G24" s="380"/>
      <c r="H24" s="370"/>
      <c r="I24" s="380"/>
      <c r="J24" s="380"/>
      <c r="K24" s="380"/>
      <c r="L24" s="380"/>
    </row>
    <row r="25" spans="1:12">
      <c r="A25" s="370">
        <v>19</v>
      </c>
      <c r="B25" s="385" t="s">
        <v>414</v>
      </c>
      <c r="C25" s="385"/>
      <c r="D25" s="370"/>
      <c r="E25" s="370"/>
      <c r="F25" s="380"/>
      <c r="G25" s="380"/>
      <c r="H25" s="370"/>
      <c r="I25" s="380"/>
      <c r="J25" s="380"/>
      <c r="K25" s="380"/>
      <c r="L25" s="380"/>
    </row>
    <row r="26" spans="1:12">
      <c r="A26" s="370">
        <v>20</v>
      </c>
      <c r="B26" s="385" t="s">
        <v>489</v>
      </c>
      <c r="C26" s="385"/>
      <c r="D26" s="370"/>
      <c r="E26" s="370"/>
      <c r="F26" s="380"/>
      <c r="G26" s="380"/>
      <c r="H26" s="370"/>
      <c r="I26" s="380"/>
      <c r="J26" s="380"/>
      <c r="K26" s="380"/>
      <c r="L26" s="380"/>
    </row>
    <row r="27" spans="1:12">
      <c r="A27" s="370">
        <v>21</v>
      </c>
      <c r="B27" s="385" t="s">
        <v>415</v>
      </c>
      <c r="C27" s="385"/>
      <c r="D27" s="370"/>
      <c r="E27" s="370"/>
      <c r="F27" s="380"/>
      <c r="G27" s="380"/>
      <c r="H27" s="370"/>
      <c r="I27" s="380"/>
      <c r="J27" s="380"/>
      <c r="K27" s="380"/>
      <c r="L27" s="380"/>
    </row>
    <row r="28" spans="1:12">
      <c r="A28" s="370">
        <v>22</v>
      </c>
      <c r="B28" s="385" t="s">
        <v>416</v>
      </c>
      <c r="C28" s="385"/>
      <c r="D28" s="370"/>
      <c r="E28" s="370"/>
      <c r="F28" s="380"/>
      <c r="G28" s="380"/>
      <c r="H28" s="370"/>
      <c r="I28" s="380"/>
      <c r="J28" s="380"/>
      <c r="K28" s="380"/>
      <c r="L28" s="380"/>
    </row>
    <row r="29" spans="1:12">
      <c r="A29" s="370">
        <v>23</v>
      </c>
      <c r="B29" s="385" t="s">
        <v>417</v>
      </c>
      <c r="C29" s="385"/>
      <c r="D29" s="370"/>
      <c r="E29" s="370"/>
      <c r="F29" s="380"/>
      <c r="G29" s="380"/>
      <c r="H29" s="370"/>
      <c r="I29" s="380"/>
      <c r="J29" s="380"/>
      <c r="K29" s="380"/>
      <c r="L29" s="380"/>
    </row>
    <row r="30" spans="1:12">
      <c r="A30" s="370">
        <v>24</v>
      </c>
      <c r="B30" s="385" t="s">
        <v>488</v>
      </c>
      <c r="C30" s="385"/>
      <c r="D30" s="370"/>
      <c r="E30" s="370"/>
      <c r="F30" s="380"/>
      <c r="G30" s="380"/>
      <c r="H30" s="370"/>
      <c r="I30" s="380"/>
      <c r="J30" s="380"/>
      <c r="K30" s="380"/>
      <c r="L30" s="380"/>
    </row>
    <row r="31" spans="1:12">
      <c r="A31" s="370">
        <v>25</v>
      </c>
      <c r="B31" s="385" t="s">
        <v>418</v>
      </c>
      <c r="C31" s="385"/>
      <c r="D31" s="370"/>
      <c r="E31" s="370"/>
      <c r="F31" s="380"/>
      <c r="G31" s="380"/>
      <c r="H31" s="370"/>
      <c r="I31" s="380"/>
      <c r="J31" s="380"/>
      <c r="K31" s="380"/>
      <c r="L31" s="380"/>
    </row>
    <row r="32" spans="1:12">
      <c r="A32" s="370">
        <v>26</v>
      </c>
      <c r="B32" s="385" t="s">
        <v>485</v>
      </c>
      <c r="C32" s="385"/>
      <c r="D32" s="370"/>
      <c r="E32" s="370"/>
      <c r="F32" s="380"/>
      <c r="G32" s="380"/>
      <c r="H32" s="370"/>
      <c r="I32" s="380"/>
      <c r="J32" s="380"/>
      <c r="K32" s="380"/>
      <c r="L32" s="380"/>
    </row>
    <row r="33" spans="1:12">
      <c r="A33" s="370">
        <v>27</v>
      </c>
      <c r="B33" s="442" t="s">
        <v>64</v>
      </c>
      <c r="C33" s="442"/>
      <c r="D33" s="370"/>
      <c r="E33" s="370"/>
      <c r="F33" s="380"/>
      <c r="G33" s="380"/>
      <c r="H33" s="370"/>
      <c r="I33" s="380"/>
      <c r="J33" s="380"/>
      <c r="K33" s="380"/>
      <c r="L33" s="380"/>
    </row>
    <row r="35" spans="1:12">
      <c r="B35" s="441"/>
      <c r="C35" s="44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2" sqref="B22"/>
    </sheetView>
  </sheetViews>
  <sheetFormatPr defaultColWidth="8.77734375" defaultRowHeight="12"/>
  <cols>
    <col min="1" max="1" width="11.77734375" style="444" bestFit="1" customWidth="1"/>
    <col min="2" max="2" width="68.77734375" style="444" customWidth="1"/>
    <col min="3" max="11" width="18.6640625" style="444" customWidth="1"/>
    <col min="12" max="16384" width="8.77734375" style="444"/>
  </cols>
  <sheetData>
    <row r="1" spans="1:11" s="381" customFormat="1" ht="13.8">
      <c r="A1" s="316" t="s">
        <v>30</v>
      </c>
      <c r="B1" s="368" t="str">
        <f>'Info '!C2</f>
        <v>JSC Pave Bank Georgia</v>
      </c>
    </row>
    <row r="2" spans="1:11" s="381" customFormat="1">
      <c r="A2" s="316" t="s">
        <v>31</v>
      </c>
      <c r="B2" s="367">
        <f>'1. key ratios '!B2</f>
        <v>45747</v>
      </c>
    </row>
    <row r="3" spans="1:11" s="381" customFormat="1">
      <c r="A3" s="317" t="s">
        <v>468</v>
      </c>
    </row>
    <row r="4" spans="1:11">
      <c r="C4" s="448" t="s">
        <v>662</v>
      </c>
      <c r="D4" s="448" t="s">
        <v>661</v>
      </c>
      <c r="E4" s="448" t="s">
        <v>660</v>
      </c>
      <c r="F4" s="448" t="s">
        <v>659</v>
      </c>
      <c r="G4" s="448" t="s">
        <v>658</v>
      </c>
      <c r="H4" s="448" t="s">
        <v>657</v>
      </c>
      <c r="I4" s="448" t="s">
        <v>656</v>
      </c>
      <c r="J4" s="448" t="s">
        <v>655</v>
      </c>
      <c r="K4" s="448" t="s">
        <v>654</v>
      </c>
    </row>
    <row r="5" spans="1:11" ht="117.6" customHeight="1">
      <c r="A5" s="801" t="s">
        <v>653</v>
      </c>
      <c r="B5" s="802"/>
      <c r="C5" s="447" t="s">
        <v>469</v>
      </c>
      <c r="D5" s="447" t="s">
        <v>470</v>
      </c>
      <c r="E5" s="447" t="s">
        <v>471</v>
      </c>
      <c r="F5" s="447" t="s">
        <v>472</v>
      </c>
      <c r="G5" s="447" t="s">
        <v>473</v>
      </c>
      <c r="H5" s="447" t="s">
        <v>474</v>
      </c>
      <c r="I5" s="447" t="s">
        <v>475</v>
      </c>
      <c r="J5" s="447" t="s">
        <v>476</v>
      </c>
      <c r="K5" s="447" t="s">
        <v>477</v>
      </c>
    </row>
    <row r="6" spans="1:11">
      <c r="A6" s="370">
        <v>1</v>
      </c>
      <c r="B6" s="370" t="s">
        <v>437</v>
      </c>
      <c r="C6" s="370"/>
      <c r="D6" s="370"/>
      <c r="E6" s="370"/>
      <c r="F6" s="370"/>
      <c r="G6" s="370"/>
      <c r="H6" s="370"/>
      <c r="I6" s="370"/>
      <c r="J6" s="370"/>
      <c r="K6" s="370"/>
    </row>
    <row r="7" spans="1:11">
      <c r="A7" s="370">
        <v>2</v>
      </c>
      <c r="B7" s="370" t="s">
        <v>478</v>
      </c>
      <c r="C7" s="370"/>
      <c r="D7" s="370"/>
      <c r="E7" s="370"/>
      <c r="F7" s="370"/>
      <c r="G7" s="370"/>
      <c r="H7" s="370"/>
      <c r="I7" s="370"/>
      <c r="J7" s="370"/>
      <c r="K7" s="370"/>
    </row>
    <row r="8" spans="1:11">
      <c r="A8" s="370">
        <v>3</v>
      </c>
      <c r="B8" s="370" t="s">
        <v>445</v>
      </c>
      <c r="C8" s="370"/>
      <c r="D8" s="370"/>
      <c r="E8" s="370"/>
      <c r="F8" s="370"/>
      <c r="G8" s="370"/>
      <c r="H8" s="370"/>
      <c r="I8" s="370"/>
      <c r="J8" s="370"/>
      <c r="K8" s="370"/>
    </row>
    <row r="9" spans="1:11">
      <c r="A9" s="370">
        <v>4</v>
      </c>
      <c r="B9" s="390" t="s">
        <v>479</v>
      </c>
      <c r="C9" s="446"/>
      <c r="D9" s="446"/>
      <c r="E9" s="446"/>
      <c r="F9" s="446"/>
      <c r="G9" s="446"/>
      <c r="H9" s="446"/>
      <c r="I9" s="446"/>
      <c r="J9" s="446"/>
      <c r="K9" s="446"/>
    </row>
    <row r="10" spans="1:11">
      <c r="A10" s="370">
        <v>5</v>
      </c>
      <c r="B10" s="390" t="s">
        <v>480</v>
      </c>
      <c r="C10" s="446"/>
      <c r="D10" s="446"/>
      <c r="E10" s="446"/>
      <c r="F10" s="446"/>
      <c r="G10" s="446"/>
      <c r="H10" s="446"/>
      <c r="I10" s="446"/>
      <c r="J10" s="446"/>
      <c r="K10" s="446"/>
    </row>
    <row r="11" spans="1:11">
      <c r="A11" s="370">
        <v>6</v>
      </c>
      <c r="B11" s="390" t="s">
        <v>481</v>
      </c>
      <c r="C11" s="446"/>
      <c r="D11" s="446"/>
      <c r="E11" s="446"/>
      <c r="F11" s="446"/>
      <c r="G11" s="446"/>
      <c r="H11" s="446"/>
      <c r="I11" s="446"/>
      <c r="J11" s="446"/>
      <c r="K11" s="446"/>
    </row>
    <row r="13" spans="1:11" ht="13.8">
      <c r="B13" s="44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E2" sqref="E2"/>
    </sheetView>
  </sheetViews>
  <sheetFormatPr defaultColWidth="8.77734375" defaultRowHeight="14.4"/>
  <cols>
    <col min="1" max="1" width="10" style="449" bestFit="1" customWidth="1"/>
    <col min="2" max="2" width="71.77734375" style="449" customWidth="1"/>
    <col min="3" max="3" width="3.44140625" style="449" customWidth="1"/>
    <col min="4" max="7" width="15.5546875" style="449" customWidth="1"/>
    <col min="8" max="8" width="3.44140625" style="449" customWidth="1"/>
    <col min="9" max="12" width="17.21875" style="449" customWidth="1"/>
    <col min="13" max="13" width="3.44140625" style="449" customWidth="1"/>
    <col min="14" max="17" width="16.21875" style="449" customWidth="1"/>
    <col min="18" max="18" width="12.21875" style="449" bestFit="1" customWidth="1"/>
    <col min="19" max="19" width="46.88671875" style="449" bestFit="1" customWidth="1"/>
    <col min="20" max="20" width="43.44140625" style="449" bestFit="1" customWidth="1"/>
    <col min="21" max="21" width="45.88671875" style="449" bestFit="1" customWidth="1"/>
    <col min="22" max="22" width="43.33203125" style="449" bestFit="1" customWidth="1"/>
    <col min="23" max="16384" width="8.77734375" style="449"/>
  </cols>
  <sheetData>
    <row r="1" spans="1:22">
      <c r="A1" s="316" t="s">
        <v>30</v>
      </c>
      <c r="B1" s="368" t="str">
        <f>'Info '!C2</f>
        <v>JSC Pave Bank Georgia</v>
      </c>
    </row>
    <row r="2" spans="1:22">
      <c r="A2" s="316" t="s">
        <v>31</v>
      </c>
      <c r="B2" s="367">
        <f>'1. key ratios '!B2</f>
        <v>45747</v>
      </c>
    </row>
    <row r="3" spans="1:22">
      <c r="A3" s="317" t="s">
        <v>496</v>
      </c>
      <c r="B3" s="381"/>
    </row>
    <row r="4" spans="1:22">
      <c r="A4" s="317"/>
      <c r="B4" s="381"/>
    </row>
    <row r="5" spans="1:22" ht="24" customHeight="1">
      <c r="A5" s="803" t="s">
        <v>497</v>
      </c>
      <c r="B5" s="804"/>
      <c r="C5" s="808" t="s">
        <v>663</v>
      </c>
      <c r="D5" s="808"/>
      <c r="E5" s="808"/>
      <c r="F5" s="808"/>
      <c r="G5" s="808"/>
      <c r="H5" s="808" t="s">
        <v>515</v>
      </c>
      <c r="I5" s="808"/>
      <c r="J5" s="808"/>
      <c r="K5" s="808"/>
      <c r="L5" s="808"/>
      <c r="M5" s="808" t="s">
        <v>627</v>
      </c>
      <c r="N5" s="808"/>
      <c r="O5" s="808"/>
      <c r="P5" s="808"/>
      <c r="Q5" s="808"/>
      <c r="R5" s="807" t="s">
        <v>498</v>
      </c>
      <c r="S5" s="807" t="s">
        <v>512</v>
      </c>
      <c r="T5" s="807" t="s">
        <v>513</v>
      </c>
      <c r="U5" s="807" t="s">
        <v>672</v>
      </c>
      <c r="V5" s="807" t="s">
        <v>673</v>
      </c>
    </row>
    <row r="6" spans="1:22" ht="36" customHeight="1">
      <c r="A6" s="805"/>
      <c r="B6" s="806"/>
      <c r="C6" s="459"/>
      <c r="D6" s="379" t="s">
        <v>648</v>
      </c>
      <c r="E6" s="379" t="s">
        <v>647</v>
      </c>
      <c r="F6" s="379" t="s">
        <v>646</v>
      </c>
      <c r="G6" s="379" t="s">
        <v>645</v>
      </c>
      <c r="H6" s="459"/>
      <c r="I6" s="379" t="s">
        <v>648</v>
      </c>
      <c r="J6" s="379" t="s">
        <v>647</v>
      </c>
      <c r="K6" s="379" t="s">
        <v>646</v>
      </c>
      <c r="L6" s="379" t="s">
        <v>645</v>
      </c>
      <c r="M6" s="459"/>
      <c r="N6" s="379" t="s">
        <v>648</v>
      </c>
      <c r="O6" s="379" t="s">
        <v>647</v>
      </c>
      <c r="P6" s="379" t="s">
        <v>646</v>
      </c>
      <c r="Q6" s="379" t="s">
        <v>645</v>
      </c>
      <c r="R6" s="807"/>
      <c r="S6" s="807"/>
      <c r="T6" s="807"/>
      <c r="U6" s="807"/>
      <c r="V6" s="807"/>
    </row>
    <row r="7" spans="1:22">
      <c r="A7" s="453">
        <v>1</v>
      </c>
      <c r="B7" s="458" t="s">
        <v>506</v>
      </c>
      <c r="C7" s="446"/>
      <c r="D7" s="446"/>
      <c r="E7" s="446"/>
      <c r="F7" s="446"/>
      <c r="G7" s="446"/>
      <c r="H7" s="446"/>
      <c r="I7" s="446"/>
      <c r="J7" s="446"/>
      <c r="K7" s="446"/>
      <c r="L7" s="446"/>
      <c r="M7" s="446"/>
      <c r="N7" s="446"/>
      <c r="O7" s="446"/>
      <c r="P7" s="446"/>
      <c r="Q7" s="446"/>
      <c r="R7" s="446"/>
      <c r="S7" s="446"/>
      <c r="T7" s="446"/>
      <c r="U7" s="446"/>
      <c r="V7" s="446"/>
    </row>
    <row r="8" spans="1:22">
      <c r="A8" s="453">
        <v>2</v>
      </c>
      <c r="B8" s="457" t="s">
        <v>505</v>
      </c>
      <c r="C8" s="446"/>
      <c r="D8" s="446"/>
      <c r="E8" s="446"/>
      <c r="F8" s="446"/>
      <c r="G8" s="446"/>
      <c r="H8" s="446"/>
      <c r="I8" s="446"/>
      <c r="J8" s="446"/>
      <c r="K8" s="446"/>
      <c r="L8" s="446"/>
      <c r="M8" s="446"/>
      <c r="N8" s="446"/>
      <c r="O8" s="446"/>
      <c r="P8" s="446"/>
      <c r="Q8" s="446"/>
      <c r="R8" s="446"/>
      <c r="S8" s="446"/>
      <c r="T8" s="446"/>
      <c r="U8" s="446"/>
      <c r="V8" s="446"/>
    </row>
    <row r="9" spans="1:22">
      <c r="A9" s="453">
        <v>3</v>
      </c>
      <c r="B9" s="457" t="s">
        <v>504</v>
      </c>
      <c r="C9" s="446"/>
      <c r="D9" s="446"/>
      <c r="E9" s="446"/>
      <c r="F9" s="446"/>
      <c r="G9" s="446"/>
      <c r="H9" s="446"/>
      <c r="I9" s="446"/>
      <c r="J9" s="446"/>
      <c r="K9" s="446"/>
      <c r="L9" s="446"/>
      <c r="M9" s="446"/>
      <c r="N9" s="446"/>
      <c r="O9" s="446"/>
      <c r="P9" s="446"/>
      <c r="Q9" s="446"/>
      <c r="R9" s="446"/>
      <c r="S9" s="446"/>
      <c r="T9" s="446"/>
      <c r="U9" s="446"/>
      <c r="V9" s="446"/>
    </row>
    <row r="10" spans="1:22">
      <c r="A10" s="453">
        <v>4</v>
      </c>
      <c r="B10" s="457" t="s">
        <v>503</v>
      </c>
      <c r="C10" s="446"/>
      <c r="D10" s="446"/>
      <c r="E10" s="446"/>
      <c r="F10" s="446"/>
      <c r="G10" s="446"/>
      <c r="H10" s="446"/>
      <c r="I10" s="446"/>
      <c r="J10" s="446"/>
      <c r="K10" s="446"/>
      <c r="L10" s="446"/>
      <c r="M10" s="446"/>
      <c r="N10" s="446"/>
      <c r="O10" s="446"/>
      <c r="P10" s="446"/>
      <c r="Q10" s="446"/>
      <c r="R10" s="446"/>
      <c r="S10" s="446"/>
      <c r="T10" s="446"/>
      <c r="U10" s="446"/>
      <c r="V10" s="446"/>
    </row>
    <row r="11" spans="1:22">
      <c r="A11" s="453">
        <v>5</v>
      </c>
      <c r="B11" s="457" t="s">
        <v>502</v>
      </c>
      <c r="C11" s="446"/>
      <c r="D11" s="446"/>
      <c r="E11" s="446"/>
      <c r="F11" s="446"/>
      <c r="G11" s="446"/>
      <c r="H11" s="446"/>
      <c r="I11" s="446"/>
      <c r="J11" s="446"/>
      <c r="K11" s="446"/>
      <c r="L11" s="446"/>
      <c r="M11" s="446"/>
      <c r="N11" s="446"/>
      <c r="O11" s="446"/>
      <c r="P11" s="446"/>
      <c r="Q11" s="446"/>
      <c r="R11" s="446"/>
      <c r="S11" s="446"/>
      <c r="T11" s="446"/>
      <c r="U11" s="446"/>
      <c r="V11" s="446"/>
    </row>
    <row r="12" spans="1:22">
      <c r="A12" s="453">
        <v>6</v>
      </c>
      <c r="B12" s="457" t="s">
        <v>501</v>
      </c>
      <c r="C12" s="446"/>
      <c r="D12" s="446"/>
      <c r="E12" s="446"/>
      <c r="F12" s="446"/>
      <c r="G12" s="446"/>
      <c r="H12" s="446"/>
      <c r="I12" s="446"/>
      <c r="J12" s="446"/>
      <c r="K12" s="446"/>
      <c r="L12" s="446"/>
      <c r="M12" s="446"/>
      <c r="N12" s="446"/>
      <c r="O12" s="446"/>
      <c r="P12" s="446"/>
      <c r="Q12" s="446"/>
      <c r="R12" s="446"/>
      <c r="S12" s="446"/>
      <c r="T12" s="446"/>
      <c r="U12" s="446"/>
      <c r="V12" s="446"/>
    </row>
    <row r="13" spans="1:22">
      <c r="A13" s="453">
        <v>7</v>
      </c>
      <c r="B13" s="457" t="s">
        <v>500</v>
      </c>
      <c r="C13" s="446"/>
      <c r="D13" s="446"/>
      <c r="E13" s="446"/>
      <c r="F13" s="446"/>
      <c r="G13" s="446"/>
      <c r="H13" s="446"/>
      <c r="I13" s="446"/>
      <c r="J13" s="446"/>
      <c r="K13" s="446"/>
      <c r="L13" s="446"/>
      <c r="M13" s="446"/>
      <c r="N13" s="446"/>
      <c r="O13" s="446"/>
      <c r="P13" s="446"/>
      <c r="Q13" s="446"/>
      <c r="R13" s="446"/>
      <c r="S13" s="446"/>
      <c r="T13" s="446"/>
      <c r="U13" s="446"/>
      <c r="V13" s="446"/>
    </row>
    <row r="14" spans="1:22">
      <c r="A14" s="451">
        <v>7.1</v>
      </c>
      <c r="B14" s="450" t="s">
        <v>509</v>
      </c>
      <c r="C14" s="446"/>
      <c r="D14" s="446"/>
      <c r="E14" s="446"/>
      <c r="F14" s="446"/>
      <c r="G14" s="446"/>
      <c r="H14" s="446"/>
      <c r="I14" s="446"/>
      <c r="J14" s="446"/>
      <c r="K14" s="446"/>
      <c r="L14" s="446"/>
      <c r="M14" s="446"/>
      <c r="N14" s="446"/>
      <c r="O14" s="446"/>
      <c r="P14" s="446"/>
      <c r="Q14" s="446"/>
      <c r="R14" s="446"/>
      <c r="S14" s="446"/>
      <c r="T14" s="446"/>
      <c r="U14" s="446"/>
      <c r="V14" s="446"/>
    </row>
    <row r="15" spans="1:22">
      <c r="A15" s="451">
        <v>7.2</v>
      </c>
      <c r="B15" s="450" t="s">
        <v>511</v>
      </c>
      <c r="C15" s="446"/>
      <c r="D15" s="446"/>
      <c r="E15" s="446"/>
      <c r="F15" s="446"/>
      <c r="G15" s="446"/>
      <c r="H15" s="446"/>
      <c r="I15" s="446"/>
      <c r="J15" s="446"/>
      <c r="K15" s="446"/>
      <c r="L15" s="446"/>
      <c r="M15" s="446"/>
      <c r="N15" s="446"/>
      <c r="O15" s="446"/>
      <c r="P15" s="446"/>
      <c r="Q15" s="446"/>
      <c r="R15" s="446"/>
      <c r="S15" s="446"/>
      <c r="T15" s="446"/>
      <c r="U15" s="446"/>
      <c r="V15" s="446"/>
    </row>
    <row r="16" spans="1:22">
      <c r="A16" s="451">
        <v>7.3</v>
      </c>
      <c r="B16" s="450" t="s">
        <v>508</v>
      </c>
      <c r="C16" s="446"/>
      <c r="D16" s="446"/>
      <c r="E16" s="446"/>
      <c r="F16" s="446"/>
      <c r="G16" s="446"/>
      <c r="H16" s="446"/>
      <c r="I16" s="446"/>
      <c r="J16" s="446"/>
      <c r="K16" s="446"/>
      <c r="L16" s="446"/>
      <c r="M16" s="446"/>
      <c r="N16" s="446"/>
      <c r="O16" s="446"/>
      <c r="P16" s="446"/>
      <c r="Q16" s="446"/>
      <c r="R16" s="446"/>
      <c r="S16" s="446"/>
      <c r="T16" s="446"/>
      <c r="U16" s="446"/>
      <c r="V16" s="446"/>
    </row>
    <row r="17" spans="1:22">
      <c r="A17" s="453">
        <v>8</v>
      </c>
      <c r="B17" s="457" t="s">
        <v>507</v>
      </c>
      <c r="C17" s="446"/>
      <c r="D17" s="446"/>
      <c r="E17" s="446"/>
      <c r="F17" s="446"/>
      <c r="G17" s="446"/>
      <c r="H17" s="446"/>
      <c r="I17" s="446"/>
      <c r="J17" s="446"/>
      <c r="K17" s="446"/>
      <c r="L17" s="446"/>
      <c r="M17" s="446"/>
      <c r="N17" s="446"/>
      <c r="O17" s="446"/>
      <c r="P17" s="446"/>
      <c r="Q17" s="446"/>
      <c r="R17" s="446"/>
      <c r="S17" s="446"/>
      <c r="T17" s="446"/>
      <c r="U17" s="446"/>
      <c r="V17" s="446"/>
    </row>
    <row r="18" spans="1:22">
      <c r="A18" s="456">
        <v>9</v>
      </c>
      <c r="B18" s="455" t="s">
        <v>499</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510</v>
      </c>
      <c r="C19" s="446"/>
      <c r="D19" s="446"/>
      <c r="E19" s="446"/>
      <c r="F19" s="446"/>
      <c r="G19" s="446"/>
      <c r="H19" s="446"/>
      <c r="I19" s="446"/>
      <c r="J19" s="446"/>
      <c r="K19" s="446"/>
      <c r="L19" s="446"/>
      <c r="M19" s="446"/>
      <c r="N19" s="446"/>
      <c r="O19" s="446"/>
      <c r="P19" s="446"/>
      <c r="Q19" s="446"/>
      <c r="R19" s="446"/>
      <c r="S19" s="446"/>
      <c r="T19" s="446"/>
      <c r="U19" s="446"/>
      <c r="V19" s="446"/>
    </row>
    <row r="20" spans="1:22" ht="24">
      <c r="A20" s="451">
        <v>10.1</v>
      </c>
      <c r="B20" s="450" t="s">
        <v>514</v>
      </c>
      <c r="C20" s="446"/>
      <c r="D20" s="446"/>
      <c r="E20" s="446"/>
      <c r="F20" s="446"/>
      <c r="G20" s="446"/>
      <c r="H20" s="446"/>
      <c r="I20" s="446"/>
      <c r="J20" s="446"/>
      <c r="K20" s="446"/>
      <c r="L20" s="446"/>
      <c r="M20" s="446"/>
      <c r="N20" s="446"/>
      <c r="O20" s="446"/>
      <c r="P20" s="446"/>
      <c r="Q20" s="446"/>
      <c r="R20" s="446"/>
      <c r="S20" s="446"/>
      <c r="T20" s="446"/>
      <c r="U20" s="446"/>
      <c r="V20" s="44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I1" sqref="I1"/>
    </sheetView>
  </sheetViews>
  <sheetFormatPr defaultRowHeight="14.4"/>
  <cols>
    <col min="2" max="2" width="66.6640625" customWidth="1"/>
    <col min="3" max="8" width="17.77734375" customWidth="1"/>
  </cols>
  <sheetData>
    <row r="1" spans="1:8" s="5" customFormat="1" ht="13.8">
      <c r="A1" s="2" t="s">
        <v>30</v>
      </c>
      <c r="B1" s="3" t="str">
        <f>'Info '!C2</f>
        <v>JSC Pave Bank Georgia</v>
      </c>
      <c r="C1" s="3"/>
      <c r="D1" s="4"/>
      <c r="E1" s="4"/>
      <c r="F1" s="4"/>
      <c r="G1" s="4"/>
    </row>
    <row r="2" spans="1:8" s="5" customFormat="1" ht="13.8">
      <c r="A2" s="2" t="s">
        <v>31</v>
      </c>
      <c r="B2" s="272">
        <f>'1. key ratios '!B2</f>
        <v>45747</v>
      </c>
      <c r="C2" s="3"/>
      <c r="D2" s="4"/>
      <c r="E2" s="4"/>
      <c r="F2" s="4"/>
      <c r="G2" s="4"/>
    </row>
    <row r="3" spans="1:8" ht="15" thickBot="1"/>
    <row r="4" spans="1:8">
      <c r="A4" s="700" t="s">
        <v>6</v>
      </c>
      <c r="B4" s="702" t="s">
        <v>585</v>
      </c>
      <c r="C4" s="695" t="s">
        <v>522</v>
      </c>
      <c r="D4" s="695"/>
      <c r="E4" s="695"/>
      <c r="F4" s="695" t="s">
        <v>523</v>
      </c>
      <c r="G4" s="695"/>
      <c r="H4" s="696"/>
    </row>
    <row r="5" spans="1:8" ht="15.45" customHeight="1">
      <c r="A5" s="701"/>
      <c r="B5" s="703"/>
      <c r="C5" s="616" t="s">
        <v>32</v>
      </c>
      <c r="D5" s="616" t="s">
        <v>33</v>
      </c>
      <c r="E5" s="616" t="s">
        <v>34</v>
      </c>
      <c r="F5" s="616" t="s">
        <v>32</v>
      </c>
      <c r="G5" s="616" t="s">
        <v>33</v>
      </c>
      <c r="H5" s="617" t="s">
        <v>34</v>
      </c>
    </row>
    <row r="6" spans="1:8">
      <c r="A6" s="618">
        <v>1</v>
      </c>
      <c r="B6" s="333" t="s">
        <v>586</v>
      </c>
      <c r="C6" s="590">
        <f>SUM(C7:C12)</f>
        <v>158994.66999999998</v>
      </c>
      <c r="D6" s="590">
        <f>SUM(D7:D12)</f>
        <v>61959.209999999992</v>
      </c>
      <c r="E6" s="591">
        <f>C6+D6</f>
        <v>220953.87999999998</v>
      </c>
      <c r="F6" s="590">
        <f>SUM(F7:F12)</f>
        <v>91187.13</v>
      </c>
      <c r="G6" s="590">
        <f>SUM(G7:G12)</f>
        <v>0</v>
      </c>
      <c r="H6" s="619">
        <f>F6+G6</f>
        <v>91187.13</v>
      </c>
    </row>
    <row r="7" spans="1:8">
      <c r="A7" s="618">
        <v>1.1000000000000001</v>
      </c>
      <c r="B7" s="334" t="s">
        <v>529</v>
      </c>
      <c r="C7" s="590">
        <v>0</v>
      </c>
      <c r="D7" s="590">
        <v>0</v>
      </c>
      <c r="E7" s="591">
        <f t="shared" ref="E7:E45" si="0">C7+D7</f>
        <v>0</v>
      </c>
      <c r="F7" s="590">
        <v>0</v>
      </c>
      <c r="G7" s="590">
        <v>0</v>
      </c>
      <c r="H7" s="619">
        <f t="shared" ref="H7:H45" si="1">F7+G7</f>
        <v>0</v>
      </c>
    </row>
    <row r="8" spans="1:8">
      <c r="A8" s="618">
        <v>1.2</v>
      </c>
      <c r="B8" s="334" t="s">
        <v>531</v>
      </c>
      <c r="C8" s="590">
        <v>0</v>
      </c>
      <c r="D8" s="590">
        <v>0</v>
      </c>
      <c r="E8" s="591">
        <f t="shared" si="0"/>
        <v>0</v>
      </c>
      <c r="F8" s="590">
        <v>0</v>
      </c>
      <c r="G8" s="590">
        <v>0</v>
      </c>
      <c r="H8" s="619">
        <f t="shared" si="1"/>
        <v>0</v>
      </c>
    </row>
    <row r="9" spans="1:8" ht="21.45" customHeight="1">
      <c r="A9" s="618">
        <v>1.3</v>
      </c>
      <c r="B9" s="334" t="s">
        <v>587</v>
      </c>
      <c r="C9" s="590">
        <v>0</v>
      </c>
      <c r="D9" s="590">
        <v>0</v>
      </c>
      <c r="E9" s="591">
        <f t="shared" si="0"/>
        <v>0</v>
      </c>
      <c r="F9" s="590">
        <v>0</v>
      </c>
      <c r="G9" s="590">
        <v>0</v>
      </c>
      <c r="H9" s="619">
        <f t="shared" si="1"/>
        <v>0</v>
      </c>
    </row>
    <row r="10" spans="1:8">
      <c r="A10" s="618">
        <v>1.4</v>
      </c>
      <c r="B10" s="334" t="s">
        <v>533</v>
      </c>
      <c r="C10" s="590">
        <v>0</v>
      </c>
      <c r="D10" s="590">
        <v>0</v>
      </c>
      <c r="E10" s="591">
        <f t="shared" si="0"/>
        <v>0</v>
      </c>
      <c r="F10" s="590">
        <v>0</v>
      </c>
      <c r="G10" s="590">
        <v>0</v>
      </c>
      <c r="H10" s="619">
        <f t="shared" si="1"/>
        <v>0</v>
      </c>
    </row>
    <row r="11" spans="1:8">
      <c r="A11" s="618">
        <v>1.5</v>
      </c>
      <c r="B11" s="334" t="s">
        <v>537</v>
      </c>
      <c r="C11" s="590">
        <v>158994.66999999998</v>
      </c>
      <c r="D11" s="590">
        <v>61959.209999999992</v>
      </c>
      <c r="E11" s="591">
        <f t="shared" si="0"/>
        <v>220953.87999999998</v>
      </c>
      <c r="F11" s="590">
        <v>91187.13</v>
      </c>
      <c r="G11" s="590">
        <v>0</v>
      </c>
      <c r="H11" s="619">
        <f t="shared" si="1"/>
        <v>91187.13</v>
      </c>
    </row>
    <row r="12" spans="1:8">
      <c r="A12" s="618">
        <v>1.6</v>
      </c>
      <c r="B12" s="335" t="s">
        <v>419</v>
      </c>
      <c r="C12" s="590">
        <v>0</v>
      </c>
      <c r="D12" s="590">
        <v>0</v>
      </c>
      <c r="E12" s="591">
        <f t="shared" si="0"/>
        <v>0</v>
      </c>
      <c r="F12" s="590">
        <v>0</v>
      </c>
      <c r="G12" s="590">
        <v>0</v>
      </c>
      <c r="H12" s="619">
        <f t="shared" si="1"/>
        <v>0</v>
      </c>
    </row>
    <row r="13" spans="1:8">
      <c r="A13" s="618">
        <v>2</v>
      </c>
      <c r="B13" s="336" t="s">
        <v>588</v>
      </c>
      <c r="C13" s="590">
        <f>SUM(C14:C17)</f>
        <v>0</v>
      </c>
      <c r="D13" s="590">
        <f>SUM(D14:D17)</f>
        <v>-12345.81</v>
      </c>
      <c r="E13" s="591">
        <f t="shared" si="0"/>
        <v>-12345.81</v>
      </c>
      <c r="F13" s="590">
        <f>SUM(F14:F17)</f>
        <v>0</v>
      </c>
      <c r="G13" s="590">
        <f>SUM(G14:G17)</f>
        <v>0</v>
      </c>
      <c r="H13" s="619">
        <f t="shared" si="1"/>
        <v>0</v>
      </c>
    </row>
    <row r="14" spans="1:8">
      <c r="A14" s="618">
        <v>2.1</v>
      </c>
      <c r="B14" s="334" t="s">
        <v>589</v>
      </c>
      <c r="C14" s="590">
        <v>0</v>
      </c>
      <c r="D14" s="590">
        <v>0</v>
      </c>
      <c r="E14" s="591">
        <f t="shared" si="0"/>
        <v>0</v>
      </c>
      <c r="F14" s="590">
        <v>0</v>
      </c>
      <c r="G14" s="590">
        <v>0</v>
      </c>
      <c r="H14" s="619">
        <f t="shared" si="1"/>
        <v>0</v>
      </c>
    </row>
    <row r="15" spans="1:8" ht="24.45" customHeight="1">
      <c r="A15" s="618">
        <v>2.2000000000000002</v>
      </c>
      <c r="B15" s="334" t="s">
        <v>590</v>
      </c>
      <c r="C15" s="590">
        <v>0</v>
      </c>
      <c r="D15" s="590">
        <v>0</v>
      </c>
      <c r="E15" s="591">
        <f t="shared" si="0"/>
        <v>0</v>
      </c>
      <c r="F15" s="590">
        <v>0</v>
      </c>
      <c r="G15" s="590">
        <v>0</v>
      </c>
      <c r="H15" s="619">
        <f t="shared" si="1"/>
        <v>0</v>
      </c>
    </row>
    <row r="16" spans="1:8" ht="20.55" customHeight="1">
      <c r="A16" s="618">
        <v>2.2999999999999998</v>
      </c>
      <c r="B16" s="334" t="s">
        <v>591</v>
      </c>
      <c r="C16" s="590">
        <v>0</v>
      </c>
      <c r="D16" s="590">
        <v>-12345.81</v>
      </c>
      <c r="E16" s="591">
        <f t="shared" si="0"/>
        <v>-12345.81</v>
      </c>
      <c r="F16" s="590">
        <v>0</v>
      </c>
      <c r="G16" s="590">
        <v>0</v>
      </c>
      <c r="H16" s="619">
        <f t="shared" si="1"/>
        <v>0</v>
      </c>
    </row>
    <row r="17" spans="1:8">
      <c r="A17" s="618">
        <v>2.4</v>
      </c>
      <c r="B17" s="334" t="s">
        <v>592</v>
      </c>
      <c r="C17" s="590">
        <v>0</v>
      </c>
      <c r="D17" s="590">
        <v>0</v>
      </c>
      <c r="E17" s="591">
        <f t="shared" si="0"/>
        <v>0</v>
      </c>
      <c r="F17" s="590">
        <v>0</v>
      </c>
      <c r="G17" s="590">
        <v>0</v>
      </c>
      <c r="H17" s="619">
        <f t="shared" si="1"/>
        <v>0</v>
      </c>
    </row>
    <row r="18" spans="1:8">
      <c r="A18" s="618">
        <v>3</v>
      </c>
      <c r="B18" s="336" t="s">
        <v>593</v>
      </c>
      <c r="C18" s="590">
        <v>0</v>
      </c>
      <c r="D18" s="590">
        <v>0</v>
      </c>
      <c r="E18" s="591">
        <f t="shared" si="0"/>
        <v>0</v>
      </c>
      <c r="F18" s="590">
        <v>0</v>
      </c>
      <c r="G18" s="590">
        <v>0</v>
      </c>
      <c r="H18" s="619">
        <f t="shared" si="1"/>
        <v>0</v>
      </c>
    </row>
    <row r="19" spans="1:8">
      <c r="A19" s="618">
        <v>4</v>
      </c>
      <c r="B19" s="336" t="s">
        <v>594</v>
      </c>
      <c r="C19" s="590">
        <v>59565.14</v>
      </c>
      <c r="D19" s="590">
        <v>143378.54999999999</v>
      </c>
      <c r="E19" s="591">
        <f t="shared" si="0"/>
        <v>202943.69</v>
      </c>
      <c r="F19" s="590">
        <v>0</v>
      </c>
      <c r="G19" s="590">
        <v>0</v>
      </c>
      <c r="H19" s="619">
        <f t="shared" si="1"/>
        <v>0</v>
      </c>
    </row>
    <row r="20" spans="1:8">
      <c r="A20" s="618">
        <v>5</v>
      </c>
      <c r="B20" s="336" t="s">
        <v>595</v>
      </c>
      <c r="C20" s="590">
        <v>0</v>
      </c>
      <c r="D20" s="590">
        <v>0</v>
      </c>
      <c r="E20" s="591">
        <f t="shared" si="0"/>
        <v>0</v>
      </c>
      <c r="F20" s="590">
        <v>0</v>
      </c>
      <c r="G20" s="590">
        <v>0</v>
      </c>
      <c r="H20" s="619">
        <f t="shared" si="1"/>
        <v>0</v>
      </c>
    </row>
    <row r="21" spans="1:8" ht="24" customHeight="1">
      <c r="A21" s="618">
        <v>6</v>
      </c>
      <c r="B21" s="336" t="s">
        <v>596</v>
      </c>
      <c r="C21" s="590">
        <v>0</v>
      </c>
      <c r="D21" s="590">
        <v>0</v>
      </c>
      <c r="E21" s="591">
        <f t="shared" si="0"/>
        <v>0</v>
      </c>
      <c r="F21" s="590">
        <v>0</v>
      </c>
      <c r="G21" s="590">
        <v>0</v>
      </c>
      <c r="H21" s="619">
        <f t="shared" si="1"/>
        <v>0</v>
      </c>
    </row>
    <row r="22" spans="1:8" ht="18.45" customHeight="1">
      <c r="A22" s="618">
        <v>7</v>
      </c>
      <c r="B22" s="336" t="s">
        <v>597</v>
      </c>
      <c r="C22" s="590">
        <v>0</v>
      </c>
      <c r="D22" s="590">
        <v>0</v>
      </c>
      <c r="E22" s="591">
        <f t="shared" si="0"/>
        <v>0</v>
      </c>
      <c r="F22" s="590">
        <v>0</v>
      </c>
      <c r="G22" s="590">
        <v>0</v>
      </c>
      <c r="H22" s="619">
        <f t="shared" si="1"/>
        <v>0</v>
      </c>
    </row>
    <row r="23" spans="1:8" ht="25.5" customHeight="1">
      <c r="A23" s="618">
        <v>8</v>
      </c>
      <c r="B23" s="337" t="s">
        <v>598</v>
      </c>
      <c r="C23" s="590">
        <v>0</v>
      </c>
      <c r="D23" s="590">
        <v>0</v>
      </c>
      <c r="E23" s="591">
        <f t="shared" si="0"/>
        <v>0</v>
      </c>
      <c r="F23" s="590">
        <v>0</v>
      </c>
      <c r="G23" s="590">
        <v>0</v>
      </c>
      <c r="H23" s="619">
        <f t="shared" si="1"/>
        <v>0</v>
      </c>
    </row>
    <row r="24" spans="1:8" ht="34.5" customHeight="1">
      <c r="A24" s="618">
        <v>9</v>
      </c>
      <c r="B24" s="337" t="s">
        <v>599</v>
      </c>
      <c r="C24" s="590">
        <v>0</v>
      </c>
      <c r="D24" s="590">
        <v>0</v>
      </c>
      <c r="E24" s="591">
        <f t="shared" si="0"/>
        <v>0</v>
      </c>
      <c r="F24" s="590">
        <v>0</v>
      </c>
      <c r="G24" s="590">
        <v>0</v>
      </c>
      <c r="H24" s="619">
        <f t="shared" si="1"/>
        <v>0</v>
      </c>
    </row>
    <row r="25" spans="1:8">
      <c r="A25" s="618">
        <v>10</v>
      </c>
      <c r="B25" s="336" t="s">
        <v>600</v>
      </c>
      <c r="C25" s="590">
        <v>73952.12999999999</v>
      </c>
      <c r="D25" s="590">
        <v>-4041.659999999858</v>
      </c>
      <c r="E25" s="591">
        <f t="shared" si="0"/>
        <v>69910.470000000132</v>
      </c>
      <c r="F25" s="590">
        <v>-662.94</v>
      </c>
      <c r="G25" s="590">
        <v>0</v>
      </c>
      <c r="H25" s="619">
        <f t="shared" si="1"/>
        <v>-662.94</v>
      </c>
    </row>
    <row r="26" spans="1:8">
      <c r="A26" s="618">
        <v>11</v>
      </c>
      <c r="B26" s="338" t="s">
        <v>601</v>
      </c>
      <c r="C26" s="590">
        <v>0</v>
      </c>
      <c r="D26" s="590">
        <v>0</v>
      </c>
      <c r="E26" s="591">
        <f t="shared" si="0"/>
        <v>0</v>
      </c>
      <c r="F26" s="590">
        <v>0</v>
      </c>
      <c r="G26" s="590">
        <v>0</v>
      </c>
      <c r="H26" s="619">
        <f t="shared" si="1"/>
        <v>0</v>
      </c>
    </row>
    <row r="27" spans="1:8">
      <c r="A27" s="618">
        <v>12</v>
      </c>
      <c r="B27" s="336" t="s">
        <v>602</v>
      </c>
      <c r="C27" s="590">
        <v>0</v>
      </c>
      <c r="D27" s="590">
        <v>381962</v>
      </c>
      <c r="E27" s="591">
        <f t="shared" si="0"/>
        <v>381962</v>
      </c>
      <c r="F27" s="590">
        <v>0</v>
      </c>
      <c r="G27" s="590">
        <v>0</v>
      </c>
      <c r="H27" s="619">
        <f t="shared" si="1"/>
        <v>0</v>
      </c>
    </row>
    <row r="28" spans="1:8">
      <c r="A28" s="618">
        <v>13</v>
      </c>
      <c r="B28" s="339" t="s">
        <v>603</v>
      </c>
      <c r="C28" s="590">
        <v>-205945.72</v>
      </c>
      <c r="D28" s="590">
        <v>-266655.47000000009</v>
      </c>
      <c r="E28" s="591">
        <f t="shared" si="0"/>
        <v>-472601.19000000006</v>
      </c>
      <c r="F28" s="590">
        <v>-95092.6</v>
      </c>
      <c r="G28" s="590">
        <v>0</v>
      </c>
      <c r="H28" s="619">
        <f t="shared" si="1"/>
        <v>-95092.6</v>
      </c>
    </row>
    <row r="29" spans="1:8">
      <c r="A29" s="618">
        <v>14</v>
      </c>
      <c r="B29" s="340" t="s">
        <v>604</v>
      </c>
      <c r="C29" s="590">
        <f>SUM(C30:C31)</f>
        <v>-559717.86</v>
      </c>
      <c r="D29" s="590">
        <f>SUM(D30:D31)</f>
        <v>0</v>
      </c>
      <c r="E29" s="591">
        <f t="shared" si="0"/>
        <v>-559717.86</v>
      </c>
      <c r="F29" s="590">
        <f>SUM(F30:F31)</f>
        <v>0</v>
      </c>
      <c r="G29" s="590">
        <f>SUM(G30:G31)</f>
        <v>0</v>
      </c>
      <c r="H29" s="619">
        <f t="shared" si="1"/>
        <v>0</v>
      </c>
    </row>
    <row r="30" spans="1:8">
      <c r="A30" s="618">
        <v>14.1</v>
      </c>
      <c r="B30" s="327" t="s">
        <v>605</v>
      </c>
      <c r="C30" s="590">
        <v>-559717.86</v>
      </c>
      <c r="D30" s="590">
        <v>0</v>
      </c>
      <c r="E30" s="591">
        <f t="shared" si="0"/>
        <v>-559717.86</v>
      </c>
      <c r="F30" s="590">
        <v>0</v>
      </c>
      <c r="G30" s="590">
        <v>0</v>
      </c>
      <c r="H30" s="619">
        <f t="shared" si="1"/>
        <v>0</v>
      </c>
    </row>
    <row r="31" spans="1:8">
      <c r="A31" s="618">
        <v>14.2</v>
      </c>
      <c r="B31" s="327" t="s">
        <v>606</v>
      </c>
      <c r="C31" s="590">
        <v>0</v>
      </c>
      <c r="D31" s="590">
        <v>0</v>
      </c>
      <c r="E31" s="591">
        <f t="shared" si="0"/>
        <v>0</v>
      </c>
      <c r="F31" s="590">
        <v>0</v>
      </c>
      <c r="G31" s="590">
        <v>0</v>
      </c>
      <c r="H31" s="619">
        <f t="shared" si="1"/>
        <v>0</v>
      </c>
    </row>
    <row r="32" spans="1:8">
      <c r="A32" s="618">
        <v>15</v>
      </c>
      <c r="B32" s="336" t="s">
        <v>607</v>
      </c>
      <c r="C32" s="590">
        <v>-5027.8099999999995</v>
      </c>
      <c r="D32" s="590">
        <v>0</v>
      </c>
      <c r="E32" s="591">
        <f t="shared" si="0"/>
        <v>-5027.8099999999995</v>
      </c>
      <c r="F32" s="590">
        <v>0</v>
      </c>
      <c r="G32" s="590">
        <v>0</v>
      </c>
      <c r="H32" s="619">
        <f t="shared" si="1"/>
        <v>0</v>
      </c>
    </row>
    <row r="33" spans="1:8" ht="22.5" customHeight="1">
      <c r="A33" s="618">
        <v>16</v>
      </c>
      <c r="B33" s="325" t="s">
        <v>608</v>
      </c>
      <c r="C33" s="590">
        <v>0</v>
      </c>
      <c r="D33" s="590">
        <v>0</v>
      </c>
      <c r="E33" s="591">
        <f t="shared" si="0"/>
        <v>0</v>
      </c>
      <c r="F33" s="590">
        <v>0</v>
      </c>
      <c r="G33" s="590">
        <v>0</v>
      </c>
      <c r="H33" s="619">
        <f t="shared" si="1"/>
        <v>0</v>
      </c>
    </row>
    <row r="34" spans="1:8">
      <c r="A34" s="618">
        <v>17</v>
      </c>
      <c r="B34" s="336" t="s">
        <v>609</v>
      </c>
      <c r="C34" s="590">
        <f>SUM(C35:C36)</f>
        <v>0</v>
      </c>
      <c r="D34" s="590">
        <f>SUM(D35:D36)</f>
        <v>0</v>
      </c>
      <c r="E34" s="591">
        <f t="shared" si="0"/>
        <v>0</v>
      </c>
      <c r="F34" s="590">
        <f>SUM(F35:F36)</f>
        <v>0</v>
      </c>
      <c r="G34" s="590">
        <f>SUM(G35:G36)</f>
        <v>0</v>
      </c>
      <c r="H34" s="619">
        <f t="shared" si="1"/>
        <v>0</v>
      </c>
    </row>
    <row r="35" spans="1:8">
      <c r="A35" s="618">
        <v>17.100000000000001</v>
      </c>
      <c r="B35" s="327" t="s">
        <v>610</v>
      </c>
      <c r="C35" s="590">
        <v>0</v>
      </c>
      <c r="D35" s="590">
        <v>0</v>
      </c>
      <c r="E35" s="591">
        <f t="shared" si="0"/>
        <v>0</v>
      </c>
      <c r="F35" s="590">
        <v>0</v>
      </c>
      <c r="G35" s="590">
        <v>0</v>
      </c>
      <c r="H35" s="619">
        <f t="shared" si="1"/>
        <v>0</v>
      </c>
    </row>
    <row r="36" spans="1:8">
      <c r="A36" s="618">
        <v>17.2</v>
      </c>
      <c r="B36" s="327" t="s">
        <v>611</v>
      </c>
      <c r="C36" s="590">
        <v>0</v>
      </c>
      <c r="D36" s="590">
        <v>0</v>
      </c>
      <c r="E36" s="591">
        <f t="shared" si="0"/>
        <v>0</v>
      </c>
      <c r="F36" s="590">
        <v>0</v>
      </c>
      <c r="G36" s="590">
        <v>0</v>
      </c>
      <c r="H36" s="619">
        <f t="shared" si="1"/>
        <v>0</v>
      </c>
    </row>
    <row r="37" spans="1:8" ht="41.55" customHeight="1">
      <c r="A37" s="618">
        <v>18</v>
      </c>
      <c r="B37" s="341" t="s">
        <v>612</v>
      </c>
      <c r="C37" s="590">
        <f>SUM(C38:C39)</f>
        <v>0</v>
      </c>
      <c r="D37" s="590">
        <f>SUM(D38:D39)</f>
        <v>0</v>
      </c>
      <c r="E37" s="591">
        <f t="shared" si="0"/>
        <v>0</v>
      </c>
      <c r="F37" s="590">
        <f>SUM(F38:F39)</f>
        <v>0</v>
      </c>
      <c r="G37" s="590">
        <f>SUM(G38:G39)</f>
        <v>0</v>
      </c>
      <c r="H37" s="619">
        <f t="shared" si="1"/>
        <v>0</v>
      </c>
    </row>
    <row r="38" spans="1:8">
      <c r="A38" s="618">
        <v>18.100000000000001</v>
      </c>
      <c r="B38" s="342" t="s">
        <v>613</v>
      </c>
      <c r="C38" s="590">
        <v>0</v>
      </c>
      <c r="D38" s="590">
        <v>0</v>
      </c>
      <c r="E38" s="591">
        <f t="shared" si="0"/>
        <v>0</v>
      </c>
      <c r="F38" s="590">
        <v>0</v>
      </c>
      <c r="G38" s="590">
        <v>0</v>
      </c>
      <c r="H38" s="619">
        <f t="shared" si="1"/>
        <v>0</v>
      </c>
    </row>
    <row r="39" spans="1:8">
      <c r="A39" s="618">
        <v>18.2</v>
      </c>
      <c r="B39" s="342" t="s">
        <v>614</v>
      </c>
      <c r="C39" s="590">
        <v>0</v>
      </c>
      <c r="D39" s="590">
        <v>0</v>
      </c>
      <c r="E39" s="591">
        <f t="shared" si="0"/>
        <v>0</v>
      </c>
      <c r="F39" s="590">
        <v>0</v>
      </c>
      <c r="G39" s="590">
        <v>0</v>
      </c>
      <c r="H39" s="619">
        <f t="shared" si="1"/>
        <v>0</v>
      </c>
    </row>
    <row r="40" spans="1:8" ht="24.45" customHeight="1">
      <c r="A40" s="618">
        <v>19</v>
      </c>
      <c r="B40" s="341" t="s">
        <v>615</v>
      </c>
      <c r="C40" s="590">
        <v>0</v>
      </c>
      <c r="D40" s="590">
        <v>0</v>
      </c>
      <c r="E40" s="591">
        <f t="shared" si="0"/>
        <v>0</v>
      </c>
      <c r="F40" s="590">
        <v>0</v>
      </c>
      <c r="G40" s="590">
        <v>0</v>
      </c>
      <c r="H40" s="619">
        <f t="shared" si="1"/>
        <v>0</v>
      </c>
    </row>
    <row r="41" spans="1:8" ht="17.55" customHeight="1">
      <c r="A41" s="618">
        <v>20</v>
      </c>
      <c r="B41" s="341" t="s">
        <v>616</v>
      </c>
      <c r="C41" s="590">
        <v>0</v>
      </c>
      <c r="D41" s="590">
        <v>0</v>
      </c>
      <c r="E41" s="591">
        <f t="shared" si="0"/>
        <v>0</v>
      </c>
      <c r="F41" s="590">
        <v>0</v>
      </c>
      <c r="G41" s="590">
        <v>0</v>
      </c>
      <c r="H41" s="619">
        <f t="shared" si="1"/>
        <v>0</v>
      </c>
    </row>
    <row r="42" spans="1:8" ht="26.55" customHeight="1">
      <c r="A42" s="618">
        <v>21</v>
      </c>
      <c r="B42" s="341" t="s">
        <v>617</v>
      </c>
      <c r="C42" s="590">
        <v>0</v>
      </c>
      <c r="D42" s="590">
        <v>0</v>
      </c>
      <c r="E42" s="591">
        <f t="shared" si="0"/>
        <v>0</v>
      </c>
      <c r="F42" s="590">
        <v>0</v>
      </c>
      <c r="G42" s="590">
        <v>0</v>
      </c>
      <c r="H42" s="619">
        <f t="shared" si="1"/>
        <v>0</v>
      </c>
    </row>
    <row r="43" spans="1:8">
      <c r="A43" s="618">
        <v>22</v>
      </c>
      <c r="B43" s="620" t="s">
        <v>618</v>
      </c>
      <c r="C43" s="590">
        <f>SUM(C6,C13,C18,C19,C20,C21,C22,C23,C24,C25,C26,C27,C28,C29,C32,C33,C34,C37,C40,C41,C42)</f>
        <v>-478179.45</v>
      </c>
      <c r="D43" s="590">
        <f>SUM(D6,D13,D18,D19,D20,D21,D22,D23,D24,D25,D26,D27,D28,D29,D32,D33,D34,D37,D40,D41,D42)</f>
        <v>304256.82000000007</v>
      </c>
      <c r="E43" s="591">
        <f t="shared" si="0"/>
        <v>-173922.62999999995</v>
      </c>
      <c r="F43" s="590">
        <f>SUM(F6,F13,F18,F19,F20,F21,F22,F23,F24,F25,F26,F27,F28,F29,F32,F33,F34,F37,F40,F41,F42)</f>
        <v>-4568.4100000000035</v>
      </c>
      <c r="G43" s="590">
        <f>SUM(G6,G13,G18,G19,G20,G21,G22,G23,G24,G25,G26,G27,G28,G29,G32,G33,G34,G37,G40,G41,G42)</f>
        <v>0</v>
      </c>
      <c r="H43" s="619">
        <f t="shared" si="1"/>
        <v>-4568.4100000000035</v>
      </c>
    </row>
    <row r="44" spans="1:8">
      <c r="A44" s="618">
        <v>23</v>
      </c>
      <c r="B44" s="620" t="s">
        <v>619</v>
      </c>
      <c r="C44" s="590">
        <v>0</v>
      </c>
      <c r="D44" s="590">
        <v>0</v>
      </c>
      <c r="E44" s="591">
        <f t="shared" si="0"/>
        <v>0</v>
      </c>
      <c r="F44" s="590">
        <v>0</v>
      </c>
      <c r="G44" s="590">
        <v>0</v>
      </c>
      <c r="H44" s="619">
        <f t="shared" si="1"/>
        <v>0</v>
      </c>
    </row>
    <row r="45" spans="1:8" ht="15" thickBot="1">
      <c r="A45" s="621">
        <v>24</v>
      </c>
      <c r="B45" s="622" t="s">
        <v>620</v>
      </c>
      <c r="C45" s="623">
        <f>C43+C44</f>
        <v>-478179.45</v>
      </c>
      <c r="D45" s="623">
        <f>D43+D44</f>
        <v>304256.82000000007</v>
      </c>
      <c r="E45" s="624">
        <f t="shared" si="0"/>
        <v>-173922.62999999995</v>
      </c>
      <c r="F45" s="623">
        <f>F43+F44</f>
        <v>-4568.4100000000035</v>
      </c>
      <c r="G45" s="623">
        <f>G43+G44</f>
        <v>0</v>
      </c>
      <c r="H45" s="625">
        <f t="shared" si="1"/>
        <v>-4568.4100000000035</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heetViews>
  <sheetFormatPr defaultColWidth="8.77734375" defaultRowHeight="13.8"/>
  <cols>
    <col min="1" max="1" width="8.77734375" style="513"/>
    <col min="2" max="2" width="87.6640625" style="500" bestFit="1" customWidth="1"/>
    <col min="3" max="8" width="15.44140625" style="500" customWidth="1"/>
    <col min="9" max="16384" width="8.77734375" style="500"/>
  </cols>
  <sheetData>
    <row r="1" spans="1:8">
      <c r="A1" s="134" t="s">
        <v>30</v>
      </c>
      <c r="B1" s="499" t="str">
        <f>'Info '!C2</f>
        <v>JSC Pave Bank Georgia</v>
      </c>
      <c r="C1" s="499"/>
    </row>
    <row r="2" spans="1:8">
      <c r="A2" s="134" t="s">
        <v>31</v>
      </c>
      <c r="B2" s="501">
        <f>'1. key ratios '!B2</f>
        <v>45747</v>
      </c>
      <c r="C2" s="499"/>
    </row>
    <row r="3" spans="1:8" ht="14.4" thickBot="1">
      <c r="A3" s="500"/>
    </row>
    <row r="4" spans="1:8">
      <c r="A4" s="704" t="s">
        <v>6</v>
      </c>
      <c r="B4" s="705" t="s">
        <v>94</v>
      </c>
      <c r="C4" s="706" t="s">
        <v>522</v>
      </c>
      <c r="D4" s="706"/>
      <c r="E4" s="706"/>
      <c r="F4" s="706" t="s">
        <v>523</v>
      </c>
      <c r="G4" s="706"/>
      <c r="H4" s="707"/>
    </row>
    <row r="5" spans="1:8">
      <c r="A5" s="704"/>
      <c r="B5" s="705"/>
      <c r="C5" s="332" t="s">
        <v>32</v>
      </c>
      <c r="D5" s="332" t="s">
        <v>33</v>
      </c>
      <c r="E5" s="332" t="s">
        <v>34</v>
      </c>
      <c r="F5" s="332" t="s">
        <v>32</v>
      </c>
      <c r="G5" s="332" t="s">
        <v>33</v>
      </c>
      <c r="H5" s="332" t="s">
        <v>34</v>
      </c>
    </row>
    <row r="6" spans="1:8">
      <c r="A6" s="358">
        <v>1</v>
      </c>
      <c r="B6" s="344" t="s">
        <v>621</v>
      </c>
      <c r="C6" s="515"/>
      <c r="D6" s="515"/>
      <c r="E6" s="516">
        <f t="shared" ref="E6:E43" si="0">C6+D6</f>
        <v>0</v>
      </c>
      <c r="F6" s="515"/>
      <c r="G6" s="515"/>
      <c r="H6" s="517">
        <f t="shared" ref="H6:H43" si="1">F6+G6</f>
        <v>0</v>
      </c>
    </row>
    <row r="7" spans="1:8">
      <c r="A7" s="358">
        <v>2</v>
      </c>
      <c r="B7" s="344" t="s">
        <v>183</v>
      </c>
      <c r="C7" s="515"/>
      <c r="D7" s="515"/>
      <c r="E7" s="516">
        <f t="shared" si="0"/>
        <v>0</v>
      </c>
      <c r="F7" s="515"/>
      <c r="G7" s="515"/>
      <c r="H7" s="517">
        <f t="shared" si="1"/>
        <v>0</v>
      </c>
    </row>
    <row r="8" spans="1:8">
      <c r="A8" s="358">
        <v>3</v>
      </c>
      <c r="B8" s="344" t="s">
        <v>193</v>
      </c>
      <c r="C8" s="515">
        <f>C9+C10</f>
        <v>0</v>
      </c>
      <c r="D8" s="515">
        <f>D9+D10</f>
        <v>0</v>
      </c>
      <c r="E8" s="516">
        <f t="shared" si="0"/>
        <v>0</v>
      </c>
      <c r="F8" s="515">
        <f>F9+F10</f>
        <v>0</v>
      </c>
      <c r="G8" s="515">
        <f>G9+G10</f>
        <v>0</v>
      </c>
      <c r="H8" s="517">
        <f t="shared" si="1"/>
        <v>0</v>
      </c>
    </row>
    <row r="9" spans="1:8">
      <c r="A9" s="358">
        <v>3.1</v>
      </c>
      <c r="B9" s="343" t="s">
        <v>184</v>
      </c>
      <c r="C9" s="515"/>
      <c r="D9" s="515"/>
      <c r="E9" s="516">
        <f t="shared" si="0"/>
        <v>0</v>
      </c>
      <c r="F9" s="515"/>
      <c r="G9" s="515"/>
      <c r="H9" s="517">
        <f t="shared" si="1"/>
        <v>0</v>
      </c>
    </row>
    <row r="10" spans="1:8">
      <c r="A10" s="358">
        <v>3.2</v>
      </c>
      <c r="B10" s="343" t="s">
        <v>180</v>
      </c>
      <c r="C10" s="515"/>
      <c r="D10" s="515"/>
      <c r="E10" s="516">
        <f t="shared" si="0"/>
        <v>0</v>
      </c>
      <c r="F10" s="515"/>
      <c r="G10" s="515"/>
      <c r="H10" s="517">
        <f t="shared" si="1"/>
        <v>0</v>
      </c>
    </row>
    <row r="11" spans="1:8">
      <c r="A11" s="358">
        <v>4</v>
      </c>
      <c r="B11" s="344" t="s">
        <v>182</v>
      </c>
      <c r="C11" s="515">
        <f>C12+C13</f>
        <v>0</v>
      </c>
      <c r="D11" s="515">
        <f>D12+D13</f>
        <v>0</v>
      </c>
      <c r="E11" s="516">
        <f t="shared" si="0"/>
        <v>0</v>
      </c>
      <c r="F11" s="515">
        <f>F12+F13</f>
        <v>0</v>
      </c>
      <c r="G11" s="515">
        <f>G12+G13</f>
        <v>0</v>
      </c>
      <c r="H11" s="517">
        <f t="shared" si="1"/>
        <v>0</v>
      </c>
    </row>
    <row r="12" spans="1:8">
      <c r="A12" s="358">
        <v>4.0999999999999996</v>
      </c>
      <c r="B12" s="343" t="s">
        <v>166</v>
      </c>
      <c r="C12" s="515"/>
      <c r="D12" s="515"/>
      <c r="E12" s="516">
        <f t="shared" si="0"/>
        <v>0</v>
      </c>
      <c r="F12" s="515"/>
      <c r="G12" s="515"/>
      <c r="H12" s="517">
        <f t="shared" si="1"/>
        <v>0</v>
      </c>
    </row>
    <row r="13" spans="1:8">
      <c r="A13" s="358">
        <v>4.2</v>
      </c>
      <c r="B13" s="343" t="s">
        <v>167</v>
      </c>
      <c r="C13" s="515"/>
      <c r="D13" s="515"/>
      <c r="E13" s="516">
        <f t="shared" si="0"/>
        <v>0</v>
      </c>
      <c r="F13" s="515"/>
      <c r="G13" s="515"/>
      <c r="H13" s="517">
        <f t="shared" si="1"/>
        <v>0</v>
      </c>
    </row>
    <row r="14" spans="1:8">
      <c r="A14" s="358">
        <v>5</v>
      </c>
      <c r="B14" s="344" t="s">
        <v>192</v>
      </c>
      <c r="C14" s="515">
        <f>C15+C16+C17+C23+C24+C25+C26</f>
        <v>0</v>
      </c>
      <c r="D14" s="515">
        <f>D15+D16+D17+D23+D24+D25+D26</f>
        <v>0</v>
      </c>
      <c r="E14" s="516">
        <f t="shared" si="0"/>
        <v>0</v>
      </c>
      <c r="F14" s="515">
        <f>F15+F16+F17+F23+F24+F25+F26</f>
        <v>0</v>
      </c>
      <c r="G14" s="515">
        <f>G15+G16+G17+G23+G24+G25+G26</f>
        <v>0</v>
      </c>
      <c r="H14" s="517">
        <f t="shared" si="1"/>
        <v>0</v>
      </c>
    </row>
    <row r="15" spans="1:8">
      <c r="A15" s="358">
        <v>5.0999999999999996</v>
      </c>
      <c r="B15" s="345" t="s">
        <v>170</v>
      </c>
      <c r="C15" s="515"/>
      <c r="D15" s="515"/>
      <c r="E15" s="516">
        <f t="shared" si="0"/>
        <v>0</v>
      </c>
      <c r="F15" s="515"/>
      <c r="G15" s="515"/>
      <c r="H15" s="517">
        <f t="shared" si="1"/>
        <v>0</v>
      </c>
    </row>
    <row r="16" spans="1:8">
      <c r="A16" s="358">
        <v>5.2</v>
      </c>
      <c r="B16" s="345" t="s">
        <v>169</v>
      </c>
      <c r="C16" s="515"/>
      <c r="D16" s="515"/>
      <c r="E16" s="516">
        <f t="shared" si="0"/>
        <v>0</v>
      </c>
      <c r="F16" s="515"/>
      <c r="G16" s="515"/>
      <c r="H16" s="517">
        <f t="shared" si="1"/>
        <v>0</v>
      </c>
    </row>
    <row r="17" spans="1:8">
      <c r="A17" s="358">
        <v>5.3</v>
      </c>
      <c r="B17" s="345" t="s">
        <v>168</v>
      </c>
      <c r="C17" s="515">
        <f>C18+C19+C20+C21+C22</f>
        <v>0</v>
      </c>
      <c r="D17" s="515">
        <f>D18+D19+D20+D21+D22</f>
        <v>0</v>
      </c>
      <c r="E17" s="516">
        <f t="shared" si="0"/>
        <v>0</v>
      </c>
      <c r="F17" s="515"/>
      <c r="G17" s="515"/>
      <c r="H17" s="517">
        <f t="shared" si="1"/>
        <v>0</v>
      </c>
    </row>
    <row r="18" spans="1:8">
      <c r="A18" s="358" t="s">
        <v>15</v>
      </c>
      <c r="B18" s="346" t="s">
        <v>36</v>
      </c>
      <c r="C18" s="515"/>
      <c r="D18" s="515"/>
      <c r="E18" s="516">
        <f t="shared" si="0"/>
        <v>0</v>
      </c>
      <c r="F18" s="515"/>
      <c r="G18" s="515"/>
      <c r="H18" s="517">
        <f t="shared" si="1"/>
        <v>0</v>
      </c>
    </row>
    <row r="19" spans="1:8">
      <c r="A19" s="358" t="s">
        <v>16</v>
      </c>
      <c r="B19" s="346" t="s">
        <v>37</v>
      </c>
      <c r="C19" s="515"/>
      <c r="D19" s="515"/>
      <c r="E19" s="516">
        <f t="shared" si="0"/>
        <v>0</v>
      </c>
      <c r="F19" s="515"/>
      <c r="G19" s="515"/>
      <c r="H19" s="517">
        <f t="shared" si="1"/>
        <v>0</v>
      </c>
    </row>
    <row r="20" spans="1:8">
      <c r="A20" s="358" t="s">
        <v>17</v>
      </c>
      <c r="B20" s="346" t="s">
        <v>38</v>
      </c>
      <c r="C20" s="515"/>
      <c r="D20" s="515"/>
      <c r="E20" s="516">
        <f t="shared" si="0"/>
        <v>0</v>
      </c>
      <c r="F20" s="515"/>
      <c r="G20" s="515"/>
      <c r="H20" s="517">
        <f t="shared" si="1"/>
        <v>0</v>
      </c>
    </row>
    <row r="21" spans="1:8">
      <c r="A21" s="358" t="s">
        <v>18</v>
      </c>
      <c r="B21" s="346" t="s">
        <v>39</v>
      </c>
      <c r="C21" s="515"/>
      <c r="D21" s="515"/>
      <c r="E21" s="516">
        <f t="shared" si="0"/>
        <v>0</v>
      </c>
      <c r="F21" s="515"/>
      <c r="G21" s="515"/>
      <c r="H21" s="517">
        <f t="shared" si="1"/>
        <v>0</v>
      </c>
    </row>
    <row r="22" spans="1:8">
      <c r="A22" s="358" t="s">
        <v>19</v>
      </c>
      <c r="B22" s="346" t="s">
        <v>40</v>
      </c>
      <c r="C22" s="515"/>
      <c r="D22" s="515"/>
      <c r="E22" s="516">
        <f t="shared" si="0"/>
        <v>0</v>
      </c>
      <c r="F22" s="515"/>
      <c r="G22" s="515"/>
      <c r="H22" s="517">
        <f t="shared" si="1"/>
        <v>0</v>
      </c>
    </row>
    <row r="23" spans="1:8">
      <c r="A23" s="358">
        <v>5.4</v>
      </c>
      <c r="B23" s="345" t="s">
        <v>171</v>
      </c>
      <c r="C23" s="515"/>
      <c r="D23" s="515"/>
      <c r="E23" s="516">
        <f t="shared" si="0"/>
        <v>0</v>
      </c>
      <c r="F23" s="515"/>
      <c r="G23" s="515"/>
      <c r="H23" s="517">
        <f t="shared" si="1"/>
        <v>0</v>
      </c>
    </row>
    <row r="24" spans="1:8">
      <c r="A24" s="358">
        <v>5.5</v>
      </c>
      <c r="B24" s="345" t="s">
        <v>172</v>
      </c>
      <c r="C24" s="515"/>
      <c r="D24" s="515"/>
      <c r="E24" s="516">
        <f t="shared" si="0"/>
        <v>0</v>
      </c>
      <c r="F24" s="515"/>
      <c r="G24" s="515"/>
      <c r="H24" s="517">
        <f t="shared" si="1"/>
        <v>0</v>
      </c>
    </row>
    <row r="25" spans="1:8">
      <c r="A25" s="358">
        <v>5.6</v>
      </c>
      <c r="B25" s="345" t="s">
        <v>173</v>
      </c>
      <c r="C25" s="515"/>
      <c r="D25" s="515"/>
      <c r="E25" s="516">
        <f t="shared" si="0"/>
        <v>0</v>
      </c>
      <c r="F25" s="515"/>
      <c r="G25" s="515"/>
      <c r="H25" s="517">
        <f t="shared" si="1"/>
        <v>0</v>
      </c>
    </row>
    <row r="26" spans="1:8">
      <c r="A26" s="358">
        <v>5.7</v>
      </c>
      <c r="B26" s="345" t="s">
        <v>40</v>
      </c>
      <c r="C26" s="515"/>
      <c r="D26" s="515"/>
      <c r="E26" s="516">
        <f t="shared" si="0"/>
        <v>0</v>
      </c>
      <c r="F26" s="515"/>
      <c r="G26" s="515"/>
      <c r="H26" s="517">
        <f t="shared" si="1"/>
        <v>0</v>
      </c>
    </row>
    <row r="27" spans="1:8">
      <c r="A27" s="358">
        <v>6</v>
      </c>
      <c r="B27" s="518" t="s">
        <v>622</v>
      </c>
      <c r="C27" s="515"/>
      <c r="D27" s="515"/>
      <c r="E27" s="516">
        <f t="shared" si="0"/>
        <v>0</v>
      </c>
      <c r="F27" s="515"/>
      <c r="G27" s="515"/>
      <c r="H27" s="517">
        <f t="shared" si="1"/>
        <v>0</v>
      </c>
    </row>
    <row r="28" spans="1:8">
      <c r="A28" s="358">
        <v>7</v>
      </c>
      <c r="B28" s="518" t="s">
        <v>623</v>
      </c>
      <c r="C28" s="515"/>
      <c r="D28" s="515"/>
      <c r="E28" s="516">
        <f t="shared" si="0"/>
        <v>0</v>
      </c>
      <c r="F28" s="515"/>
      <c r="G28" s="515"/>
      <c r="H28" s="517">
        <f t="shared" si="1"/>
        <v>0</v>
      </c>
    </row>
    <row r="29" spans="1:8">
      <c r="A29" s="358">
        <v>8</v>
      </c>
      <c r="B29" s="518" t="s">
        <v>181</v>
      </c>
      <c r="C29" s="515"/>
      <c r="D29" s="515"/>
      <c r="E29" s="516">
        <f t="shared" si="0"/>
        <v>0</v>
      </c>
      <c r="F29" s="515"/>
      <c r="G29" s="515"/>
      <c r="H29" s="517">
        <f t="shared" si="1"/>
        <v>0</v>
      </c>
    </row>
    <row r="30" spans="1:8">
      <c r="A30" s="358">
        <v>9</v>
      </c>
      <c r="B30" s="519" t="s">
        <v>198</v>
      </c>
      <c r="C30" s="515">
        <f>C31+C32+C33+C34+C35+C36+C37</f>
        <v>0</v>
      </c>
      <c r="D30" s="515">
        <f>D31+D32+D33+D34+D35+D36+D37</f>
        <v>0</v>
      </c>
      <c r="E30" s="516">
        <f t="shared" si="0"/>
        <v>0</v>
      </c>
      <c r="F30" s="515">
        <f>F31+F32+F33+F34+F35+F36+F37</f>
        <v>0</v>
      </c>
      <c r="G30" s="515">
        <f>G31+G32+G33+G34+G35+G36+G37</f>
        <v>0</v>
      </c>
      <c r="H30" s="517">
        <f t="shared" si="1"/>
        <v>0</v>
      </c>
    </row>
    <row r="31" spans="1:8">
      <c r="A31" s="358">
        <v>9.1</v>
      </c>
      <c r="B31" s="347" t="s">
        <v>188</v>
      </c>
      <c r="C31" s="515"/>
      <c r="D31" s="515"/>
      <c r="E31" s="516">
        <f t="shared" si="0"/>
        <v>0</v>
      </c>
      <c r="F31" s="515"/>
      <c r="G31" s="515"/>
      <c r="H31" s="517">
        <f t="shared" si="1"/>
        <v>0</v>
      </c>
    </row>
    <row r="32" spans="1:8">
      <c r="A32" s="358">
        <v>9.1999999999999993</v>
      </c>
      <c r="B32" s="347" t="s">
        <v>189</v>
      </c>
      <c r="C32" s="515"/>
      <c r="D32" s="515"/>
      <c r="E32" s="516">
        <f t="shared" si="0"/>
        <v>0</v>
      </c>
      <c r="F32" s="515"/>
      <c r="G32" s="515"/>
      <c r="H32" s="517">
        <f t="shared" si="1"/>
        <v>0</v>
      </c>
    </row>
    <row r="33" spans="1:8">
      <c r="A33" s="358">
        <v>9.3000000000000007</v>
      </c>
      <c r="B33" s="347" t="s">
        <v>185</v>
      </c>
      <c r="C33" s="515"/>
      <c r="D33" s="515"/>
      <c r="E33" s="516">
        <f t="shared" si="0"/>
        <v>0</v>
      </c>
      <c r="F33" s="515"/>
      <c r="G33" s="515"/>
      <c r="H33" s="517">
        <f t="shared" si="1"/>
        <v>0</v>
      </c>
    </row>
    <row r="34" spans="1:8">
      <c r="A34" s="358">
        <v>9.4</v>
      </c>
      <c r="B34" s="347" t="s">
        <v>186</v>
      </c>
      <c r="C34" s="515"/>
      <c r="D34" s="515"/>
      <c r="E34" s="516">
        <f t="shared" si="0"/>
        <v>0</v>
      </c>
      <c r="F34" s="515"/>
      <c r="G34" s="515"/>
      <c r="H34" s="517">
        <f t="shared" si="1"/>
        <v>0</v>
      </c>
    </row>
    <row r="35" spans="1:8">
      <c r="A35" s="358">
        <v>9.5</v>
      </c>
      <c r="B35" s="347" t="s">
        <v>187</v>
      </c>
      <c r="C35" s="515"/>
      <c r="D35" s="515"/>
      <c r="E35" s="516">
        <f t="shared" si="0"/>
        <v>0</v>
      </c>
      <c r="F35" s="515"/>
      <c r="G35" s="515"/>
      <c r="H35" s="517">
        <f t="shared" si="1"/>
        <v>0</v>
      </c>
    </row>
    <row r="36" spans="1:8">
      <c r="A36" s="358">
        <v>9.6</v>
      </c>
      <c r="B36" s="347" t="s">
        <v>190</v>
      </c>
      <c r="C36" s="515"/>
      <c r="D36" s="515"/>
      <c r="E36" s="516">
        <f t="shared" si="0"/>
        <v>0</v>
      </c>
      <c r="F36" s="515"/>
      <c r="G36" s="515"/>
      <c r="H36" s="517">
        <f t="shared" si="1"/>
        <v>0</v>
      </c>
    </row>
    <row r="37" spans="1:8">
      <c r="A37" s="358">
        <v>9.6999999999999993</v>
      </c>
      <c r="B37" s="347" t="s">
        <v>191</v>
      </c>
      <c r="C37" s="515"/>
      <c r="D37" s="515"/>
      <c r="E37" s="516">
        <f t="shared" si="0"/>
        <v>0</v>
      </c>
      <c r="F37" s="515"/>
      <c r="G37" s="515"/>
      <c r="H37" s="517">
        <f t="shared" si="1"/>
        <v>0</v>
      </c>
    </row>
    <row r="38" spans="1:8">
      <c r="A38" s="358">
        <v>10</v>
      </c>
      <c r="B38" s="344" t="s">
        <v>194</v>
      </c>
      <c r="C38" s="522">
        <f>C41+C42</f>
        <v>0</v>
      </c>
      <c r="D38" s="522">
        <f>D41+D42</f>
        <v>0</v>
      </c>
      <c r="E38" s="520">
        <f t="shared" si="0"/>
        <v>0</v>
      </c>
      <c r="F38" s="522">
        <f>F41+F42</f>
        <v>0</v>
      </c>
      <c r="G38" s="522">
        <f>G41+G42</f>
        <v>0</v>
      </c>
      <c r="H38" s="517">
        <f t="shared" si="1"/>
        <v>0</v>
      </c>
    </row>
    <row r="39" spans="1:8">
      <c r="A39" s="358">
        <v>10.1</v>
      </c>
      <c r="B39" s="347" t="s">
        <v>195</v>
      </c>
      <c r="C39" s="515"/>
      <c r="D39" s="515"/>
      <c r="E39" s="516">
        <f t="shared" si="0"/>
        <v>0</v>
      </c>
      <c r="F39" s="515"/>
      <c r="G39" s="515"/>
      <c r="H39" s="517">
        <f t="shared" si="1"/>
        <v>0</v>
      </c>
    </row>
    <row r="40" spans="1:8">
      <c r="A40" s="358">
        <v>10.199999999999999</v>
      </c>
      <c r="B40" s="347" t="s">
        <v>196</v>
      </c>
      <c r="C40" s="515"/>
      <c r="D40" s="515"/>
      <c r="E40" s="516">
        <f t="shared" si="0"/>
        <v>0</v>
      </c>
      <c r="F40" s="515"/>
      <c r="G40" s="515"/>
      <c r="H40" s="517">
        <f t="shared" si="1"/>
        <v>0</v>
      </c>
    </row>
    <row r="41" spans="1:8">
      <c r="A41" s="358">
        <v>10.3</v>
      </c>
      <c r="B41" s="347" t="s">
        <v>199</v>
      </c>
      <c r="C41" s="515"/>
      <c r="D41" s="515"/>
      <c r="E41" s="516">
        <f t="shared" si="0"/>
        <v>0</v>
      </c>
      <c r="F41" s="515"/>
      <c r="G41" s="515"/>
      <c r="H41" s="517">
        <f t="shared" si="1"/>
        <v>0</v>
      </c>
    </row>
    <row r="42" spans="1:8" ht="26.4">
      <c r="A42" s="358">
        <v>10.4</v>
      </c>
      <c r="B42" s="347" t="s">
        <v>200</v>
      </c>
      <c r="C42" s="515"/>
      <c r="D42" s="515"/>
      <c r="E42" s="516">
        <f t="shared" si="0"/>
        <v>0</v>
      </c>
      <c r="F42" s="515"/>
      <c r="G42" s="515"/>
      <c r="H42" s="517">
        <f t="shared" si="1"/>
        <v>0</v>
      </c>
    </row>
    <row r="43" spans="1:8" ht="14.4" thickBot="1">
      <c r="A43" s="358">
        <v>11</v>
      </c>
      <c r="B43" s="113" t="s">
        <v>197</v>
      </c>
      <c r="C43" s="515"/>
      <c r="D43" s="515"/>
      <c r="E43" s="516">
        <f t="shared" si="0"/>
        <v>0</v>
      </c>
      <c r="F43" s="515"/>
      <c r="G43" s="515"/>
      <c r="H43" s="517">
        <f t="shared" si="1"/>
        <v>0</v>
      </c>
    </row>
    <row r="44" spans="1:8">
      <c r="C44" s="348"/>
      <c r="D44" s="348"/>
      <c r="E44" s="348"/>
      <c r="F44" s="348"/>
      <c r="G44" s="348"/>
      <c r="H44" s="348"/>
    </row>
    <row r="45" spans="1:8">
      <c r="C45" s="348"/>
      <c r="D45" s="348"/>
      <c r="E45" s="348"/>
      <c r="F45" s="348"/>
      <c r="G45" s="348"/>
      <c r="H45" s="348"/>
    </row>
    <row r="46" spans="1:8">
      <c r="C46" s="348"/>
      <c r="D46" s="348"/>
      <c r="E46" s="348"/>
      <c r="F46" s="348"/>
      <c r="G46" s="348"/>
      <c r="H46" s="348"/>
    </row>
    <row r="47" spans="1:8">
      <c r="C47" s="348"/>
      <c r="D47" s="348"/>
      <c r="E47" s="348"/>
      <c r="F47" s="348"/>
      <c r="G47" s="348"/>
      <c r="H47" s="348"/>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I1" sqref="I1"/>
    </sheetView>
  </sheetViews>
  <sheetFormatPr defaultColWidth="9.21875" defaultRowHeight="13.2"/>
  <cols>
    <col min="1" max="1" width="9.5546875" style="4" bestFit="1" customWidth="1"/>
    <col min="2" max="2" width="93.5546875" style="4" customWidth="1"/>
    <col min="3" max="4" width="10.77734375" style="4" customWidth="1"/>
    <col min="5" max="11" width="9.77734375" style="22" customWidth="1"/>
    <col min="12" max="16384" width="9.21875" style="22"/>
  </cols>
  <sheetData>
    <row r="1" spans="1:7">
      <c r="A1" s="2" t="s">
        <v>30</v>
      </c>
      <c r="B1" s="3" t="str">
        <f>'Info '!C2</f>
        <v>JSC Pave Bank Georgia</v>
      </c>
      <c r="C1" s="3"/>
    </row>
    <row r="2" spans="1:7">
      <c r="A2" s="2" t="s">
        <v>31</v>
      </c>
      <c r="B2" s="272">
        <f>'1. key ratios '!B2</f>
        <v>45747</v>
      </c>
      <c r="C2" s="3"/>
    </row>
    <row r="3" spans="1:7">
      <c r="A3" s="2"/>
      <c r="B3" s="3"/>
      <c r="C3" s="3"/>
    </row>
    <row r="4" spans="1:7" ht="15" customHeight="1" thickBot="1">
      <c r="A4" s="4" t="s">
        <v>96</v>
      </c>
      <c r="B4" s="90" t="s">
        <v>174</v>
      </c>
      <c r="C4" s="25" t="s">
        <v>35</v>
      </c>
    </row>
    <row r="5" spans="1:7" ht="15" customHeight="1">
      <c r="A5" s="132" t="s">
        <v>6</v>
      </c>
      <c r="B5" s="133"/>
      <c r="C5" s="270" t="str">
        <f>INT((MONTH($B$2))/3)&amp;"Q"&amp;"-"&amp;YEAR($B$2)</f>
        <v>1Q-2025</v>
      </c>
      <c r="D5" s="270" t="str">
        <f>IF(INT(MONTH($B$2))=3, "4"&amp;"Q"&amp;"-"&amp;YEAR($B$2)-1, IF(INT(MONTH($B$2))=6, "1"&amp;"Q"&amp;"-"&amp;YEAR($B$2), IF(INT(MONTH($B$2))=9, "2"&amp;"Q"&amp;"-"&amp;YEAR($B$2),IF(INT(MONTH($B$2))=12, "3"&amp;"Q"&amp;"-"&amp;YEAR($B$2), 0))))</f>
        <v>4Q-2024</v>
      </c>
      <c r="E5" s="270" t="str">
        <f>IF(INT(MONTH($B$2))=3, "3"&amp;"Q"&amp;"-"&amp;YEAR($B$2)-1, IF(INT(MONTH($B$2))=6, "4"&amp;"Q"&amp;"-"&amp;YEAR($B$2)-1, IF(INT(MONTH($B$2))=9, "1"&amp;"Q"&amp;"-"&amp;YEAR($B$2),IF(INT(MONTH($B$2))=12, "2"&amp;"Q"&amp;"-"&amp;YEAR($B$2), 0))))</f>
        <v>3Q-2024</v>
      </c>
      <c r="F5" s="270" t="str">
        <f>IF(INT(MONTH($B$2))=3, "2"&amp;"Q"&amp;"-"&amp;YEAR($B$2)-1, IF(INT(MONTH($B$2))=6, "3"&amp;"Q"&amp;"-"&amp;YEAR($B$2)-1, IF(INT(MONTH($B$2))=9, "4"&amp;"Q"&amp;"-"&amp;YEAR($B$2)-1,IF(INT(MONTH($B$2))=12, "1"&amp;"Q"&amp;"-"&amp;YEAR($B$2), 0))))</f>
        <v>2Q-2024</v>
      </c>
      <c r="G5" s="271" t="str">
        <f>IF(INT(MONTH($B$2))=3, "1"&amp;"Q"&amp;"-"&amp;YEAR($B$2)-1, IF(INT(MONTH($B$2))=6, "2"&amp;"Q"&amp;"-"&amp;YEAR($B$2)-1, IF(INT(MONTH($B$2))=9, "3"&amp;"Q"&amp;"-"&amp;YEAR($B$2)-1,IF(INT(MONTH($B$2))=12, "4"&amp;"Q"&amp;"-"&amp;YEAR($B$2)-1, 0))))</f>
        <v>1Q-2024</v>
      </c>
    </row>
    <row r="6" spans="1:7" ht="15" customHeight="1">
      <c r="A6" s="26">
        <v>1</v>
      </c>
      <c r="B6" s="221" t="s">
        <v>178</v>
      </c>
      <c r="C6" s="262">
        <f>C7+C9+C10</f>
        <v>21136257.579999998</v>
      </c>
      <c r="D6" s="264">
        <f>D7+D9+D10</f>
        <v>2491048.2879999997</v>
      </c>
      <c r="E6" s="223">
        <f t="shared" ref="E6:G6" si="0">E7+E9+E10</f>
        <v>8040672.950000002</v>
      </c>
      <c r="F6" s="262">
        <f t="shared" si="0"/>
        <v>8445428.2599999998</v>
      </c>
      <c r="G6" s="267">
        <f t="shared" si="0"/>
        <v>5280826</v>
      </c>
    </row>
    <row r="7" spans="1:7" ht="15" customHeight="1">
      <c r="A7" s="26">
        <v>1.1000000000000001</v>
      </c>
      <c r="B7" s="221" t="s">
        <v>745</v>
      </c>
      <c r="C7" s="263">
        <v>21136257.579999998</v>
      </c>
      <c r="D7" s="265">
        <v>2491048.2879999997</v>
      </c>
      <c r="E7" s="263">
        <v>8040672.950000002</v>
      </c>
      <c r="F7" s="263">
        <v>8445428.2599999998</v>
      </c>
      <c r="G7" s="268">
        <v>5280826</v>
      </c>
    </row>
    <row r="8" spans="1:7">
      <c r="A8" s="26" t="s">
        <v>14</v>
      </c>
      <c r="B8" s="221" t="s">
        <v>95</v>
      </c>
      <c r="C8" s="263">
        <v>0</v>
      </c>
      <c r="D8" s="265">
        <v>0</v>
      </c>
      <c r="E8" s="263">
        <v>0</v>
      </c>
      <c r="F8" s="263">
        <v>0</v>
      </c>
      <c r="G8" s="268">
        <v>0</v>
      </c>
    </row>
    <row r="9" spans="1:7" ht="15" customHeight="1">
      <c r="A9" s="26">
        <v>1.2</v>
      </c>
      <c r="B9" s="222" t="s">
        <v>94</v>
      </c>
      <c r="C9" s="263">
        <v>0</v>
      </c>
      <c r="D9" s="265">
        <v>0</v>
      </c>
      <c r="E9" s="263">
        <v>0</v>
      </c>
      <c r="F9" s="263">
        <v>0</v>
      </c>
      <c r="G9" s="268">
        <v>0</v>
      </c>
    </row>
    <row r="10" spans="1:7" ht="15" customHeight="1">
      <c r="A10" s="26">
        <v>1.3</v>
      </c>
      <c r="B10" s="221" t="s">
        <v>28</v>
      </c>
      <c r="C10" s="263">
        <v>0</v>
      </c>
      <c r="D10" s="265">
        <v>0</v>
      </c>
      <c r="E10" s="263">
        <v>0</v>
      </c>
      <c r="F10" s="263">
        <v>0</v>
      </c>
      <c r="G10" s="268">
        <v>0</v>
      </c>
    </row>
    <row r="11" spans="1:7" ht="15" customHeight="1">
      <c r="A11" s="26">
        <v>2</v>
      </c>
      <c r="B11" s="221" t="s">
        <v>175</v>
      </c>
      <c r="C11" s="263">
        <v>490516.39999997796</v>
      </c>
      <c r="D11" s="265">
        <v>430596.87999999995</v>
      </c>
      <c r="E11" s="263">
        <v>837759.44010199956</v>
      </c>
      <c r="F11" s="263">
        <v>827136.84010200039</v>
      </c>
      <c r="G11" s="268">
        <v>206001</v>
      </c>
    </row>
    <row r="12" spans="1:7" ht="15" customHeight="1">
      <c r="A12" s="26">
        <v>3</v>
      </c>
      <c r="B12" s="221" t="s">
        <v>176</v>
      </c>
      <c r="C12" s="263">
        <v>204515.16175999999</v>
      </c>
      <c r="D12" s="265">
        <v>204515.16175999999</v>
      </c>
      <c r="E12" s="263">
        <v>0</v>
      </c>
      <c r="F12" s="263">
        <v>0</v>
      </c>
      <c r="G12" s="268">
        <v>0</v>
      </c>
    </row>
    <row r="13" spans="1:7" ht="15" customHeight="1" thickBot="1">
      <c r="A13" s="28">
        <v>4</v>
      </c>
      <c r="B13" s="29" t="s">
        <v>177</v>
      </c>
      <c r="C13" s="224">
        <f>C6+C11+C12</f>
        <v>21831289.141759973</v>
      </c>
      <c r="D13" s="266">
        <f>D6+D11+D12</f>
        <v>3126160.3297599996</v>
      </c>
      <c r="E13" s="225">
        <f t="shared" ref="E13:G13" si="1">E6+E11+E12</f>
        <v>8878432.3901020009</v>
      </c>
      <c r="F13" s="224">
        <f t="shared" si="1"/>
        <v>9272565.1001019999</v>
      </c>
      <c r="G13" s="269">
        <f t="shared" si="1"/>
        <v>5486827</v>
      </c>
    </row>
    <row r="14" spans="1:7">
      <c r="B14" s="32"/>
    </row>
    <row r="15" spans="1:7">
      <c r="B15" s="32"/>
    </row>
    <row r="16" spans="1:7">
      <c r="B16" s="32"/>
    </row>
    <row r="17" s="22" customFormat="1" ht="10.199999999999999"/>
    <row r="18" s="22" customFormat="1" ht="10.199999999999999"/>
    <row r="19" s="22" customFormat="1" ht="10.199999999999999"/>
    <row r="20" s="22" customFormat="1" ht="10.199999999999999"/>
    <row r="21" s="22" customFormat="1" ht="10.199999999999999"/>
    <row r="22" s="22" customFormat="1" ht="10.199999999999999"/>
    <row r="23" s="22" customFormat="1" ht="10.199999999999999"/>
    <row r="24" s="22" customFormat="1" ht="10.199999999999999"/>
    <row r="25" s="22" customFormat="1" ht="10.199999999999999"/>
    <row r="26" s="22" customFormat="1" ht="10.199999999999999"/>
    <row r="27" s="22" customFormat="1" ht="10.199999999999999"/>
    <row r="28" s="22" customFormat="1" ht="10.199999999999999"/>
    <row r="29" s="22"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21875" defaultRowHeight="13.8"/>
  <cols>
    <col min="1" max="1" width="9.5546875" style="4" bestFit="1" customWidth="1"/>
    <col min="2" max="2" width="65.5546875" style="4" customWidth="1"/>
    <col min="3" max="3" width="81.77734375" style="4" bestFit="1" customWidth="1"/>
    <col min="4" max="16384" width="9.21875" style="5"/>
  </cols>
  <sheetData>
    <row r="1" spans="1:8">
      <c r="A1" s="2" t="s">
        <v>30</v>
      </c>
      <c r="B1" s="3" t="str">
        <f>'Info '!C2</f>
        <v>JSC Pave Bank Georgia</v>
      </c>
    </row>
    <row r="2" spans="1:8">
      <c r="A2" s="2" t="s">
        <v>31</v>
      </c>
      <c r="B2" s="272">
        <f>'1. key ratios '!B2</f>
        <v>45747</v>
      </c>
    </row>
    <row r="4" spans="1:8" ht="28.05" customHeight="1" thickBot="1">
      <c r="A4" s="33" t="s">
        <v>41</v>
      </c>
      <c r="B4" s="34" t="s">
        <v>151</v>
      </c>
      <c r="C4" s="35"/>
    </row>
    <row r="5" spans="1:8">
      <c r="A5" s="36"/>
      <c r="B5" s="257" t="s">
        <v>42</v>
      </c>
      <c r="C5" s="258" t="s">
        <v>335</v>
      </c>
    </row>
    <row r="6" spans="1:8">
      <c r="A6" s="37">
        <v>1</v>
      </c>
      <c r="B6" s="38" t="s">
        <v>759</v>
      </c>
      <c r="C6" s="39" t="s">
        <v>760</v>
      </c>
    </row>
    <row r="7" spans="1:8">
      <c r="A7" s="37">
        <v>2</v>
      </c>
      <c r="B7" s="38" t="s">
        <v>756</v>
      </c>
      <c r="C7" s="39" t="s">
        <v>761</v>
      </c>
    </row>
    <row r="8" spans="1:8">
      <c r="A8" s="37">
        <v>3</v>
      </c>
      <c r="B8" s="38" t="s">
        <v>762</v>
      </c>
      <c r="C8" s="39" t="s">
        <v>760</v>
      </c>
    </row>
    <row r="9" spans="1:8">
      <c r="A9" s="37">
        <v>4</v>
      </c>
      <c r="B9" s="38" t="s">
        <v>753</v>
      </c>
      <c r="C9" s="39" t="s">
        <v>753</v>
      </c>
    </row>
    <row r="10" spans="1:8">
      <c r="A10" s="37">
        <v>5</v>
      </c>
      <c r="B10" s="38" t="s">
        <v>753</v>
      </c>
      <c r="C10" s="39" t="s">
        <v>753</v>
      </c>
    </row>
    <row r="11" spans="1:8">
      <c r="A11" s="37">
        <v>6</v>
      </c>
      <c r="B11" s="38" t="s">
        <v>753</v>
      </c>
      <c r="C11" s="39" t="s">
        <v>753</v>
      </c>
    </row>
    <row r="12" spans="1:8">
      <c r="A12" s="37">
        <v>7</v>
      </c>
      <c r="B12" s="38" t="s">
        <v>753</v>
      </c>
      <c r="C12" s="39" t="s">
        <v>753</v>
      </c>
      <c r="H12" s="40"/>
    </row>
    <row r="13" spans="1:8">
      <c r="A13" s="37">
        <v>8</v>
      </c>
      <c r="B13" s="38" t="s">
        <v>753</v>
      </c>
      <c r="C13" s="39" t="s">
        <v>753</v>
      </c>
    </row>
    <row r="14" spans="1:8">
      <c r="A14" s="37">
        <v>9</v>
      </c>
      <c r="B14" s="38" t="s">
        <v>753</v>
      </c>
      <c r="C14" s="39" t="s">
        <v>753</v>
      </c>
    </row>
    <row r="15" spans="1:8">
      <c r="A15" s="37">
        <v>10</v>
      </c>
      <c r="B15" s="38" t="s">
        <v>753</v>
      </c>
      <c r="C15" s="39" t="s">
        <v>753</v>
      </c>
    </row>
    <row r="16" spans="1:8">
      <c r="A16" s="37"/>
      <c r="B16" s="259"/>
      <c r="C16" s="260"/>
    </row>
    <row r="17" spans="1:3">
      <c r="A17" s="37"/>
      <c r="B17" s="119" t="s">
        <v>43</v>
      </c>
      <c r="C17" s="261" t="s">
        <v>336</v>
      </c>
    </row>
    <row r="18" spans="1:3">
      <c r="A18" s="37">
        <v>1</v>
      </c>
      <c r="B18" s="38" t="s">
        <v>757</v>
      </c>
      <c r="C18" s="39" t="s">
        <v>763</v>
      </c>
    </row>
    <row r="19" spans="1:3">
      <c r="A19" s="37">
        <v>2</v>
      </c>
      <c r="B19" s="38" t="s">
        <v>764</v>
      </c>
      <c r="C19" s="39" t="s">
        <v>765</v>
      </c>
    </row>
    <row r="20" spans="1:3">
      <c r="A20" s="37">
        <v>3</v>
      </c>
      <c r="B20" s="38" t="s">
        <v>766</v>
      </c>
      <c r="C20" s="39" t="s">
        <v>767</v>
      </c>
    </row>
    <row r="21" spans="1:3">
      <c r="A21" s="37">
        <v>4</v>
      </c>
      <c r="B21" s="38" t="s">
        <v>753</v>
      </c>
      <c r="C21" s="39" t="s">
        <v>753</v>
      </c>
    </row>
    <row r="22" spans="1:3">
      <c r="A22" s="37">
        <v>5</v>
      </c>
      <c r="B22" s="38" t="s">
        <v>753</v>
      </c>
      <c r="C22" s="39" t="s">
        <v>753</v>
      </c>
    </row>
    <row r="23" spans="1:3">
      <c r="A23" s="37">
        <v>6</v>
      </c>
      <c r="B23" s="38" t="s">
        <v>753</v>
      </c>
      <c r="C23" s="39" t="s">
        <v>753</v>
      </c>
    </row>
    <row r="24" spans="1:3">
      <c r="A24" s="37">
        <v>7</v>
      </c>
      <c r="B24" s="38" t="s">
        <v>753</v>
      </c>
      <c r="C24" s="39" t="s">
        <v>753</v>
      </c>
    </row>
    <row r="25" spans="1:3">
      <c r="A25" s="37">
        <v>8</v>
      </c>
      <c r="B25" s="38" t="s">
        <v>753</v>
      </c>
      <c r="C25" s="39" t="s">
        <v>753</v>
      </c>
    </row>
    <row r="26" spans="1:3">
      <c r="A26" s="37">
        <v>9</v>
      </c>
      <c r="B26" s="38" t="s">
        <v>753</v>
      </c>
      <c r="C26" s="39" t="s">
        <v>753</v>
      </c>
    </row>
    <row r="27" spans="1:3" ht="15.75" customHeight="1">
      <c r="A27" s="37">
        <v>10</v>
      </c>
      <c r="B27" s="38" t="s">
        <v>753</v>
      </c>
      <c r="C27" s="39" t="s">
        <v>753</v>
      </c>
    </row>
    <row r="28" spans="1:3" ht="15.75" customHeight="1">
      <c r="A28" s="37"/>
      <c r="B28" s="38"/>
      <c r="C28" s="41"/>
    </row>
    <row r="29" spans="1:3" ht="30" customHeight="1">
      <c r="A29" s="37"/>
      <c r="B29" s="708" t="s">
        <v>44</v>
      </c>
      <c r="C29" s="709"/>
    </row>
    <row r="30" spans="1:3">
      <c r="A30" s="37">
        <v>1</v>
      </c>
      <c r="B30" s="38" t="s">
        <v>754</v>
      </c>
      <c r="C30" s="577">
        <v>1</v>
      </c>
    </row>
    <row r="31" spans="1:3" ht="15.75" customHeight="1">
      <c r="A31" s="37"/>
      <c r="B31" s="38"/>
      <c r="C31" s="39"/>
    </row>
    <row r="32" spans="1:3" ht="29.25" customHeight="1">
      <c r="A32" s="37"/>
      <c r="B32" s="708" t="s">
        <v>45</v>
      </c>
      <c r="C32" s="709"/>
    </row>
    <row r="33" spans="1:3">
      <c r="A33" s="37">
        <v>1</v>
      </c>
      <c r="B33" s="38" t="s">
        <v>757</v>
      </c>
      <c r="C33" s="577">
        <v>0.7087</v>
      </c>
    </row>
    <row r="34" spans="1:3">
      <c r="A34" s="578">
        <f>A33+1</f>
        <v>2</v>
      </c>
      <c r="B34" s="38" t="s">
        <v>764</v>
      </c>
      <c r="C34" s="577">
        <v>0.12330000000000001</v>
      </c>
    </row>
    <row r="35" spans="1:3">
      <c r="A35" s="578">
        <f>A34+1</f>
        <v>3</v>
      </c>
      <c r="B35" s="38" t="s">
        <v>766</v>
      </c>
      <c r="C35" s="577">
        <v>0.16800000000000001</v>
      </c>
    </row>
    <row r="36" spans="1:3">
      <c r="A36" s="578"/>
      <c r="B36" s="579"/>
      <c r="C36" s="580"/>
    </row>
    <row r="37" spans="1:3" ht="14.4" thickBot="1">
      <c r="A37" s="42"/>
      <c r="B37" s="43"/>
      <c r="C37" s="44"/>
    </row>
  </sheetData>
  <mergeCells count="2">
    <mergeCell ref="B32:C32"/>
    <mergeCell ref="B29:C29"/>
  </mergeCells>
  <dataValidations count="1">
    <dataValidation type="list" allowBlank="1" showInputMessage="1" showErrorMessage="1" sqref="C6:C15 C18:C27 C30 C33:C3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7" sqref="G17"/>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31" t="s">
        <v>30</v>
      </c>
      <c r="B1" s="3" t="str">
        <f>'Info '!C2</f>
        <v>JSC Pave Bank Georgia</v>
      </c>
    </row>
    <row r="2" spans="1:5" s="2" customFormat="1" ht="15.75" customHeight="1">
      <c r="A2" s="31" t="s">
        <v>31</v>
      </c>
      <c r="B2" s="272">
        <f>'1. key ratios '!B2</f>
        <v>45747</v>
      </c>
    </row>
    <row r="3" spans="1:5" s="2" customFormat="1" ht="15.75" customHeight="1">
      <c r="A3" s="31"/>
    </row>
    <row r="4" spans="1:5" s="2" customFormat="1" ht="15.75" customHeight="1" thickBot="1">
      <c r="A4" s="169" t="s">
        <v>99</v>
      </c>
      <c r="B4" s="714" t="s">
        <v>212</v>
      </c>
      <c r="C4" s="715"/>
      <c r="D4" s="715"/>
      <c r="E4" s="715"/>
    </row>
    <row r="5" spans="1:5" s="46" customFormat="1" ht="17.55" customHeight="1">
      <c r="A5" s="626"/>
      <c r="B5" s="627"/>
      <c r="C5" s="628" t="s">
        <v>0</v>
      </c>
      <c r="D5" s="628" t="s">
        <v>1</v>
      </c>
      <c r="E5" s="629" t="s">
        <v>2</v>
      </c>
    </row>
    <row r="6" spans="1:5" ht="14.55" customHeight="1">
      <c r="A6" s="630"/>
      <c r="B6" s="710" t="s">
        <v>219</v>
      </c>
      <c r="C6" s="710" t="s">
        <v>624</v>
      </c>
      <c r="D6" s="712" t="s">
        <v>98</v>
      </c>
      <c r="E6" s="713"/>
    </row>
    <row r="7" spans="1:5" ht="99.6" customHeight="1">
      <c r="A7" s="630"/>
      <c r="B7" s="711"/>
      <c r="C7" s="710"/>
      <c r="D7" s="631" t="s">
        <v>97</v>
      </c>
      <c r="E7" s="208" t="s">
        <v>220</v>
      </c>
    </row>
    <row r="8" spans="1:5" ht="20.399999999999999">
      <c r="A8" s="632">
        <v>1</v>
      </c>
      <c r="B8" s="633" t="s">
        <v>525</v>
      </c>
      <c r="C8" s="634">
        <f>SUM(C9:C11)</f>
        <v>30026833.66</v>
      </c>
      <c r="D8" s="634">
        <f>SUM(D9:D11)</f>
        <v>0</v>
      </c>
      <c r="E8" s="635">
        <f>SUM(E9:E11)</f>
        <v>30026833.66</v>
      </c>
    </row>
    <row r="9" spans="1:5" ht="14.4">
      <c r="A9" s="632">
        <v>1.1000000000000001</v>
      </c>
      <c r="B9" s="636" t="s">
        <v>526</v>
      </c>
      <c r="C9" s="634">
        <v>0</v>
      </c>
      <c r="D9" s="634">
        <v>0</v>
      </c>
      <c r="E9" s="635">
        <v>0</v>
      </c>
    </row>
    <row r="10" spans="1:5" ht="14.4">
      <c r="A10" s="632">
        <v>1.2</v>
      </c>
      <c r="B10" s="636" t="s">
        <v>527</v>
      </c>
      <c r="C10" s="634">
        <v>17024432.120000001</v>
      </c>
      <c r="D10" s="634">
        <v>0</v>
      </c>
      <c r="E10" s="635">
        <v>17024432.120000001</v>
      </c>
    </row>
    <row r="11" spans="1:5" ht="14.4">
      <c r="A11" s="632">
        <v>1.3</v>
      </c>
      <c r="B11" s="636" t="s">
        <v>528</v>
      </c>
      <c r="C11" s="634">
        <v>13002401.539999999</v>
      </c>
      <c r="D11" s="634">
        <v>0</v>
      </c>
      <c r="E11" s="635">
        <v>13002401.539999999</v>
      </c>
    </row>
    <row r="12" spans="1:5" ht="14.4">
      <c r="A12" s="632">
        <v>2</v>
      </c>
      <c r="B12" s="323" t="s">
        <v>529</v>
      </c>
      <c r="C12" s="634">
        <v>0</v>
      </c>
      <c r="D12" s="634">
        <v>0</v>
      </c>
      <c r="E12" s="635">
        <v>0</v>
      </c>
    </row>
    <row r="13" spans="1:5" ht="14.4">
      <c r="A13" s="632">
        <v>2.1</v>
      </c>
      <c r="B13" s="637" t="s">
        <v>530</v>
      </c>
      <c r="C13" s="634">
        <v>0</v>
      </c>
      <c r="D13" s="634">
        <v>0</v>
      </c>
      <c r="E13" s="635">
        <v>0</v>
      </c>
    </row>
    <row r="14" spans="1:5" ht="20.399999999999999">
      <c r="A14" s="632">
        <v>3</v>
      </c>
      <c r="B14" s="324" t="s">
        <v>531</v>
      </c>
      <c r="C14" s="634">
        <v>0</v>
      </c>
      <c r="D14" s="634">
        <v>0</v>
      </c>
      <c r="E14" s="635">
        <v>0</v>
      </c>
    </row>
    <row r="15" spans="1:5" ht="14.4">
      <c r="A15" s="632">
        <v>4</v>
      </c>
      <c r="B15" s="325" t="s">
        <v>532</v>
      </c>
      <c r="C15" s="634">
        <v>0</v>
      </c>
      <c r="D15" s="634">
        <v>0</v>
      </c>
      <c r="E15" s="635">
        <v>0</v>
      </c>
    </row>
    <row r="16" spans="1:5" ht="20.399999999999999">
      <c r="A16" s="632">
        <v>5</v>
      </c>
      <c r="B16" s="326" t="s">
        <v>533</v>
      </c>
      <c r="C16" s="634">
        <f>SUM(C17:C19)</f>
        <v>0</v>
      </c>
      <c r="D16" s="634">
        <f>SUM(D17:D19)</f>
        <v>0</v>
      </c>
      <c r="E16" s="635">
        <f>SUM(E17:E19)</f>
        <v>0</v>
      </c>
    </row>
    <row r="17" spans="1:5" ht="14.4">
      <c r="A17" s="632">
        <v>5.0999999999999996</v>
      </c>
      <c r="B17" s="327" t="s">
        <v>534</v>
      </c>
      <c r="C17" s="634">
        <v>0</v>
      </c>
      <c r="D17" s="634">
        <v>0</v>
      </c>
      <c r="E17" s="635">
        <v>0</v>
      </c>
    </row>
    <row r="18" spans="1:5" ht="14.4">
      <c r="A18" s="632">
        <v>5.2</v>
      </c>
      <c r="B18" s="327" t="s">
        <v>535</v>
      </c>
      <c r="C18" s="634">
        <v>0</v>
      </c>
      <c r="D18" s="634">
        <v>0</v>
      </c>
      <c r="E18" s="635">
        <v>0</v>
      </c>
    </row>
    <row r="19" spans="1:5" ht="14.4">
      <c r="A19" s="632">
        <v>5.3</v>
      </c>
      <c r="B19" s="328" t="s">
        <v>536</v>
      </c>
      <c r="C19" s="634">
        <v>0</v>
      </c>
      <c r="D19" s="634">
        <v>0</v>
      </c>
      <c r="E19" s="635">
        <v>0</v>
      </c>
    </row>
    <row r="20" spans="1:5" ht="14.4">
      <c r="A20" s="632">
        <v>6</v>
      </c>
      <c r="B20" s="324" t="s">
        <v>537</v>
      </c>
      <c r="C20" s="634">
        <f>SUM(C21:C22)</f>
        <v>0</v>
      </c>
      <c r="D20" s="634">
        <f>SUM(D21:D22)</f>
        <v>0</v>
      </c>
      <c r="E20" s="635">
        <f>SUM(E21:E22)</f>
        <v>0</v>
      </c>
    </row>
    <row r="21" spans="1:5" ht="14.4">
      <c r="A21" s="632">
        <v>6.1</v>
      </c>
      <c r="B21" s="327" t="s">
        <v>535</v>
      </c>
      <c r="C21" s="634">
        <v>0</v>
      </c>
      <c r="D21" s="634">
        <v>0</v>
      </c>
      <c r="E21" s="635">
        <v>0</v>
      </c>
    </row>
    <row r="22" spans="1:5" ht="14.4">
      <c r="A22" s="632">
        <v>6.2</v>
      </c>
      <c r="B22" s="328" t="s">
        <v>536</v>
      </c>
      <c r="C22" s="634">
        <v>0</v>
      </c>
      <c r="D22" s="634">
        <v>0</v>
      </c>
      <c r="E22" s="635">
        <v>0</v>
      </c>
    </row>
    <row r="23" spans="1:5" ht="14.4">
      <c r="A23" s="632">
        <v>7</v>
      </c>
      <c r="B23" s="323" t="s">
        <v>538</v>
      </c>
      <c r="C23" s="634">
        <v>0</v>
      </c>
      <c r="D23" s="634">
        <v>0</v>
      </c>
      <c r="E23" s="635">
        <v>0</v>
      </c>
    </row>
    <row r="24" spans="1:5" ht="20.399999999999999">
      <c r="A24" s="632">
        <v>8</v>
      </c>
      <c r="B24" s="329" t="s">
        <v>539</v>
      </c>
      <c r="C24" s="634">
        <v>0</v>
      </c>
      <c r="D24" s="634">
        <v>0</v>
      </c>
      <c r="E24" s="635">
        <v>0</v>
      </c>
    </row>
    <row r="25" spans="1:5" ht="14.4">
      <c r="A25" s="632">
        <v>9</v>
      </c>
      <c r="B25" s="325" t="s">
        <v>540</v>
      </c>
      <c r="C25" s="634">
        <f>SUM(C26:C27)</f>
        <v>23847.22</v>
      </c>
      <c r="D25" s="634">
        <f>SUM(D26:D27)</f>
        <v>0</v>
      </c>
      <c r="E25" s="635">
        <f>SUM(E26:E27)</f>
        <v>23847.22</v>
      </c>
    </row>
    <row r="26" spans="1:5" ht="14.4">
      <c r="A26" s="632">
        <v>9.1</v>
      </c>
      <c r="B26" s="327" t="s">
        <v>541</v>
      </c>
      <c r="C26" s="634">
        <v>23847.22</v>
      </c>
      <c r="D26" s="634">
        <v>0</v>
      </c>
      <c r="E26" s="635">
        <v>23847.22</v>
      </c>
    </row>
    <row r="27" spans="1:5" ht="14.4">
      <c r="A27" s="632">
        <v>9.1999999999999993</v>
      </c>
      <c r="B27" s="327" t="s">
        <v>542</v>
      </c>
      <c r="C27" s="634">
        <v>0</v>
      </c>
      <c r="D27" s="634">
        <v>0</v>
      </c>
      <c r="E27" s="635">
        <v>0</v>
      </c>
    </row>
    <row r="28" spans="1:5" ht="14.4">
      <c r="A28" s="632">
        <v>10</v>
      </c>
      <c r="B28" s="325" t="s">
        <v>543</v>
      </c>
      <c r="C28" s="634">
        <f>SUM(C29:C30)</f>
        <v>259105.8</v>
      </c>
      <c r="D28" s="634">
        <f>SUM(D29:D30)</f>
        <v>259105.8</v>
      </c>
      <c r="E28" s="635">
        <f>SUM(E29:E30)</f>
        <v>0</v>
      </c>
    </row>
    <row r="29" spans="1:5" ht="14.4">
      <c r="A29" s="632">
        <v>10.1</v>
      </c>
      <c r="B29" s="327" t="s">
        <v>544</v>
      </c>
      <c r="C29" s="634">
        <v>0</v>
      </c>
      <c r="D29" s="634">
        <v>0</v>
      </c>
      <c r="E29" s="635">
        <v>0</v>
      </c>
    </row>
    <row r="30" spans="1:5" ht="14.4">
      <c r="A30" s="632">
        <v>10.199999999999999</v>
      </c>
      <c r="B30" s="327" t="s">
        <v>545</v>
      </c>
      <c r="C30" s="634">
        <v>259105.8</v>
      </c>
      <c r="D30" s="634">
        <v>259105.8</v>
      </c>
      <c r="E30" s="635">
        <v>0</v>
      </c>
    </row>
    <row r="31" spans="1:5" ht="14.4">
      <c r="A31" s="632">
        <v>11</v>
      </c>
      <c r="B31" s="325" t="s">
        <v>546</v>
      </c>
      <c r="C31" s="634">
        <f>SUM(C32:C33)</f>
        <v>94887.16</v>
      </c>
      <c r="D31" s="634">
        <f>SUM(D32:D33)</f>
        <v>0</v>
      </c>
      <c r="E31" s="635">
        <f>SUM(E32:E33)</f>
        <v>94887.16</v>
      </c>
    </row>
    <row r="32" spans="1:5" ht="14.4">
      <c r="A32" s="632">
        <v>11.1</v>
      </c>
      <c r="B32" s="327" t="s">
        <v>547</v>
      </c>
      <c r="C32" s="634">
        <v>94887.16</v>
      </c>
      <c r="D32" s="634">
        <v>0</v>
      </c>
      <c r="E32" s="635">
        <v>94887.16</v>
      </c>
    </row>
    <row r="33" spans="1:7" ht="14.4">
      <c r="A33" s="632">
        <v>11.2</v>
      </c>
      <c r="B33" s="327" t="s">
        <v>548</v>
      </c>
      <c r="C33" s="634">
        <v>0</v>
      </c>
      <c r="D33" s="634">
        <v>0</v>
      </c>
      <c r="E33" s="635">
        <v>0</v>
      </c>
    </row>
    <row r="34" spans="1:7" ht="14.4">
      <c r="A34" s="632">
        <v>13</v>
      </c>
      <c r="B34" s="325" t="s">
        <v>549</v>
      </c>
      <c r="C34" s="634">
        <v>101498.91</v>
      </c>
      <c r="D34" s="634">
        <v>0</v>
      </c>
      <c r="E34" s="635">
        <v>101498.91</v>
      </c>
    </row>
    <row r="35" spans="1:7" ht="14.4">
      <c r="A35" s="632">
        <v>13.1</v>
      </c>
      <c r="B35" s="638" t="s">
        <v>550</v>
      </c>
      <c r="C35" s="634">
        <v>0</v>
      </c>
      <c r="D35" s="634">
        <v>0</v>
      </c>
      <c r="E35" s="635">
        <v>0</v>
      </c>
    </row>
    <row r="36" spans="1:7" ht="14.4">
      <c r="A36" s="632">
        <v>13.2</v>
      </c>
      <c r="B36" s="638" t="s">
        <v>551</v>
      </c>
      <c r="C36" s="634">
        <v>0</v>
      </c>
      <c r="D36" s="634">
        <v>0</v>
      </c>
      <c r="E36" s="635">
        <v>0</v>
      </c>
    </row>
    <row r="37" spans="1:7" ht="27" thickBot="1">
      <c r="A37" s="639"/>
      <c r="B37" s="640" t="s">
        <v>221</v>
      </c>
      <c r="C37" s="641">
        <f>SUM(C8,C12,C14,C15,C16,C20,C23,C24,C25,C28,C31,C34)</f>
        <v>30506172.75</v>
      </c>
      <c r="D37" s="641">
        <f>SUM(D8,D12,D14,D15,D16,D20,D23,D24,D25,D28,D31,D34)</f>
        <v>259105.8</v>
      </c>
      <c r="E37" s="642">
        <f>SUM(E8,E12,E14,E15,E16,E20,E23,E24,E25,E28,E31,E34)</f>
        <v>30247066.949999999</v>
      </c>
    </row>
    <row r="38" spans="1:7">
      <c r="A38" s="5"/>
      <c r="B38" s="5"/>
      <c r="C38" s="5"/>
      <c r="D38" s="5"/>
      <c r="E38" s="5"/>
    </row>
    <row r="39" spans="1:7">
      <c r="A39" s="5"/>
      <c r="B39" s="5"/>
      <c r="C39" s="5"/>
      <c r="D39" s="5"/>
      <c r="E39" s="5"/>
    </row>
    <row r="41" spans="1:7" s="4" customFormat="1">
      <c r="B41" s="48"/>
      <c r="F41" s="5"/>
      <c r="G41" s="5"/>
    </row>
    <row r="42" spans="1:7" s="4" customFormat="1">
      <c r="B42" s="48"/>
      <c r="F42" s="5"/>
      <c r="G42" s="5"/>
    </row>
    <row r="43" spans="1:7" s="4" customFormat="1">
      <c r="B43" s="48"/>
      <c r="F43" s="5"/>
      <c r="G43" s="5"/>
    </row>
    <row r="44" spans="1:7" s="4" customFormat="1">
      <c r="B44" s="48"/>
      <c r="F44" s="5"/>
      <c r="G44" s="5"/>
    </row>
    <row r="45" spans="1:7" s="4" customFormat="1">
      <c r="B45" s="48"/>
      <c r="F45" s="5"/>
      <c r="G45" s="5"/>
    </row>
    <row r="46" spans="1:7" s="4" customFormat="1">
      <c r="B46" s="48"/>
      <c r="F46" s="5"/>
      <c r="G46" s="5"/>
    </row>
    <row r="47" spans="1:7" s="4" customFormat="1">
      <c r="B47" s="48"/>
      <c r="F47" s="5"/>
      <c r="G47" s="5"/>
    </row>
    <row r="48" spans="1:7" s="4" customFormat="1">
      <c r="B48" s="48"/>
      <c r="F48" s="5"/>
      <c r="G48" s="5"/>
    </row>
    <row r="49" spans="2:7" s="4" customFormat="1">
      <c r="B49" s="48"/>
      <c r="F49" s="5"/>
      <c r="G49" s="5"/>
    </row>
    <row r="50" spans="2:7" s="4" customFormat="1">
      <c r="B50" s="48"/>
      <c r="F50" s="5"/>
      <c r="G50" s="5"/>
    </row>
    <row r="51" spans="2:7" s="4" customFormat="1">
      <c r="B51" s="48"/>
      <c r="F51" s="5"/>
      <c r="G51" s="5"/>
    </row>
    <row r="52" spans="2:7" s="4" customFormat="1">
      <c r="B52" s="48"/>
      <c r="F52" s="5"/>
      <c r="G52" s="5"/>
    </row>
    <row r="53" spans="2:7" s="4" customFormat="1">
      <c r="B53" s="48"/>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23" sqref="C23"/>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JSC Pave Bank Georgia</v>
      </c>
    </row>
    <row r="2" spans="1:6" s="2" customFormat="1" ht="15.75" customHeight="1">
      <c r="A2" s="2" t="s">
        <v>31</v>
      </c>
      <c r="B2" s="272">
        <f>'1. key ratios '!B2</f>
        <v>45747</v>
      </c>
      <c r="C2" s="4"/>
      <c r="D2" s="4"/>
      <c r="E2" s="4"/>
      <c r="F2" s="4"/>
    </row>
    <row r="3" spans="1:6" s="2" customFormat="1" ht="15.75" customHeight="1">
      <c r="C3" s="4"/>
      <c r="D3" s="4"/>
      <c r="E3" s="4"/>
      <c r="F3" s="4"/>
    </row>
    <row r="4" spans="1:6" s="2" customFormat="1" ht="13.8" thickBot="1">
      <c r="A4" s="2" t="s">
        <v>46</v>
      </c>
      <c r="B4" s="170" t="s">
        <v>518</v>
      </c>
      <c r="C4" s="45" t="s">
        <v>35</v>
      </c>
      <c r="D4" s="4"/>
      <c r="E4" s="4"/>
      <c r="F4" s="4"/>
    </row>
    <row r="5" spans="1:6">
      <c r="A5" s="125">
        <v>1</v>
      </c>
      <c r="B5" s="171" t="s">
        <v>520</v>
      </c>
      <c r="C5" s="126">
        <f>'7. LI1 '!E37</f>
        <v>30247066.949999999</v>
      </c>
    </row>
    <row r="6" spans="1:6">
      <c r="A6" s="49">
        <v>2.1</v>
      </c>
      <c r="B6" s="108" t="s">
        <v>201</v>
      </c>
      <c r="C6" s="99">
        <v>0</v>
      </c>
    </row>
    <row r="7" spans="1:6" s="32" customFormat="1" outlineLevel="1">
      <c r="A7" s="26">
        <v>2.2000000000000002</v>
      </c>
      <c r="B7" s="27" t="s">
        <v>202</v>
      </c>
      <c r="C7" s="127">
        <v>0</v>
      </c>
    </row>
    <row r="8" spans="1:6" s="32" customFormat="1">
      <c r="A8" s="26">
        <v>3</v>
      </c>
      <c r="B8" s="123" t="s">
        <v>519</v>
      </c>
      <c r="C8" s="128">
        <f>SUM(C5:C7)</f>
        <v>30247066.949999999</v>
      </c>
    </row>
    <row r="9" spans="1:6">
      <c r="A9" s="49">
        <v>4</v>
      </c>
      <c r="B9" s="50" t="s">
        <v>48</v>
      </c>
      <c r="C9" s="99">
        <v>0</v>
      </c>
    </row>
    <row r="10" spans="1:6" s="32" customFormat="1" outlineLevel="1">
      <c r="A10" s="26">
        <v>5.0999999999999996</v>
      </c>
      <c r="B10" s="27" t="s">
        <v>203</v>
      </c>
      <c r="C10" s="127">
        <v>0</v>
      </c>
    </row>
    <row r="11" spans="1:6" s="32" customFormat="1" outlineLevel="1">
      <c r="A11" s="26">
        <v>5.2</v>
      </c>
      <c r="B11" s="27" t="s">
        <v>204</v>
      </c>
      <c r="C11" s="127">
        <v>0</v>
      </c>
    </row>
    <row r="12" spans="1:6" s="32" customFormat="1">
      <c r="A12" s="26">
        <v>6</v>
      </c>
      <c r="B12" s="122" t="s">
        <v>746</v>
      </c>
      <c r="C12" s="127">
        <v>0</v>
      </c>
    </row>
    <row r="13" spans="1:6" s="32" customFormat="1" ht="13.8" thickBot="1">
      <c r="A13" s="28">
        <v>7</v>
      </c>
      <c r="B13" s="124" t="s">
        <v>164</v>
      </c>
      <c r="C13" s="129">
        <f>SUM(C8:C12)</f>
        <v>30247066.949999999</v>
      </c>
    </row>
    <row r="15" spans="1:6">
      <c r="B15" s="32"/>
    </row>
    <row r="17" spans="1:2" ht="13.8">
      <c r="A17" s="134"/>
      <c r="B17" s="135"/>
    </row>
    <row r="18" spans="1:2" ht="14.4">
      <c r="A18" s="139"/>
      <c r="B18" s="140"/>
    </row>
    <row r="19" spans="1:2" ht="13.8">
      <c r="A19" s="141"/>
      <c r="B19" s="136"/>
    </row>
    <row r="20" spans="1:2" ht="13.8">
      <c r="A20" s="142"/>
      <c r="B20" s="137"/>
    </row>
    <row r="21" spans="1:2" ht="13.8">
      <c r="A21" s="142"/>
      <c r="B21" s="140"/>
    </row>
    <row r="22" spans="1:2" ht="13.8">
      <c r="A22" s="141"/>
      <c r="B22" s="138"/>
    </row>
    <row r="23" spans="1:2" ht="13.8">
      <c r="A23" s="142"/>
      <c r="B23" s="137"/>
    </row>
    <row r="24" spans="1:2" ht="13.8">
      <c r="A24" s="142"/>
      <c r="B24" s="137"/>
    </row>
    <row r="25" spans="1:2" ht="13.8">
      <c r="A25" s="142"/>
      <c r="B25" s="143"/>
    </row>
    <row r="26" spans="1:2" ht="13.8">
      <c r="A26" s="142"/>
      <c r="B26" s="140"/>
    </row>
    <row r="27" spans="1:2">
      <c r="B27" s="48"/>
    </row>
    <row r="28" spans="1:2">
      <c r="B28" s="48"/>
    </row>
    <row r="29" spans="1:2">
      <c r="B29" s="48"/>
    </row>
    <row r="30" spans="1:2">
      <c r="B30" s="48"/>
    </row>
    <row r="31" spans="1:2">
      <c r="B31" s="48"/>
    </row>
    <row r="32" spans="1:2">
      <c r="B32" s="48"/>
    </row>
    <row r="33" spans="2:2">
      <c r="B33" s="48"/>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2025-04-30T15:28:19Z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