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06784C85-5D65-4EB8-AD4B-29089085B239}" xr6:coauthVersionLast="47" xr6:coauthVersionMax="47" xr10:uidLastSave="{00000000-0000-0000-0000-000000000000}"/>
  <bookViews>
    <workbookView xWindow="-108" yWindow="-108" windowWidth="23256" windowHeight="13896" tabRatio="919" firstSheet="4" activeTab="6"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 r:id="rId36"/>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118" l="1"/>
  <c r="K33" i="118"/>
  <c r="J33" i="118"/>
  <c r="I33" i="118"/>
  <c r="H33" i="118"/>
  <c r="G33" i="118"/>
  <c r="F33" i="118"/>
  <c r="E33" i="118"/>
  <c r="D33" i="118"/>
  <c r="C33" i="118"/>
  <c r="L22" i="116"/>
  <c r="H22" i="116"/>
  <c r="D22" i="116"/>
  <c r="C22" i="116"/>
  <c r="D15" i="116"/>
  <c r="C15" i="116"/>
  <c r="Z8" i="116"/>
  <c r="T8" i="116"/>
  <c r="R8" i="116"/>
  <c r="Q8" i="116"/>
  <c r="P8" i="116"/>
  <c r="O8" i="116"/>
  <c r="N8" i="116"/>
  <c r="M8" i="116"/>
  <c r="L8" i="116"/>
  <c r="J8" i="116"/>
  <c r="I8" i="116"/>
  <c r="H8" i="116"/>
  <c r="G8" i="116"/>
  <c r="E8" i="116"/>
  <c r="D8" i="116"/>
  <c r="C8" i="116"/>
  <c r="C10" i="115"/>
  <c r="C18" i="115" s="1"/>
  <c r="D10" i="114"/>
  <c r="D15" i="114" s="1"/>
  <c r="C10" i="114"/>
  <c r="C15" i="114" s="1"/>
  <c r="D7" i="114"/>
  <c r="C7" i="114"/>
  <c r="G33" i="97"/>
  <c r="G37" i="97" s="1"/>
  <c r="F33" i="97"/>
  <c r="E33" i="97"/>
  <c r="D33" i="97"/>
  <c r="C33" i="97"/>
  <c r="F24" i="97"/>
  <c r="E24" i="97"/>
  <c r="D24" i="97"/>
  <c r="C24" i="97"/>
  <c r="G18" i="97"/>
  <c r="G21" i="97" s="1"/>
  <c r="F18" i="97"/>
  <c r="E18" i="97"/>
  <c r="D18" i="97"/>
  <c r="C18" i="97"/>
  <c r="G14" i="97"/>
  <c r="F14" i="97"/>
  <c r="E14" i="97"/>
  <c r="D14" i="97"/>
  <c r="C14" i="97"/>
  <c r="G11" i="97"/>
  <c r="F11" i="97"/>
  <c r="E11" i="97"/>
  <c r="D11" i="97"/>
  <c r="C11" i="97"/>
  <c r="G8" i="97"/>
  <c r="F8" i="97"/>
  <c r="E8" i="97"/>
  <c r="D8" i="97"/>
  <c r="C8" i="97"/>
  <c r="K24" i="93"/>
  <c r="J24" i="93"/>
  <c r="I24" i="93"/>
  <c r="H24" i="93"/>
  <c r="G24" i="93"/>
  <c r="F24" i="93"/>
  <c r="K23" i="93"/>
  <c r="J23" i="93"/>
  <c r="I23" i="93"/>
  <c r="H23" i="93"/>
  <c r="G23" i="93"/>
  <c r="F23" i="93"/>
  <c r="K16" i="93"/>
  <c r="J16" i="93"/>
  <c r="I16" i="93"/>
  <c r="H16" i="93"/>
  <c r="G16" i="93"/>
  <c r="F16" i="93"/>
  <c r="E16" i="93"/>
  <c r="D16" i="93"/>
  <c r="C16" i="93"/>
  <c r="T13" i="64"/>
  <c r="C62" i="69"/>
  <c r="C58" i="69"/>
  <c r="C67" i="69" s="1"/>
  <c r="C52" i="69"/>
  <c r="C68" i="69" s="1"/>
  <c r="C46" i="69"/>
  <c r="C40" i="69"/>
  <c r="C37" i="69"/>
  <c r="C29" i="69"/>
  <c r="C26" i="69"/>
  <c r="C23" i="69"/>
  <c r="C18" i="69"/>
  <c r="C14" i="69"/>
  <c r="C10" i="69"/>
  <c r="C6" i="69"/>
  <c r="C35" i="69" s="1"/>
  <c r="E37" i="88"/>
  <c r="C5" i="73" s="1"/>
  <c r="C8" i="73" s="1"/>
  <c r="C13" i="73" s="1"/>
  <c r="D37" i="88"/>
  <c r="C37" i="88"/>
  <c r="E35" i="88"/>
  <c r="E34" i="88"/>
  <c r="E31" i="88"/>
  <c r="D31" i="88"/>
  <c r="C31" i="88"/>
  <c r="E30" i="88"/>
  <c r="E28" i="88"/>
  <c r="D28" i="88"/>
  <c r="C28" i="88"/>
  <c r="E27" i="88"/>
  <c r="E26" i="88"/>
  <c r="E25" i="88"/>
  <c r="D25" i="88"/>
  <c r="C25" i="88"/>
  <c r="E24" i="88"/>
  <c r="E23" i="88"/>
  <c r="E22" i="88"/>
  <c r="E21" i="88"/>
  <c r="E20" i="88"/>
  <c r="D20" i="88"/>
  <c r="C20" i="88"/>
  <c r="E16" i="88"/>
  <c r="D16" i="88"/>
  <c r="C16" i="88"/>
  <c r="E13" i="88"/>
  <c r="E12" i="88"/>
  <c r="C12" i="88"/>
  <c r="E11" i="88"/>
  <c r="E10" i="88"/>
  <c r="E9" i="88"/>
  <c r="E8" i="88"/>
  <c r="D8" i="88"/>
  <c r="C8" i="88"/>
  <c r="G38" i="110"/>
  <c r="F38" i="110"/>
  <c r="G30" i="110"/>
  <c r="F30" i="110"/>
  <c r="G17" i="110"/>
  <c r="G14" i="110" s="1"/>
  <c r="H14" i="110" s="1"/>
  <c r="F17" i="110"/>
  <c r="F14" i="110"/>
  <c r="G11" i="110"/>
  <c r="F11" i="110"/>
  <c r="H11" i="110" s="1"/>
  <c r="G8" i="110"/>
  <c r="F8" i="110"/>
  <c r="H8" i="110" s="1"/>
  <c r="D38" i="110"/>
  <c r="C38" i="110"/>
  <c r="E38" i="110" s="1"/>
  <c r="D30" i="110"/>
  <c r="C30" i="110"/>
  <c r="E30" i="110" s="1"/>
  <c r="D17" i="110"/>
  <c r="C17" i="110"/>
  <c r="D14" i="110"/>
  <c r="C14" i="110"/>
  <c r="E14" i="110" s="1"/>
  <c r="D11" i="110"/>
  <c r="C11" i="110"/>
  <c r="E11" i="110" s="1"/>
  <c r="D10" i="110"/>
  <c r="E10" i="110" s="1"/>
  <c r="D8" i="110"/>
  <c r="C8" i="110"/>
  <c r="E8" i="110" s="1"/>
  <c r="G43" i="109"/>
  <c r="G45" i="109" s="1"/>
  <c r="G37" i="109"/>
  <c r="F37" i="109"/>
  <c r="G34" i="109"/>
  <c r="F34" i="109"/>
  <c r="G29" i="109"/>
  <c r="F29" i="109"/>
  <c r="H29" i="109" s="1"/>
  <c r="G13" i="109"/>
  <c r="F13" i="109"/>
  <c r="H13" i="109" s="1"/>
  <c r="G6" i="109"/>
  <c r="F6" i="109"/>
  <c r="F43" i="109" s="1"/>
  <c r="D37" i="109"/>
  <c r="C37" i="109"/>
  <c r="D34" i="109"/>
  <c r="C34" i="109"/>
  <c r="E34" i="109" s="1"/>
  <c r="D29" i="109"/>
  <c r="C29" i="109"/>
  <c r="E29" i="109" s="1"/>
  <c r="D13" i="109"/>
  <c r="C13" i="109"/>
  <c r="D6" i="109"/>
  <c r="D43" i="109" s="1"/>
  <c r="D45" i="109" s="1"/>
  <c r="C6" i="109"/>
  <c r="C43" i="109" s="1"/>
  <c r="G63" i="108"/>
  <c r="H63" i="108" s="1"/>
  <c r="G59" i="108"/>
  <c r="G68" i="108" s="1"/>
  <c r="G69" i="108" s="1"/>
  <c r="F59" i="108"/>
  <c r="F68" i="108" s="1"/>
  <c r="G47" i="108"/>
  <c r="F47" i="108"/>
  <c r="G41" i="108"/>
  <c r="F41" i="108"/>
  <c r="G38" i="108"/>
  <c r="G53" i="108" s="1"/>
  <c r="F38" i="108"/>
  <c r="F53" i="108" s="1"/>
  <c r="G30" i="108"/>
  <c r="F30" i="108"/>
  <c r="G27" i="108"/>
  <c r="F27" i="108"/>
  <c r="H27" i="108" s="1"/>
  <c r="G24" i="108"/>
  <c r="F24" i="108"/>
  <c r="H24" i="108" s="1"/>
  <c r="G19" i="108"/>
  <c r="F19" i="108"/>
  <c r="H19" i="108" s="1"/>
  <c r="G15" i="108"/>
  <c r="F15" i="108"/>
  <c r="H15" i="108" s="1"/>
  <c r="F11" i="108"/>
  <c r="G7" i="108"/>
  <c r="G36" i="108" s="1"/>
  <c r="F7" i="108"/>
  <c r="F36" i="108" s="1"/>
  <c r="D59" i="108"/>
  <c r="D68" i="108" s="1"/>
  <c r="D69" i="108" s="1"/>
  <c r="C59" i="108"/>
  <c r="C68" i="108" s="1"/>
  <c r="D47" i="108"/>
  <c r="C47" i="108"/>
  <c r="D41" i="108"/>
  <c r="C41" i="108"/>
  <c r="D38" i="108"/>
  <c r="D53" i="108" s="1"/>
  <c r="C38" i="108"/>
  <c r="C53" i="108" s="1"/>
  <c r="D30" i="108"/>
  <c r="C30" i="108"/>
  <c r="E30" i="108" s="1"/>
  <c r="D27" i="108"/>
  <c r="C27" i="108"/>
  <c r="E27" i="108" s="1"/>
  <c r="D24" i="108"/>
  <c r="C24" i="108"/>
  <c r="E24" i="108" s="1"/>
  <c r="D19" i="108"/>
  <c r="E19" i="108" s="1"/>
  <c r="C19" i="108"/>
  <c r="D15" i="108"/>
  <c r="E15" i="108" s="1"/>
  <c r="C15" i="108"/>
  <c r="D11" i="108"/>
  <c r="C11" i="108"/>
  <c r="E11" i="108" s="1"/>
  <c r="D7" i="108"/>
  <c r="D36" i="108" s="1"/>
  <c r="C7" i="108"/>
  <c r="C36" i="108" s="1"/>
  <c r="E36" i="108" s="1"/>
  <c r="B1" i="122"/>
  <c r="B1" i="121"/>
  <c r="F6" i="123"/>
  <c r="E6" i="123"/>
  <c r="D6" i="123"/>
  <c r="C6" i="123"/>
  <c r="E9" i="92"/>
  <c r="D9" i="92"/>
  <c r="E8" i="92"/>
  <c r="D8" i="92"/>
  <c r="E7" i="92"/>
  <c r="E6" i="92"/>
  <c r="E34" i="92" s="1"/>
  <c r="C13" i="95" s="1"/>
  <c r="D7" i="92"/>
  <c r="D6" i="92" s="1"/>
  <c r="D34" i="92" s="1"/>
  <c r="D21" i="93"/>
  <c r="E21" i="93"/>
  <c r="F21" i="93"/>
  <c r="G21" i="93"/>
  <c r="H21" i="93"/>
  <c r="I21" i="93"/>
  <c r="J21" i="93"/>
  <c r="K21" i="93"/>
  <c r="C21" i="93"/>
  <c r="B2" i="121"/>
  <c r="B2" i="122"/>
  <c r="B1" i="92"/>
  <c r="B2" i="92"/>
  <c r="Q33" i="92"/>
  <c r="I33" i="92"/>
  <c r="Q32" i="92"/>
  <c r="Q30" i="92" s="1"/>
  <c r="I32" i="92"/>
  <c r="Q31" i="92"/>
  <c r="I31" i="92"/>
  <c r="I30" i="92"/>
  <c r="Q29" i="92"/>
  <c r="I29" i="92"/>
  <c r="Q28" i="92"/>
  <c r="Q26" i="92" s="1"/>
  <c r="I28" i="92"/>
  <c r="Q27" i="92"/>
  <c r="I27" i="92"/>
  <c r="I26" i="92"/>
  <c r="Q25" i="92"/>
  <c r="I25" i="92"/>
  <c r="Q24" i="92"/>
  <c r="I24" i="92"/>
  <c r="Q23" i="92"/>
  <c r="Q22" i="92" s="1"/>
  <c r="I23" i="92"/>
  <c r="I22" i="92"/>
  <c r="Q21" i="92"/>
  <c r="I21" i="92"/>
  <c r="Q20" i="92"/>
  <c r="I20" i="92"/>
  <c r="Q19" i="92"/>
  <c r="Q18" i="92" s="1"/>
  <c r="I19" i="92"/>
  <c r="I18" i="92"/>
  <c r="Q17" i="92"/>
  <c r="Q9" i="92" s="1"/>
  <c r="I17" i="92"/>
  <c r="Q16" i="92"/>
  <c r="I16" i="92"/>
  <c r="Q15" i="92"/>
  <c r="Q7" i="92" s="1"/>
  <c r="Q6" i="92" s="1"/>
  <c r="Q34" i="92" s="1"/>
  <c r="I15" i="92"/>
  <c r="I14" i="92"/>
  <c r="Q13" i="92"/>
  <c r="I13" i="92"/>
  <c r="Q12" i="92"/>
  <c r="Q10" i="92" s="1"/>
  <c r="I12" i="92"/>
  <c r="Q11" i="92"/>
  <c r="I11" i="92"/>
  <c r="I10" i="92"/>
  <c r="P9" i="92"/>
  <c r="O9" i="92"/>
  <c r="N9" i="92"/>
  <c r="M9" i="92"/>
  <c r="L9" i="92"/>
  <c r="K9" i="92"/>
  <c r="J9" i="92"/>
  <c r="G9" i="92"/>
  <c r="I9" i="92" s="1"/>
  <c r="F9" i="92"/>
  <c r="C9" i="92"/>
  <c r="P8" i="92"/>
  <c r="O8" i="92"/>
  <c r="N8" i="92"/>
  <c r="N6" i="92" s="1"/>
  <c r="N34" i="92" s="1"/>
  <c r="M8" i="92"/>
  <c r="L8" i="92"/>
  <c r="K8" i="92"/>
  <c r="J8" i="92"/>
  <c r="G8" i="92"/>
  <c r="F8" i="92"/>
  <c r="C8" i="92"/>
  <c r="P7" i="92"/>
  <c r="P6" i="92" s="1"/>
  <c r="P34" i="92" s="1"/>
  <c r="O7" i="92"/>
  <c r="N7" i="92"/>
  <c r="M7" i="92"/>
  <c r="L7" i="92"/>
  <c r="L6" i="92" s="1"/>
  <c r="L34" i="92" s="1"/>
  <c r="K7" i="92"/>
  <c r="K6" i="92" s="1"/>
  <c r="K34" i="92" s="1"/>
  <c r="J7" i="92"/>
  <c r="J6" i="92"/>
  <c r="J34" i="92" s="1"/>
  <c r="G7" i="92"/>
  <c r="I7" i="92" s="1"/>
  <c r="I6" i="92" s="1"/>
  <c r="G6" i="92"/>
  <c r="F7" i="92"/>
  <c r="C7" i="92"/>
  <c r="C6" i="92" s="1"/>
  <c r="C34" i="92" s="1"/>
  <c r="B2" i="123"/>
  <c r="B1" i="123"/>
  <c r="F6" i="92"/>
  <c r="F34" i="92" s="1"/>
  <c r="M6" i="92"/>
  <c r="M34" i="92"/>
  <c r="O6" i="92"/>
  <c r="O34" i="92"/>
  <c r="G34" i="92"/>
  <c r="C11" i="95" s="1"/>
  <c r="I8" i="92"/>
  <c r="A2" i="121"/>
  <c r="A1" i="121"/>
  <c r="E12" i="122"/>
  <c r="D12" i="122"/>
  <c r="C12" i="122"/>
  <c r="B12" i="122"/>
  <c r="F12" i="122"/>
  <c r="E11" i="122"/>
  <c r="D11" i="122"/>
  <c r="C11" i="122"/>
  <c r="B11" i="122"/>
  <c r="F10" i="122"/>
  <c r="E10" i="122"/>
  <c r="D10" i="122"/>
  <c r="C10" i="122"/>
  <c r="B10" i="122"/>
  <c r="F9" i="122"/>
  <c r="E9" i="122"/>
  <c r="D9" i="122"/>
  <c r="C9" i="122"/>
  <c r="B9" i="122"/>
  <c r="B11" i="121"/>
  <c r="F11" i="122"/>
  <c r="C22" i="111"/>
  <c r="H7" i="112"/>
  <c r="B2" i="97"/>
  <c r="B2" i="95"/>
  <c r="B2" i="93"/>
  <c r="B2" i="91"/>
  <c r="B2" i="64"/>
  <c r="B2" i="90"/>
  <c r="B2" i="69"/>
  <c r="B2" i="94"/>
  <c r="B2" i="89"/>
  <c r="B2" i="73"/>
  <c r="B2" i="88"/>
  <c r="B2" i="52"/>
  <c r="B2" i="86"/>
  <c r="C5" i="86"/>
  <c r="B2" i="110"/>
  <c r="B2" i="109"/>
  <c r="B2" i="108"/>
  <c r="B1" i="110"/>
  <c r="B1" i="109"/>
  <c r="B1" i="108"/>
  <c r="B2" i="120"/>
  <c r="B1" i="120"/>
  <c r="B2" i="119"/>
  <c r="B1" i="119"/>
  <c r="B2" i="118"/>
  <c r="B1" i="118"/>
  <c r="B2" i="117"/>
  <c r="B1" i="117"/>
  <c r="B2" i="116"/>
  <c r="B1" i="116"/>
  <c r="B2" i="115"/>
  <c r="B1" i="115"/>
  <c r="B2" i="114"/>
  <c r="B1" i="114"/>
  <c r="B2" i="113"/>
  <c r="B1" i="113"/>
  <c r="B2" i="112"/>
  <c r="B1" i="112"/>
  <c r="B2" i="111"/>
  <c r="B1" i="111"/>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8" i="112"/>
  <c r="H21" i="112" s="1"/>
  <c r="H9" i="112"/>
  <c r="H10" i="112"/>
  <c r="H11" i="112"/>
  <c r="H12" i="112"/>
  <c r="H13" i="112"/>
  <c r="H14" i="112"/>
  <c r="H15" i="112"/>
  <c r="H16" i="112"/>
  <c r="H17" i="112"/>
  <c r="H18" i="112"/>
  <c r="H19" i="112"/>
  <c r="H20" i="112"/>
  <c r="C21" i="112"/>
  <c r="D21" i="112"/>
  <c r="E21" i="112"/>
  <c r="F21" i="112"/>
  <c r="G21" i="112"/>
  <c r="H22" i="112"/>
  <c r="H23" i="112"/>
  <c r="H8" i="111"/>
  <c r="H9" i="111"/>
  <c r="H10" i="111"/>
  <c r="H11" i="111"/>
  <c r="H12" i="111"/>
  <c r="H13" i="111"/>
  <c r="H14" i="111"/>
  <c r="H15" i="111"/>
  <c r="H16" i="111"/>
  <c r="H17" i="111"/>
  <c r="H18" i="111"/>
  <c r="H19" i="111"/>
  <c r="H22" i="111" s="1"/>
  <c r="H20" i="111"/>
  <c r="H21" i="111"/>
  <c r="D22" i="111"/>
  <c r="E22" i="111"/>
  <c r="F22" i="111"/>
  <c r="G22" i="111"/>
  <c r="H34" i="113"/>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H16" i="110"/>
  <c r="E16" i="110"/>
  <c r="H15" i="110"/>
  <c r="E15" i="110"/>
  <c r="H13" i="110"/>
  <c r="E13" i="110"/>
  <c r="H12" i="110"/>
  <c r="E12" i="110"/>
  <c r="H10" i="110"/>
  <c r="H9" i="110"/>
  <c r="E9" i="110"/>
  <c r="H7" i="110"/>
  <c r="E7" i="110"/>
  <c r="H6" i="110"/>
  <c r="E6" i="110"/>
  <c r="H44" i="109"/>
  <c r="E44" i="109"/>
  <c r="H42" i="109"/>
  <c r="E42" i="109"/>
  <c r="H41" i="109"/>
  <c r="E41" i="109"/>
  <c r="H40" i="109"/>
  <c r="E40" i="109"/>
  <c r="H39" i="109"/>
  <c r="E39" i="109"/>
  <c r="H38" i="109"/>
  <c r="E38" i="109"/>
  <c r="H37" i="109"/>
  <c r="H36" i="109"/>
  <c r="E36" i="109"/>
  <c r="H35" i="109"/>
  <c r="E35" i="109"/>
  <c r="H34" i="109"/>
  <c r="H33" i="109"/>
  <c r="E33" i="109"/>
  <c r="H32" i="109"/>
  <c r="E32" i="109"/>
  <c r="H31" i="109"/>
  <c r="E31" i="109"/>
  <c r="H30" i="109"/>
  <c r="E30"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H12" i="109"/>
  <c r="E12" i="109"/>
  <c r="H11" i="109"/>
  <c r="E11" i="109"/>
  <c r="H10" i="109"/>
  <c r="E10" i="109"/>
  <c r="H9" i="109"/>
  <c r="E9" i="109"/>
  <c r="H8" i="109"/>
  <c r="E8" i="109"/>
  <c r="H7" i="109"/>
  <c r="E7" i="109"/>
  <c r="H67" i="108"/>
  <c r="E67" i="108"/>
  <c r="H66" i="108"/>
  <c r="E66" i="108"/>
  <c r="H65" i="108"/>
  <c r="E65" i="108"/>
  <c r="H64" i="108"/>
  <c r="E64" i="108"/>
  <c r="E63" i="108"/>
  <c r="H62" i="108"/>
  <c r="E62" i="108"/>
  <c r="H61" i="108"/>
  <c r="E61" i="108"/>
  <c r="H60" i="108"/>
  <c r="E60" i="108"/>
  <c r="H59" i="108"/>
  <c r="E59" i="108"/>
  <c r="H58" i="108"/>
  <c r="E58" i="108"/>
  <c r="H57" i="108"/>
  <c r="E57" i="108"/>
  <c r="H56" i="108"/>
  <c r="E56" i="108"/>
  <c r="H55" i="108"/>
  <c r="E55" i="108"/>
  <c r="H52" i="108"/>
  <c r="E52" i="108"/>
  <c r="H51" i="108"/>
  <c r="E51" i="108"/>
  <c r="H50" i="108"/>
  <c r="E50" i="108"/>
  <c r="H49" i="108"/>
  <c r="E49" i="108"/>
  <c r="H48" i="108"/>
  <c r="E48" i="108"/>
  <c r="H47" i="108"/>
  <c r="E47" i="108"/>
  <c r="H46" i="108"/>
  <c r="E46" i="108"/>
  <c r="H45" i="108"/>
  <c r="E45" i="108"/>
  <c r="H44" i="108"/>
  <c r="E44" i="108"/>
  <c r="H43" i="108"/>
  <c r="E43" i="108"/>
  <c r="H42" i="108"/>
  <c r="E42" i="108"/>
  <c r="H40" i="108"/>
  <c r="E40" i="108"/>
  <c r="H39" i="108"/>
  <c r="E39" i="108"/>
  <c r="H38" i="108"/>
  <c r="H35" i="108"/>
  <c r="E35" i="108"/>
  <c r="H34" i="108"/>
  <c r="E34" i="108"/>
  <c r="H33" i="108"/>
  <c r="E33" i="108"/>
  <c r="H32" i="108"/>
  <c r="E32" i="108"/>
  <c r="H31" i="108"/>
  <c r="E31" i="108"/>
  <c r="H30" i="108"/>
  <c r="H29" i="108"/>
  <c r="E29" i="108"/>
  <c r="H28" i="108"/>
  <c r="E28" i="108"/>
  <c r="H26" i="108"/>
  <c r="E26" i="108"/>
  <c r="H25" i="108"/>
  <c r="E25" i="108"/>
  <c r="H23" i="108"/>
  <c r="E23" i="108"/>
  <c r="H22" i="108"/>
  <c r="E22" i="108"/>
  <c r="H21" i="108"/>
  <c r="E21" i="108"/>
  <c r="H20" i="108"/>
  <c r="E20" i="108"/>
  <c r="H18" i="108"/>
  <c r="E18" i="108"/>
  <c r="H17" i="108"/>
  <c r="E17" i="108"/>
  <c r="H16" i="108"/>
  <c r="E16" i="108"/>
  <c r="H14" i="108"/>
  <c r="E14" i="108"/>
  <c r="H13" i="108"/>
  <c r="E13" i="108"/>
  <c r="H12" i="108"/>
  <c r="E12" i="108"/>
  <c r="H11" i="108"/>
  <c r="H10" i="108"/>
  <c r="E10" i="108"/>
  <c r="H9" i="108"/>
  <c r="E9" i="108"/>
  <c r="H8" i="108"/>
  <c r="E8" i="108"/>
  <c r="E37" i="109"/>
  <c r="E13" i="109"/>
  <c r="H41" i="108"/>
  <c r="H30" i="110"/>
  <c r="H7" i="108"/>
  <c r="E17" i="110"/>
  <c r="E41" i="108"/>
  <c r="B1" i="97"/>
  <c r="B1" i="95"/>
  <c r="B1" i="93"/>
  <c r="B1" i="64"/>
  <c r="B1" i="90"/>
  <c r="B1" i="69"/>
  <c r="B1" i="94"/>
  <c r="B1" i="89"/>
  <c r="B1" i="73"/>
  <c r="B1" i="88"/>
  <c r="B1" i="52"/>
  <c r="B1" i="86"/>
  <c r="G5" i="86"/>
  <c r="F5" i="86"/>
  <c r="E5" i="86"/>
  <c r="D5" i="86"/>
  <c r="G5" i="84"/>
  <c r="F5" i="84"/>
  <c r="E5" i="84"/>
  <c r="D5" i="84"/>
  <c r="C5" i="84"/>
  <c r="E6" i="86"/>
  <c r="E13" i="86"/>
  <c r="F6" i="86"/>
  <c r="F13" i="86" s="1"/>
  <c r="G6" i="86"/>
  <c r="G13" i="86" s="1"/>
  <c r="C21" i="94"/>
  <c r="D21" i="94" s="1"/>
  <c r="C20" i="94"/>
  <c r="C19" i="94"/>
  <c r="B1" i="91"/>
  <c r="B1" i="84"/>
  <c r="C26" i="95"/>
  <c r="C22" i="95"/>
  <c r="C8" i="95"/>
  <c r="D6" i="86"/>
  <c r="D13" i="86" s="1"/>
  <c r="C6" i="86"/>
  <c r="C13" i="86"/>
  <c r="B18" i="121"/>
  <c r="S21" i="90"/>
  <c r="S20" i="90"/>
  <c r="S19" i="90"/>
  <c r="S18" i="90"/>
  <c r="S17" i="90"/>
  <c r="S16" i="90"/>
  <c r="S15" i="90"/>
  <c r="S14" i="90"/>
  <c r="S13" i="90"/>
  <c r="S12" i="90"/>
  <c r="S11" i="90"/>
  <c r="S10" i="90"/>
  <c r="S9" i="90"/>
  <c r="S8" i="90"/>
  <c r="S22" i="90" s="1"/>
  <c r="T21" i="64"/>
  <c r="U21" i="64"/>
  <c r="S21" i="64"/>
  <c r="C21" i="64"/>
  <c r="G22" i="91"/>
  <c r="H22" i="91" s="1"/>
  <c r="F22" i="91"/>
  <c r="E22" i="91"/>
  <c r="D22" i="91"/>
  <c r="C22" i="91"/>
  <c r="H21" i="91"/>
  <c r="H20" i="91"/>
  <c r="H19" i="91"/>
  <c r="H18" i="91"/>
  <c r="H17" i="91"/>
  <c r="H16" i="91"/>
  <c r="H15" i="91"/>
  <c r="H14" i="91"/>
  <c r="H13" i="91"/>
  <c r="H12" i="91"/>
  <c r="H11" i="91"/>
  <c r="H10" i="91"/>
  <c r="H9" i="91"/>
  <c r="H8" i="91"/>
  <c r="K22" i="90"/>
  <c r="L22" i="90"/>
  <c r="M22" i="90"/>
  <c r="N22" i="90"/>
  <c r="O22" i="90"/>
  <c r="P22" i="90"/>
  <c r="Q22" i="90"/>
  <c r="R22" i="90"/>
  <c r="C22" i="90"/>
  <c r="C12" i="89"/>
  <c r="C29" i="89" s="1"/>
  <c r="B8" i="121" s="1"/>
  <c r="C6" i="89"/>
  <c r="D22" i="90"/>
  <c r="E22" i="90"/>
  <c r="F22" i="90"/>
  <c r="G22" i="90"/>
  <c r="H22" i="90"/>
  <c r="I22" i="90"/>
  <c r="J22" i="90"/>
  <c r="C32" i="89"/>
  <c r="C31" i="89"/>
  <c r="C36" i="89"/>
  <c r="C44" i="89"/>
  <c r="C53" i="89" s="1"/>
  <c r="B10" i="121" s="1"/>
  <c r="C48" i="89"/>
  <c r="C42" i="89"/>
  <c r="B9" i="121" s="1"/>
  <c r="D21" i="64"/>
  <c r="E21" i="64"/>
  <c r="F21" i="64"/>
  <c r="G21" i="64"/>
  <c r="H21" i="64"/>
  <c r="I21" i="64"/>
  <c r="J21" i="64"/>
  <c r="K21" i="64"/>
  <c r="L21" i="64"/>
  <c r="M21" i="64"/>
  <c r="N21" i="64"/>
  <c r="O21" i="64"/>
  <c r="P21" i="64"/>
  <c r="Q21" i="64"/>
  <c r="R21" i="64"/>
  <c r="V8" i="64"/>
  <c r="V9" i="64"/>
  <c r="V10" i="64"/>
  <c r="V11" i="64"/>
  <c r="V12" i="64"/>
  <c r="V13" i="64"/>
  <c r="V14" i="64"/>
  <c r="V15" i="64"/>
  <c r="V16" i="64"/>
  <c r="V17" i="64"/>
  <c r="V18" i="64"/>
  <c r="V19" i="64"/>
  <c r="V20" i="64"/>
  <c r="V7" i="64"/>
  <c r="V21" i="64"/>
  <c r="G39" i="97" l="1"/>
  <c r="Q14" i="92"/>
  <c r="Q8" i="92"/>
  <c r="I34" i="92"/>
  <c r="C12" i="95" s="1"/>
  <c r="C14" i="95" s="1"/>
  <c r="C32" i="95" s="1"/>
  <c r="C10" i="95"/>
  <c r="G25" i="93"/>
  <c r="F25" i="93"/>
  <c r="B7" i="121"/>
  <c r="B16" i="121" s="1"/>
  <c r="B14" i="121" s="1"/>
  <c r="B6" i="121"/>
  <c r="B21" i="121" s="1"/>
  <c r="D19" i="94"/>
  <c r="D20" i="94"/>
  <c r="H43" i="109"/>
  <c r="F45" i="109"/>
  <c r="H45" i="109" s="1"/>
  <c r="H6" i="109"/>
  <c r="E43" i="109"/>
  <c r="C45" i="109"/>
  <c r="E45" i="109" s="1"/>
  <c r="E6" i="109"/>
  <c r="F69" i="108"/>
  <c r="H68" i="108"/>
  <c r="H53" i="108"/>
  <c r="H69" i="108"/>
  <c r="H36" i="108"/>
  <c r="C69" i="108"/>
  <c r="E68" i="108"/>
  <c r="E69" i="108"/>
  <c r="E53" i="108"/>
  <c r="E38" i="108"/>
  <c r="E7" i="108"/>
  <c r="I25" i="93"/>
  <c r="K25" i="93"/>
  <c r="J25" i="93"/>
  <c r="H25" i="93"/>
  <c r="C34" i="95" l="1"/>
  <c r="B19" i="121"/>
  <c r="B22" i="121" s="1"/>
  <c r="B23"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<sst xmlns="http://schemas.openxmlformats.org/spreadsheetml/2006/main" count="1251" uniqueCount="782">
  <si>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</si>
  <si>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</si>
  <si>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</si>
  <si>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</si>
  <si>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</si>
  <si>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</si>
  <si>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</si>
  <si>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</si>
  <si>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</si>
  <si>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</si>
  <si>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</si>
  <si>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</si>
  <si>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</si>
  <si>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</si>
  <si>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</si>
  <si>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</si>
  <si>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</si>
  <si>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</si>
  <si>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</si>
  <si>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</si>
  <si>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</si>
  <si>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</si>
  <si>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</si>
  <si>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</si>
  <si>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</si>
  <si>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</si>
  <si>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</si>
  <si>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</si>
  <si>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</si>
  <si>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</si>
  <si>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</si>
  <si>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</si>
  <si>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</si>
  <si>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</si>
  <si>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</si>
  <si>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</si>
  <si>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</si>
  <si>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</si>
  <si>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</si>
  <si>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</si>
  <si>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</si>
  <si>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</si>
  <si>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</si>
  <si>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</si>
  <si>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</si>
  <si>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</si>
  <si>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</si>
  <si>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</si>
  <si>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</si>
  <si>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</si>
  <si>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</si>
  <si>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</si>
  <si>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</si>
  <si>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</si>
  <si>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</si>
  <si>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</si>
  <si>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</si>
  <si>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</si>
  <si>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</si>
  <si>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</si>
  <si>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</si>
  <si>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</si>
  <si>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</si>
  <si>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</si>
  <si>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</si>
  <si>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</si>
  <si>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</si>
  <si>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</si>
  <si>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</si>
  <si>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</si>
  <si>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</si>
  <si>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</si>
  <si>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</si>
  <si>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</si>
  <si>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</si>
  <si>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</si>
  <si>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</si>
  <si>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</si>
  <si>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</si>
  <si>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</si>
  <si>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</si>
  <si>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</si>
  <si>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</si>
  <si>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</si>
  <si>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</si>
  <si>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</si>
  <si>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</si>
  <si>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</si>
  <si>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</si>
  <si>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</si>
  <si>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</si>
  <si>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</si>
  <si>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</si>
  <si>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</si>
  <si>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</si>
  <si>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</si>
  <si>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</si>
  <si>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</si>
  <si>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</si>
  <si>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</si>
  <si>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</si>
  <si>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</si>
  <si>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</si>
  <si>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</si>
  <si>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</si>
  <si>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</si>
  <si>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</si>
  <si>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</si>
  <si>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</si>
  <si>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</si>
  <si>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</si>
  <si>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</si>
  <si>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</si>
  <si>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</si>
  <si>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</si>
  <si>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</si>
  <si>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</si>
  <si>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</si>
  <si>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</si>
  <si>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</si>
  <si>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</si>
  <si>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</si>
  <si>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</si>
  <si>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</si>
  <si>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</si>
  <si>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</si>
  <si>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</si>
  <si>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</si>
  <si>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</si>
  <si>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</si>
  <si>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</si>
  <si>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</si>
  <si>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</si>
  <si>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</si>
  <si>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</si>
  <si>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</si>
  <si>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</si>
  <si>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</si>
  <si>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</si>
  <si>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</si>
  <si>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</si>
  <si>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</si>
  <si>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</si>
  <si>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</si>
  <si>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</si>
  <si>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</si>
  <si>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</si>
  <si>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</si>
  <si>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</si>
  <si>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</si>
  <si>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</si>
  <si>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</si>
  <si>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</si>
  <si>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</si>
  <si>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</si>
  <si>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</si>
  <si>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</si>
  <si>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</si>
  <si>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</si>
  <si>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</si>
  <si>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</si>
  <si>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</si>
  <si>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</si>
  <si>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</si>
  <si>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</si>
  <si>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</si>
  <si>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</si>
  <si>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</si>
  <si>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</si>
  <si>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</si>
  <si>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</si>
  <si>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</si>
  <si>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</si>
  <si>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</si>
  <si>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</si>
  <si>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</si>
  <si>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</si>
  <si>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</si>
  <si>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</si>
  <si>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</si>
  <si>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</si>
  <si>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</si>
  <si>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</si>
  <si>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</si>
  <si>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</si>
  <si>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</si>
  <si>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</si>
  <si>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</si>
  <si>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</si>
  <si>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</si>
  <si>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</si>
  <si>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</si>
  <si>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</si>
  <si>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</si>
  <si>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</si>
  <si>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</si>
  <si>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</si>
  <si>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</si>
  <si>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</si>
  <si>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</si>
  <si>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</si>
  <si>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</si>
  <si>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</si>
  <si>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</si>
  <si>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</si>
  <si>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</si>
  <si>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</si>
  <si>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</si>
  <si>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</si>
  <si>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</si>
  <si>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</si>
  <si>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</si>
  <si>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</si>
  <si>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</si>
  <si>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</si>
  <si>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</si>
  <si>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</si>
  <si>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</si>
  <si>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</si>
  <si>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</si>
  <si>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</si>
  <si>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</si>
  <si>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</si>
  <si>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</si>
  <si>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</si>
  <si>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</si>
  <si>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</si>
  <si>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</si>
  <si>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</si>
  <si>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</si>
  <si>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</si>
  <si>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</si>
  <si>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</si>
  <si>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</si>
  <si>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</si>
  <si>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</si>
  <si>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</si>
  <si>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</si>
  <si>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</si>
  <si>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</si>
  <si>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</si>
  <si>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</si>
  <si>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</si>
  <si>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</si>
  <si>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</si>
  <si>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</si>
  <si>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</si>
  <si>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</si>
  <si>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</si>
  <si>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</si>
  <si>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</si>
  <si>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</si>
  <si>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</si>
  <si>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</si>
  <si>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</si>
  <si>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</si>
  <si>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</si>
  <si>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</si>
  <si>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</si>
  <si>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</si>
  <si>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</si>
  <si>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</si>
  <si>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</si>
  <si>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</si>
  <si>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</si>
  <si>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</si>
  <si>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</si>
  <si>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</si>
  <si>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</si>
  <si>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</si>
  <si>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</si>
  <si>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</si>
  <si>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</si>
  <si>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</si>
  <si>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</si>
  <si>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</si>
  <si>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</si>
  <si>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</si>
  <si>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</si>
  <si>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</si>
  <si>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</si>
  <si>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</si>
  <si>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</si>
  <si>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</si>
  <si>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</si>
  <si>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</si>
  <si>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</si>
  <si>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</si>
  <si>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</si>
  <si>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</si>
  <si>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</si>
  <si>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</si>
  <si>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</si>
  <si>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</si>
  <si>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</si>
  <si>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</si>
  <si>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</si>
  <si>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</si>
  <si>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</si>
  <si>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</si>
  <si>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</si>
  <si>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</si>
  <si>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</si>
  <si>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</si>
  <si>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</si>
  <si>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</si>
  <si>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</si>
  <si>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</si>
  <si>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</si>
  <si>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</si>
  <si>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</si>
  <si>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</si>
  <si>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</si>
  <si>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</si>
  <si>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</si>
  <si>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</si>
  <si>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</si>
  <si>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</si>
  <si>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</si>
  <si>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</si>
  <si>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</si>
  <si>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</si>
  <si>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</si>
  <si>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</si>
  <si>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</si>
  <si>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</si>
  <si>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</si>
  <si>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</si>
  <si>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</si>
  <si>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</si>
  <si>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</si>
  <si>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</si>
  <si>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</si>
  <si>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</si>
  <si>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</si>
  <si>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</si>
  <si>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</si>
  <si>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</si>
  <si>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</si>
  <si>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</si>
  <si>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</si>
  <si>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</si>
  <si>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</si>
  <si>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</si>
  <si>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</si>
  <si>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</si>
  <si>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</si>
  <si>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</si>
  <si>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</si>
  <si>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</si>
  <si>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</si>
  <si>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</si>
  <si>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</si>
  <si>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</si>
  <si>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</si>
  <si>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</si>
  <si>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</si>
  <si>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</si>
  <si>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</si>
  <si>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</si>
  <si>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</si>
  <si>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</si>
  <si>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</si>
  <si>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</si>
  <si>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</si>
  <si>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</si>
  <si>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</si>
  <si>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</si>
  <si>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</si>
  <si>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</si>
  <si>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</si>
  <si>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</si>
  <si>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</si>
  <si>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</si>
  <si>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</si>
  <si>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</si>
  <si>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</si>
  <si>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</si>
  <si>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</si>
  <si>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</si>
  <si>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</si>
  <si>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</si>
  <si>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</si>
  <si>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</si>
  <si>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</si>
  <si>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</si>
  <si>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</si>
  <si>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</si>
  <si>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</si>
  <si>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</si>
  <si>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</si>
  <si>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</si>
  <si>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</si>
  <si>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</si>
  <si>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</si>
  <si>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</si>
  <si>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</si>
  <si>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</si>
  <si>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</si>
  <si>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</si>
  <si>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</si>
  <si>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</si>
  <si>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</si>
  <si>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</si>
  <si>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</si>
  <si>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</si>
  <si>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</si>
  <si>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</si>
  <si>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</si>
  <si>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</si>
  <si>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</si>
  <si>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</si>
  <si>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</si>
  <si>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</si>
  <si>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</si>
  <si>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</si>
  <si>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</si>
  <si>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</si>
  <si>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</si>
  <si>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</si>
  <si>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</si>
  <si>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</si>
  <si>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</si>
  <si>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</si>
  <si>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</si>
  <si>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</si>
  <si>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</si>
  <si>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</si>
  <si>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</si>
  <si>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</si>
  <si>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</si>
  <si>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</si>
  <si>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</si>
  <si>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</si>
  <si>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</si>
  <si>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</si>
  <si>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</si>
  <si>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</si>
  <si>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</si>
  <si>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</si>
  <si>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</si>
  <si>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</si>
  <si>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</si>
  <si>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</si>
  <si>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</si>
  <si>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</si>
  <si>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</si>
  <si>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</si>
  <si>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</si>
  <si>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</si>
  <si>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</si>
  <si>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</si>
  <si>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</si>
  <si>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</si>
  <si>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</si>
  <si>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</si>
  <si>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</si>
  <si>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</si>
  <si>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</si>
  <si>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</si>
  <si>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</si>
  <si>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</si>
  <si>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</si>
  <si>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</si>
  <si>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</si>
  <si>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</si>
  <si>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</si>
  <si>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</si>
  <si>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</si>
  <si>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</si>
  <si>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</si>
  <si>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</si>
  <si>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</si>
  <si>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</si>
  <si>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</si>
  <si>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</si>
  <si>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</si>
  <si>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</si>
  <si>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</si>
  <si>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</si>
  <si>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</si>
  <si>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</si>
  <si>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</si>
  <si>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</si>
  <si>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</si>
  <si>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</si>
  <si>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</si>
  <si>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</si>
  <si>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</si>
  <si>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</si>
  <si>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</si>
  <si>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</si>
  <si>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</si>
  <si>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</si>
  <si>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</si>
  <si>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</si>
  <si>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</si>
  <si>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</si>
  <si>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</si>
  <si>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</si>
  <si>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</si>
  <si>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</si>
  <si>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</si>
  <si>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</si>
  <si>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</si>
  <si>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</si>
  <si>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</si>
  <si>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</si>
  <si>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</si>
  <si>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</si>
  <si>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</si>
  <si>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</si>
  <si>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</si>
  <si>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</si>
  <si>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</si>
  <si>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</si>
  <si>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</si>
  <si>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</si>
  <si>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</si>
  <si>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</si>
  <si>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</si>
  <si>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</si>
  <si>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</si>
  <si>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</si>
  <si>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</si>
  <si>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</si>
  <si>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</si>
  <si>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</si>
  <si>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</si>
  <si>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</si>
  <si>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</si>
  <si>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</si>
  <si>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</si>
  <si>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</si>
  <si>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</si>
  <si>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</si>
  <si>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</si>
  <si>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</si>
  <si>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</si>
  <si>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</si>
  <si>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</si>
  <si>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</si>
  <si>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</si>
  <si>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</si>
  <si>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</si>
  <si>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</si>
  <si>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</si>
  <si>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</si>
  <si>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</si>
  <si>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</si>
  <si>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</si>
  <si>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</si>
  <si>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</si>
  <si>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</si>
  <si>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</si>
  <si>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</si>
  <si>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</si>
  <si>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</si>
  <si>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</si>
  <si>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</si>
  <si>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</si>
  <si>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</si>
  <si>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</si>
  <si>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</si>
  <si>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</si>
  <si>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</si>
  <si>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</si>
  <si>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</si>
  <si>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</si>
  <si>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</si>
  <si>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</si>
  <si>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</si>
  <si>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</si>
  <si>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</si>
  <si>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</si>
  <si>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</si>
  <si>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</si>
  <si>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</si>
  <si>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</si>
  <si>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</si>
  <si>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</si>
  <si>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</si>
  <si>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</si>
  <si>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</si>
  <si>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</si>
  <si>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</si>
  <si>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</si>
  <si>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</si>
  <si>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</si>
  <si>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</si>
  <si>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</si>
  <si>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</si>
  <si>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</si>
  <si>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</si>
  <si>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</si>
  <si>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</si>
  <si>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</si>
  <si>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</si>
  <si>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</si>
  <si>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</si>
  <si>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</si>
  <si>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</si>
  <si>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</si>
  <si>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</si>
  <si>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</si>
  <si>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</si>
  <si>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</si>
  <si>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</si>
  <si>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</si>
  <si>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</si>
  <si>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</si>
  <si>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</si>
  <si>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</si>
  <si>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</si>
  <si>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</si>
  <si>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</si>
  <si>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</si>
  <si>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</si>
  <si>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</si>
  <si>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</si>
  <si>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</si>
  <si>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</si>
  <si>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</si>
  <si>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</si>
  <si>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</si>
  <si>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</si>
  <si>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</si>
  <si>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</si>
  <si>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</si>
  <si>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</si>
  <si>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</si>
  <si>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</si>
  <si>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</si>
  <si>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</si>
  <si>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</si>
  <si>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</si>
  <si>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</si>
  <si>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</si>
  <si>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</si>
  <si>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</si>
  <si>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</si>
  <si>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</si>
  <si>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</si>
  <si>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</si>
  <si>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</si>
  <si>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</si>
  <si>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</si>
  <si>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</si>
  <si>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</si>
  <si>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</si>
  <si>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</si>
  <si>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</si>
  <si>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</si>
  <si>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</si>
  <si>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</si>
  <si>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</si>
  <si>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</si>
  <si>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</si>
  <si>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</si>
  <si>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</si>
  <si>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</si>
  <si>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</si>
  <si>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</si>
  <si>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</si>
  <si>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</si>
  <si>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</si>
  <si>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</si>
  <si>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</si>
  <si>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</si>
  <si>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</si>
  <si>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</si>
  <si>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</si>
  <si>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</si>
  <si>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</si>
  <si>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</si>
  <si>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</si>
  <si>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</si>
  <si>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</si>
  <si>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</si>
  <si>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</si>
  <si>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</si>
  <si>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</si>
  <si>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</si>
  <si>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</si>
  <si>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</si>
  <si>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</si>
  <si>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</si>
  <si>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</si>
  <si>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</si>
  <si>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</si>
  <si>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</si>
  <si>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</si>
  <si>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</si>
  <si>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</si>
  <si>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</si>
  <si>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</si>
  <si>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</si>
  <si>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</si>
  <si>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</si>
  <si>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</si>
  <si>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</si>
  <si>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</si>
  <si>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</si>
  <si>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</si>
  <si>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</si>
  <si>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</si>
  <si>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</si>
  <si>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</si>
  <si>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</si>
  <si>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</si>
  <si>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</si>
  <si>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</si>
  <si>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</si>
  <si>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</si>
  <si>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</si>
  <si>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</si>
  <si>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</si>
  <si>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</si>
  <si>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</si>
  <si>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</si>
  <si>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</si>
  <si>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</si>
  <si>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</si>
  <si>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</si>
  <si>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</si>
  <si>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</si>
  <si>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</si>
  <si>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</si>
  <si>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</si>
  <si>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</si>
  <si>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</si>
  <si>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</si>
  <si>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</si>
  <si>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</si>
  <si>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</si>
  <si>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</si>
  <si>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</si>
  <si>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</si>
  <si>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</si>
  <si>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</si>
  <si>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</si>
  <si>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</si>
  <si>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</si>
  <si>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</si>
  <si>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</si>
  <si>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</si>
  <si>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</si>
  <si>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</si>
  <si>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</si>
  <si>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</si>
  <si>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</si>
  <si>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</si>
  <si>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 xml:space="preserve">PASHA Bank Georgia JSC </t>
  </si>
  <si>
    <t>Rovshan Allahverdiyev</t>
  </si>
  <si>
    <t>Ramil Imamov</t>
  </si>
  <si>
    <t>www.pashabank.ge</t>
  </si>
  <si>
    <t>Shahin Mammadov</t>
  </si>
  <si>
    <t>George Glonti</t>
  </si>
  <si>
    <t>Ebru Ogan Knottnerus</t>
  </si>
  <si>
    <t>Kamala Nuriyeva</t>
  </si>
  <si>
    <t>Non-independent member</t>
  </si>
  <si>
    <t>Independent member</t>
  </si>
  <si>
    <t>Non-independent chair</t>
  </si>
  <si>
    <t>Acting Chairman of Board of Directors​, CEO</t>
  </si>
  <si>
    <t>Parvin Mammadov</t>
  </si>
  <si>
    <t>Member of the Board of Directors, CFO</t>
  </si>
  <si>
    <t>Levan Aladashvili</t>
  </si>
  <si>
    <t>Member of the Board of Directors, Chief Risk Officer</t>
  </si>
  <si>
    <t>Anzor Mantskava</t>
  </si>
  <si>
    <t>Member of the Board of Directors, Chief Operating Officer</t>
  </si>
  <si>
    <t>PASHA Bank OJSC</t>
  </si>
  <si>
    <t>Pasha Holding LLC</t>
  </si>
  <si>
    <t xml:space="preserve">Mr. Arif Pashayev </t>
  </si>
  <si>
    <t>Mrs. Arzu Aliyeva</t>
  </si>
  <si>
    <t>Mrs. Leyla Aliyeva</t>
  </si>
  <si>
    <t>Mr. Mir Jamal Pashayev</t>
  </si>
  <si>
    <t>Table 9 (Capital), N15</t>
  </si>
  <si>
    <t>Table 9 (Capital), N38</t>
  </si>
  <si>
    <t>Table 9 (Capital), N2</t>
  </si>
  <si>
    <t>Table 9 (Capital), N6</t>
  </si>
  <si>
    <t>TOTAL EQUITY*</t>
  </si>
  <si>
    <t xml:space="preserve">*Share capital as defined by the Law on Commercial Bank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</si>
</sst>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0.000%"/>
  </numFmts>
  <fonts count="36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
      <sz val="10"/>
      <color rgb="FF333333"/>
      <name val="Sylfaen"/>
      <family val="1"/>
    </font>
    <font>
      <b/>
      <i/>
      <sz val="10"/>
      <color theme="1"/>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1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auto="1"/>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medium">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thin">
        <color indexed="64"/>
      </right>
      <top style="thin">
        <color auto="1"/>
      </top>
      <bottom style="medium">
        <color indexed="64"/>
      </bottom>
      <diagonal/>
    </border>
    <border>
      <left style="thin">
        <color indexed="64"/>
      </left>
      <right/>
      <top style="thin">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auto="1"/>
      </top>
      <bottom style="thin">
        <color auto="1"/>
      </bottom>
      <diagonal/>
    </border>
    <border>
      <left/>
      <right/>
      <top style="thin">
        <color indexed="64"/>
      </top>
      <bottom style="medium">
        <color indexed="64"/>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right/>
      <top style="medium">
        <color indexed="64"/>
      </top>
      <bottom style="medium">
        <color indexed="64"/>
      </bottom>
      <diagonal/>
    </border>
    <border>
      <left style="thin">
        <color auto="1"/>
      </left>
      <right style="medium">
        <color indexed="64"/>
      </right>
      <top style="medium">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168" fontId="23"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168" fontId="23"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169" fontId="23"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2" fillId="8" borderId="27"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0" fontId="21" fillId="63" borderId="34" applyNumberFormat="0" applyAlignment="0" applyProtection="0"/>
    <xf numFmtId="168" fontId="23" fillId="63" borderId="34" applyNumberFormat="0" applyAlignment="0" applyProtection="0"/>
    <xf numFmtId="169" fontId="23" fillId="63" borderId="34" applyNumberFormat="0" applyAlignment="0" applyProtection="0"/>
    <xf numFmtId="168" fontId="23" fillId="63" borderId="34" applyNumberFormat="0" applyAlignment="0" applyProtection="0"/>
    <xf numFmtId="168" fontId="23" fillId="63" borderId="34" applyNumberFormat="0" applyAlignment="0" applyProtection="0"/>
    <xf numFmtId="169" fontId="23" fillId="63" borderId="34" applyNumberFormat="0" applyAlignment="0" applyProtection="0"/>
    <xf numFmtId="168" fontId="23" fillId="63" borderId="34" applyNumberFormat="0" applyAlignment="0" applyProtection="0"/>
    <xf numFmtId="168" fontId="23" fillId="63" borderId="34" applyNumberFormat="0" applyAlignment="0" applyProtection="0"/>
    <xf numFmtId="169" fontId="23" fillId="63" borderId="34" applyNumberFormat="0" applyAlignment="0" applyProtection="0"/>
    <xf numFmtId="168" fontId="23" fillId="63" borderId="34" applyNumberFormat="0" applyAlignment="0" applyProtection="0"/>
    <xf numFmtId="168" fontId="23" fillId="63" borderId="34" applyNumberFormat="0" applyAlignment="0" applyProtection="0"/>
    <xf numFmtId="169" fontId="23" fillId="63" borderId="34" applyNumberFormat="0" applyAlignment="0" applyProtection="0"/>
    <xf numFmtId="168" fontId="23" fillId="63" borderId="34" applyNumberFormat="0" applyAlignment="0" applyProtection="0"/>
    <xf numFmtId="0" fontId="21" fillId="63" borderId="34" applyNumberFormat="0" applyAlignment="0" applyProtection="0"/>
    <xf numFmtId="0" fontId="24" fillId="64" borderId="35" applyNumberFormat="0" applyAlignment="0" applyProtection="0"/>
    <xf numFmtId="0" fontId="25" fillId="9" borderId="30" applyNumberFormat="0" applyAlignment="0" applyProtection="0"/>
    <xf numFmtId="168"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0" fontId="24"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0" fontId="25" fillId="9" borderId="30"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169" fontId="26" fillId="64" borderId="35" applyNumberFormat="0" applyAlignment="0" applyProtection="0"/>
    <xf numFmtId="168" fontId="26" fillId="64" borderId="35" applyNumberFormat="0" applyAlignment="0" applyProtection="0"/>
    <xf numFmtId="0" fontId="24" fillId="64" borderId="35"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6">
      <alignment vertical="center"/>
    </xf>
    <xf numFmtId="38" fontId="9" fillId="0" borderId="36">
      <alignment vertical="center"/>
    </xf>
    <xf numFmtId="38" fontId="9" fillId="0" borderId="36">
      <alignment vertical="center"/>
    </xf>
    <xf numFmtId="38" fontId="9" fillId="0" borderId="36">
      <alignment vertical="center"/>
    </xf>
    <xf numFmtId="38" fontId="9" fillId="0" borderId="36">
      <alignment vertical="center"/>
    </xf>
    <xf numFmtId="38" fontId="9" fillId="0" borderId="36">
      <alignment vertical="center"/>
    </xf>
    <xf numFmtId="38" fontId="9" fillId="0" borderId="36">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6" applyNumberFormat="0" applyAlignment="0" applyProtection="0">
      <alignment horizontal="left" vertical="center"/>
    </xf>
    <xf numFmtId="0" fontId="37" fillId="0" borderId="26" applyNumberFormat="0" applyAlignment="0" applyProtection="0">
      <alignment horizontal="left" vertical="center"/>
    </xf>
    <xf numFmtId="168" fontId="37" fillId="0" borderId="26" applyNumberFormat="0" applyAlignment="0" applyProtection="0">
      <alignment horizontal="left" vertical="center"/>
    </xf>
    <xf numFmtId="0" fontId="37" fillId="0" borderId="7">
      <alignment horizontal="left" vertical="center"/>
    </xf>
    <xf numFmtId="0" fontId="37" fillId="0" borderId="7">
      <alignment horizontal="left" vertical="center"/>
    </xf>
    <xf numFmtId="168" fontId="37" fillId="0" borderId="7">
      <alignment horizontal="left" vertical="center"/>
    </xf>
    <xf numFmtId="0" fontId="38" fillId="0" borderId="37" applyNumberFormat="0" applyFill="0" applyAlignment="0" applyProtection="0"/>
    <xf numFmtId="169" fontId="38" fillId="0" borderId="37" applyNumberFormat="0" applyFill="0" applyAlignment="0" applyProtection="0"/>
    <xf numFmtId="0" fontId="38" fillId="0" borderId="37" applyNumberFormat="0" applyFill="0" applyAlignment="0" applyProtection="0"/>
    <xf numFmtId="168" fontId="38" fillId="0" borderId="37" applyNumberFormat="0" applyFill="0" applyAlignment="0" applyProtection="0"/>
    <xf numFmtId="168" fontId="38" fillId="0" borderId="37" applyNumberFormat="0" applyFill="0" applyAlignment="0" applyProtection="0"/>
    <xf numFmtId="168" fontId="38" fillId="0" borderId="37" applyNumberFormat="0" applyFill="0" applyAlignment="0" applyProtection="0"/>
    <xf numFmtId="169" fontId="38" fillId="0" borderId="37" applyNumberFormat="0" applyFill="0" applyAlignment="0" applyProtection="0"/>
    <xf numFmtId="168" fontId="38" fillId="0" borderId="37" applyNumberFormat="0" applyFill="0" applyAlignment="0" applyProtection="0"/>
    <xf numFmtId="168" fontId="38" fillId="0" borderId="37" applyNumberFormat="0" applyFill="0" applyAlignment="0" applyProtection="0"/>
    <xf numFmtId="169" fontId="38" fillId="0" borderId="37" applyNumberFormat="0" applyFill="0" applyAlignment="0" applyProtection="0"/>
    <xf numFmtId="168" fontId="38" fillId="0" borderId="37" applyNumberFormat="0" applyFill="0" applyAlignment="0" applyProtection="0"/>
    <xf numFmtId="168" fontId="38" fillId="0" borderId="37" applyNumberFormat="0" applyFill="0" applyAlignment="0" applyProtection="0"/>
    <xf numFmtId="169" fontId="38" fillId="0" borderId="37" applyNumberFormat="0" applyFill="0" applyAlignment="0" applyProtection="0"/>
    <xf numFmtId="168" fontId="38" fillId="0" borderId="37" applyNumberFormat="0" applyFill="0" applyAlignment="0" applyProtection="0"/>
    <xf numFmtId="168" fontId="38" fillId="0" borderId="37" applyNumberFormat="0" applyFill="0" applyAlignment="0" applyProtection="0"/>
    <xf numFmtId="169" fontId="38" fillId="0" borderId="37" applyNumberFormat="0" applyFill="0" applyAlignment="0" applyProtection="0"/>
    <xf numFmtId="168" fontId="38" fillId="0" borderId="37" applyNumberFormat="0" applyFill="0" applyAlignment="0" applyProtection="0"/>
    <xf numFmtId="0" fontId="38" fillId="0" borderId="37" applyNumberFormat="0" applyFill="0" applyAlignment="0" applyProtection="0"/>
    <xf numFmtId="0" fontId="39" fillId="0" borderId="38" applyNumberFormat="0" applyFill="0" applyAlignment="0" applyProtection="0"/>
    <xf numFmtId="169" fontId="39" fillId="0" borderId="38" applyNumberFormat="0" applyFill="0" applyAlignment="0" applyProtection="0"/>
    <xf numFmtId="0"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0" fontId="39" fillId="0" borderId="38" applyNumberFormat="0" applyFill="0" applyAlignment="0" applyProtection="0"/>
    <xf numFmtId="0" fontId="40" fillId="0" borderId="39" applyNumberFormat="0" applyFill="0" applyAlignment="0" applyProtection="0"/>
    <xf numFmtId="169" fontId="40" fillId="0" borderId="39" applyNumberFormat="0" applyFill="0" applyAlignment="0" applyProtection="0"/>
    <xf numFmtId="0" fontId="40" fillId="0" borderId="39" applyNumberFormat="0" applyFill="0" applyAlignment="0" applyProtection="0"/>
    <xf numFmtId="168" fontId="40" fillId="0" borderId="39" applyNumberFormat="0" applyFill="0" applyAlignment="0" applyProtection="0"/>
    <xf numFmtId="0" fontId="40" fillId="0" borderId="39" applyNumberFormat="0" applyFill="0" applyAlignment="0" applyProtection="0"/>
    <xf numFmtId="168" fontId="40" fillId="0" borderId="39" applyNumberFormat="0" applyFill="0" applyAlignment="0" applyProtection="0"/>
    <xf numFmtId="0" fontId="40" fillId="0" borderId="39" applyNumberFormat="0" applyFill="0" applyAlignment="0" applyProtection="0"/>
    <xf numFmtId="0"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0" fontId="40" fillId="0" borderId="39"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6"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6"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168" fontId="51"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168" fontId="51"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169" fontId="51"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50" fillId="7" borderId="27"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0" fontId="49" fillId="42" borderId="34" applyNumberFormat="0" applyAlignment="0" applyProtection="0"/>
    <xf numFmtId="168" fontId="51" fillId="42" borderId="34" applyNumberFormat="0" applyAlignment="0" applyProtection="0"/>
    <xf numFmtId="169" fontId="51" fillId="42" borderId="34" applyNumberFormat="0" applyAlignment="0" applyProtection="0"/>
    <xf numFmtId="168" fontId="51" fillId="42" borderId="34" applyNumberFormat="0" applyAlignment="0" applyProtection="0"/>
    <xf numFmtId="168" fontId="51" fillId="42" borderId="34" applyNumberFormat="0" applyAlignment="0" applyProtection="0"/>
    <xf numFmtId="169" fontId="51" fillId="42" borderId="34" applyNumberFormat="0" applyAlignment="0" applyProtection="0"/>
    <xf numFmtId="168" fontId="51" fillId="42" borderId="34" applyNumberFormat="0" applyAlignment="0" applyProtection="0"/>
    <xf numFmtId="168" fontId="51" fillId="42" borderId="34" applyNumberFormat="0" applyAlignment="0" applyProtection="0"/>
    <xf numFmtId="169" fontId="51" fillId="42" borderId="34" applyNumberFormat="0" applyAlignment="0" applyProtection="0"/>
    <xf numFmtId="168" fontId="51" fillId="42" borderId="34" applyNumberFormat="0" applyAlignment="0" applyProtection="0"/>
    <xf numFmtId="168" fontId="51" fillId="42" borderId="34" applyNumberFormat="0" applyAlignment="0" applyProtection="0"/>
    <xf numFmtId="169" fontId="51" fillId="42" borderId="34" applyNumberFormat="0" applyAlignment="0" applyProtection="0"/>
    <xf numFmtId="168" fontId="51" fillId="42" borderId="34" applyNumberFormat="0" applyAlignment="0" applyProtection="0"/>
    <xf numFmtId="0" fontId="49" fillId="42" borderId="34"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0" applyNumberFormat="0" applyFill="0" applyAlignment="0" applyProtection="0"/>
    <xf numFmtId="0" fontId="53" fillId="0" borderId="29"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0" fontId="52" fillId="0" borderId="40"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0" fontId="52" fillId="0" borderId="40"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1"/>
    <xf numFmtId="169" fontId="9" fillId="0" borderId="41"/>
    <xf numFmtId="168" fontId="9" fillId="0" borderId="41"/>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168" fontId="2" fillId="0" borderId="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2" fillId="73" borderId="42" applyNumberFormat="0" applyFont="0" applyAlignment="0" applyProtection="0"/>
    <xf numFmtId="0" fontId="10" fillId="73" borderId="42" applyNumberFormat="0" applyFont="0" applyAlignment="0" applyProtection="0"/>
    <xf numFmtId="168" fontId="2" fillId="0" borderId="0"/>
    <xf numFmtId="0" fontId="10" fillId="73" borderId="42" applyNumberFormat="0" applyFont="0" applyAlignment="0" applyProtection="0"/>
    <xf numFmtId="0" fontId="10" fillId="73" borderId="42" applyNumberFormat="0" applyFont="0" applyAlignment="0" applyProtection="0"/>
    <xf numFmtId="0" fontId="2" fillId="73" borderId="42" applyNumberFormat="0" applyFont="0" applyAlignment="0" applyProtection="0"/>
    <xf numFmtId="0" fontId="2" fillId="73" borderId="42" applyNumberFormat="0" applyFont="0" applyAlignment="0" applyProtection="0"/>
    <xf numFmtId="0" fontId="10" fillId="73" borderId="42" applyNumberFormat="0" applyFont="0" applyAlignment="0" applyProtection="0"/>
    <xf numFmtId="0" fontId="2"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169" fontId="2" fillId="0" borderId="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2" fillId="73" borderId="42" applyNumberFormat="0" applyFont="0" applyAlignment="0" applyProtection="0"/>
    <xf numFmtId="0" fontId="2" fillId="0" borderId="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1" fillId="10" borderId="31"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10" fillId="73" borderId="42" applyNumberFormat="0" applyFont="0" applyAlignment="0" applyProtection="0"/>
    <xf numFmtId="0" fontId="2" fillId="73" borderId="42" applyNumberFormat="0" applyFont="0" applyAlignment="0" applyProtection="0"/>
    <xf numFmtId="0" fontId="2" fillId="73" borderId="42" applyNumberFormat="0" applyFont="0" applyAlignment="0" applyProtection="0"/>
    <xf numFmtId="169" fontId="2" fillId="0" borderId="0"/>
    <xf numFmtId="0" fontId="2" fillId="73" borderId="42" applyNumberFormat="0" applyFont="0" applyAlignment="0" applyProtection="0"/>
    <xf numFmtId="168" fontId="2" fillId="0" borderId="0"/>
    <xf numFmtId="0" fontId="2" fillId="73" borderId="42" applyNumberFormat="0" applyFont="0" applyAlignment="0" applyProtection="0"/>
    <xf numFmtId="168" fontId="2" fillId="0" borderId="0"/>
    <xf numFmtId="0" fontId="2" fillId="73" borderId="42" applyNumberFormat="0" applyFont="0" applyAlignment="0" applyProtection="0"/>
    <xf numFmtId="0" fontId="2" fillId="73" borderId="42" applyNumberFormat="0" applyFont="0" applyAlignment="0" applyProtection="0"/>
    <xf numFmtId="169" fontId="2" fillId="0" borderId="0"/>
    <xf numFmtId="168" fontId="2" fillId="0" borderId="0"/>
    <xf numFmtId="0" fontId="2" fillId="73" borderId="42" applyNumberFormat="0" applyFont="0" applyAlignment="0" applyProtection="0"/>
    <xf numFmtId="168" fontId="2" fillId="0" borderId="0"/>
    <xf numFmtId="0" fontId="2" fillId="73" borderId="42" applyNumberFormat="0" applyFont="0" applyAlignment="0" applyProtection="0"/>
    <xf numFmtId="0" fontId="2" fillId="73" borderId="42" applyNumberFormat="0" applyFont="0" applyAlignment="0" applyProtection="0"/>
    <xf numFmtId="169" fontId="2" fillId="0" borderId="0"/>
    <xf numFmtId="0" fontId="2" fillId="73" borderId="42" applyNumberFormat="0" applyFont="0" applyAlignment="0" applyProtection="0"/>
    <xf numFmtId="168" fontId="2" fillId="0" borderId="0"/>
    <xf numFmtId="0" fontId="2" fillId="73" borderId="42" applyNumberFormat="0" applyFont="0" applyAlignment="0" applyProtection="0"/>
    <xf numFmtId="168" fontId="2" fillId="0" borderId="0"/>
    <xf numFmtId="0" fontId="2" fillId="73" borderId="42" applyNumberFormat="0" applyFont="0" applyAlignment="0" applyProtection="0"/>
    <xf numFmtId="0" fontId="2" fillId="73" borderId="42" applyNumberFormat="0" applyFont="0" applyAlignment="0" applyProtection="0"/>
    <xf numFmtId="169" fontId="2" fillId="0" borderId="0"/>
    <xf numFmtId="168" fontId="2" fillId="0" borderId="0"/>
    <xf numFmtId="168" fontId="2" fillId="0" borderId="0"/>
    <xf numFmtId="0" fontId="2" fillId="73" borderId="42" applyNumberFormat="0" applyFont="0" applyAlignment="0" applyProtection="0"/>
    <xf numFmtId="0" fontId="2" fillId="73" borderId="42" applyNumberFormat="0" applyFont="0" applyAlignment="0" applyProtection="0"/>
    <xf numFmtId="0" fontId="2" fillId="73" borderId="42" applyNumberFormat="0" applyFont="0" applyAlignment="0" applyProtection="0"/>
    <xf numFmtId="0" fontId="2" fillId="73" borderId="42"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168" fontId="68"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168" fontId="68"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169" fontId="68"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7" fillId="8" borderId="28"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0" fontId="66" fillId="63" borderId="43" applyNumberFormat="0" applyAlignment="0" applyProtection="0"/>
    <xf numFmtId="168" fontId="68" fillId="63" borderId="43" applyNumberFormat="0" applyAlignment="0" applyProtection="0"/>
    <xf numFmtId="169" fontId="68" fillId="63" borderId="43" applyNumberFormat="0" applyAlignment="0" applyProtection="0"/>
    <xf numFmtId="168" fontId="68" fillId="63" borderId="43" applyNumberFormat="0" applyAlignment="0" applyProtection="0"/>
    <xf numFmtId="168" fontId="68" fillId="63" borderId="43" applyNumberFormat="0" applyAlignment="0" applyProtection="0"/>
    <xf numFmtId="169" fontId="68" fillId="63" borderId="43" applyNumberFormat="0" applyAlignment="0" applyProtection="0"/>
    <xf numFmtId="168" fontId="68" fillId="63" borderId="43" applyNumberFormat="0" applyAlignment="0" applyProtection="0"/>
    <xf numFmtId="168" fontId="68" fillId="63" borderId="43" applyNumberFormat="0" applyAlignment="0" applyProtection="0"/>
    <xf numFmtId="169" fontId="68" fillId="63" borderId="43" applyNumberFormat="0" applyAlignment="0" applyProtection="0"/>
    <xf numFmtId="168" fontId="68" fillId="63" borderId="43" applyNumberFormat="0" applyAlignment="0" applyProtection="0"/>
    <xf numFmtId="168" fontId="68" fillId="63" borderId="43" applyNumberFormat="0" applyAlignment="0" applyProtection="0"/>
    <xf numFmtId="169" fontId="68" fillId="63" borderId="43" applyNumberFormat="0" applyAlignment="0" applyProtection="0"/>
    <xf numFmtId="168" fontId="68" fillId="63" borderId="43" applyNumberFormat="0" applyAlignment="0" applyProtection="0"/>
    <xf numFmtId="0" fontId="66" fillId="63" borderId="43"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168" fontId="77"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168" fontId="77"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169" fontId="77"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4" fillId="0" borderId="32"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168" fontId="77" fillId="0" borderId="44" applyNumberFormat="0" applyFill="0" applyAlignment="0" applyProtection="0"/>
    <xf numFmtId="169" fontId="77" fillId="0" borderId="44" applyNumberFormat="0" applyFill="0" applyAlignment="0" applyProtection="0"/>
    <xf numFmtId="168" fontId="77" fillId="0" borderId="44" applyNumberFormat="0" applyFill="0" applyAlignment="0" applyProtection="0"/>
    <xf numFmtId="168" fontId="77" fillId="0" borderId="44" applyNumberFormat="0" applyFill="0" applyAlignment="0" applyProtection="0"/>
    <xf numFmtId="169" fontId="77" fillId="0" borderId="44" applyNumberFormat="0" applyFill="0" applyAlignment="0" applyProtection="0"/>
    <xf numFmtId="168" fontId="77" fillId="0" borderId="44" applyNumberFormat="0" applyFill="0" applyAlignment="0" applyProtection="0"/>
    <xf numFmtId="168" fontId="77" fillId="0" borderId="44" applyNumberFormat="0" applyFill="0" applyAlignment="0" applyProtection="0"/>
    <xf numFmtId="169" fontId="77" fillId="0" borderId="44" applyNumberFormat="0" applyFill="0" applyAlignment="0" applyProtection="0"/>
    <xf numFmtId="168" fontId="77" fillId="0" borderId="44" applyNumberFormat="0" applyFill="0" applyAlignment="0" applyProtection="0"/>
    <xf numFmtId="168" fontId="77" fillId="0" borderId="44" applyNumberFormat="0" applyFill="0" applyAlignment="0" applyProtection="0"/>
    <xf numFmtId="169" fontId="77" fillId="0" borderId="44" applyNumberFormat="0" applyFill="0" applyAlignment="0" applyProtection="0"/>
    <xf numFmtId="168" fontId="77" fillId="0" borderId="44" applyNumberFormat="0" applyFill="0" applyAlignment="0" applyProtection="0"/>
    <xf numFmtId="0" fontId="30" fillId="0" borderId="44" applyNumberFormat="0" applyFill="0" applyAlignment="0" applyProtection="0"/>
    <xf numFmtId="0" fontId="8" fillId="0" borderId="45"/>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18" fillId="0" borderId="0"/>
    <xf numFmtId="0" fontId="145" fillId="69" borderId="62"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07" applyFont="0" applyBorder="0">
      <alignment horizontal="center" wrapText="1"/>
    </xf>
    <xf numFmtId="3" fontId="2" fillId="74" borderId="106"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6" fillId="0" borderId="0" applyFont="0" applyFill="0" applyBorder="0" applyAlignment="0" applyProtection="0"/>
    <xf numFmtId="8" fontId="147" fillId="0" borderId="0" applyFont="0" applyFill="0" applyBorder="0" applyAlignment="0" applyProtection="0"/>
    <xf numFmtId="8" fontId="147" fillId="0" borderId="0" applyFont="0" applyFill="0" applyBorder="0" applyAlignment="0" applyProtection="0"/>
    <xf numFmtId="202" fontId="146"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203" fontId="146" fillId="0" borderId="0" applyFont="0" applyFill="0" applyBorder="0" applyAlignment="0" applyProtection="0"/>
    <xf numFmtId="203" fontId="146" fillId="0" borderId="0" applyFont="0" applyFill="0" applyBorder="0" applyAlignment="0" applyProtection="0"/>
    <xf numFmtId="7" fontId="146" fillId="0" borderId="0" applyFont="0" applyFill="0" applyBorder="0" applyAlignment="0" applyProtection="0"/>
    <xf numFmtId="7" fontId="146" fillId="0" borderId="0" applyFont="0" applyFill="0" applyBorder="0" applyAlignment="0" applyProtection="0"/>
    <xf numFmtId="204" fontId="146" fillId="0" borderId="0" applyFont="0" applyFill="0" applyBorder="0" applyAlignment="0" applyProtection="0"/>
    <xf numFmtId="204" fontId="146"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205" fontId="102" fillId="0" borderId="0"/>
    <xf numFmtId="205" fontId="102" fillId="0" borderId="0"/>
    <xf numFmtId="205" fontId="102" fillId="0" borderId="0"/>
    <xf numFmtId="205" fontId="102" fillId="0" borderId="0"/>
    <xf numFmtId="0" fontId="102" fillId="0" borderId="0"/>
    <xf numFmtId="205" fontId="102" fillId="0" borderId="0"/>
    <xf numFmtId="5" fontId="147" fillId="0" borderId="0" applyFont="0" applyFill="0" applyBorder="0" applyAlignment="0" applyProtection="0"/>
    <xf numFmtId="5" fontId="147" fillId="0" borderId="0" applyFont="0" applyFill="0" applyBorder="0" applyAlignment="0" applyProtection="0"/>
    <xf numFmtId="202" fontId="146"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202" fontId="146" fillId="0" borderId="0" applyFont="0" applyFill="0" applyBorder="0" applyAlignment="0" applyProtection="0"/>
    <xf numFmtId="202" fontId="146" fillId="0" borderId="0" applyFont="0" applyFill="0" applyBorder="0" applyAlignment="0" applyProtection="0"/>
    <xf numFmtId="202" fontId="146"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10" fontId="147" fillId="0" borderId="0" applyFont="0" applyFill="0" applyBorder="0" applyAlignment="0" applyProtection="0"/>
    <xf numFmtId="10" fontId="147" fillId="0" borderId="0" applyFont="0" applyFill="0" applyBorder="0" applyAlignment="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2" fillId="0" borderId="0" applyNumberForma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206" fontId="151" fillId="0" borderId="0" applyFont="0" applyFill="0" applyBorder="0" applyAlignment="0" applyProtection="0"/>
    <xf numFmtId="0" fontId="19" fillId="0" borderId="0" applyFont="0" applyFill="0" applyBorder="0" applyAlignment="0" applyProtection="0"/>
    <xf numFmtId="207" fontId="152" fillId="0" borderId="0" applyFont="0" applyFill="0" applyBorder="0" applyAlignment="0" applyProtection="0"/>
    <xf numFmtId="208" fontId="152" fillId="0" borderId="0" applyFont="0" applyFill="0" applyBorder="0" applyAlignment="0" applyProtection="0"/>
    <xf numFmtId="209" fontId="152" fillId="0" borderId="0" applyFont="0" applyFill="0" applyBorder="0" applyAlignment="0" applyProtection="0"/>
    <xf numFmtId="210" fontId="152" fillId="0" borderId="0" applyFont="0" applyFill="0" applyBorder="0" applyAlignment="0" applyProtection="0"/>
    <xf numFmtId="0" fontId="152" fillId="0" borderId="0"/>
    <xf numFmtId="0" fontId="19" fillId="0" borderId="0" applyFont="0" applyFill="0" applyBorder="0" applyAlignment="0" applyProtection="0"/>
    <xf numFmtId="211" fontId="151" fillId="0" borderId="0" applyFont="0" applyFill="0" applyBorder="0" applyAlignment="0" applyProtection="0"/>
    <xf numFmtId="0" fontId="147"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3"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2" fillId="0" borderId="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156" fillId="0" borderId="0"/>
    <xf numFmtId="0" fontId="156"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6" fillId="0" borderId="0"/>
    <xf numFmtId="0" fontId="2" fillId="0" borderId="0"/>
    <xf numFmtId="0" fontId="2" fillId="0" borderId="0">
      <alignment horizontal="left" wrapText="1"/>
    </xf>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85"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7" fillId="0" borderId="0"/>
    <xf numFmtId="0" fontId="2" fillId="85" borderId="0"/>
    <xf numFmtId="0" fontId="2" fillId="0" borderId="0"/>
    <xf numFmtId="0" fontId="2" fillId="0" borderId="0"/>
    <xf numFmtId="0" fontId="2" fillId="0" borderId="0" applyFont="0" applyFill="0" applyBorder="0" applyAlignment="0" applyProtection="0"/>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2" fillId="89"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229" fontId="102" fillId="89" borderId="0" applyNumberFormat="0" applyFont="0" applyAlignment="0" applyProtection="0"/>
    <xf numFmtId="0" fontId="102" fillId="90" borderId="0" applyNumberFormat="0" applyFont="0" applyAlignment="0" applyProtection="0"/>
    <xf numFmtId="229" fontId="102" fillId="89"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60" fillId="89"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2" fillId="89"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229" fontId="102" fillId="89" borderId="0" applyNumberFormat="0" applyFont="0" applyAlignment="0" applyProtection="0"/>
    <xf numFmtId="0" fontId="102" fillId="90" borderId="0" applyNumberFormat="0" applyFont="0" applyAlignment="0" applyProtection="0"/>
    <xf numFmtId="229" fontId="102" fillId="89"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102"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6" fillId="0" borderId="0"/>
    <xf numFmtId="0" fontId="156" fillId="0" borderId="0"/>
    <xf numFmtId="0" fontId="156" fillId="0" borderId="0"/>
    <xf numFmtId="0" fontId="156"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6"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6"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1" fillId="0" borderId="120"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6" fillId="0" borderId="0"/>
    <xf numFmtId="0" fontId="156" fillId="0" borderId="0"/>
    <xf numFmtId="0" fontId="2" fillId="0" borderId="0"/>
    <xf numFmtId="0" fontId="156" fillId="0" borderId="0"/>
    <xf numFmtId="0" fontId="156" fillId="0" borderId="0"/>
    <xf numFmtId="0" fontId="156" fillId="0" borderId="0"/>
    <xf numFmtId="0" fontId="8" fillId="0" borderId="0"/>
    <xf numFmtId="0" fontId="157" fillId="0" borderId="0"/>
    <xf numFmtId="0" fontId="2" fillId="0" borderId="0"/>
    <xf numFmtId="0" fontId="2" fillId="85" borderId="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alignment horizontal="left" wrapText="1"/>
    </xf>
    <xf numFmtId="0" fontId="156" fillId="0" borderId="0"/>
    <xf numFmtId="0" fontId="156"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4" fillId="86" borderId="119"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6"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1" fillId="0" borderId="120" applyNumberFormat="0" applyFill="0" applyAlignment="0" applyProtection="0"/>
    <xf numFmtId="0" fontId="161"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2"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2"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61" fillId="0" borderId="120" applyNumberFormat="0" applyFill="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2" fillId="0" borderId="0">
      <alignment horizontal="left" wrapText="1"/>
    </xf>
    <xf numFmtId="0" fontId="163"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2" fillId="0" borderId="121" applyNumberFormat="0" applyFill="0" applyProtection="0">
      <alignment horizontal="center"/>
    </xf>
    <xf numFmtId="0" fontId="163"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163" fillId="0" borderId="121" applyNumberFormat="0" applyFill="0" applyProtection="0">
      <alignment horizontal="center"/>
    </xf>
    <xf numFmtId="0" fontId="164" fillId="0" borderId="121" applyNumberFormat="0" applyFill="0" applyProtection="0">
      <alignment horizontal="center"/>
    </xf>
    <xf numFmtId="0" fontId="164"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2"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2"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121" applyNumberFormat="0" applyFill="0" applyProtection="0">
      <alignment horizontal="center"/>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lignment horizontal="left" wrapText="1"/>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56" fillId="0" borderId="0"/>
    <xf numFmtId="0" fontId="156" fillId="0" borderId="0"/>
    <xf numFmtId="0" fontId="2" fillId="0" borderId="0"/>
    <xf numFmtId="0" fontId="2" fillId="0" borderId="0"/>
    <xf numFmtId="0" fontId="156" fillId="0" borderId="0"/>
    <xf numFmtId="0" fontId="156"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0" borderId="0"/>
    <xf numFmtId="0" fontId="156" fillId="0" borderId="0"/>
    <xf numFmtId="0" fontId="2" fillId="0" borderId="0"/>
    <xf numFmtId="0" fontId="154" fillId="86" borderId="119" quotePrefix="1" applyNumberFormat="0" applyFont="0" applyFill="0" applyBorder="0" applyAlignment="0" applyProtection="0">
      <alignment horizontal="centerContinuous" vertical="justify"/>
      <protection locked="0" hidden="1"/>
    </xf>
    <xf numFmtId="0" fontId="155" fillId="87" borderId="119" quotePrefix="1" applyNumberFormat="0" applyFont="0" applyFill="0" applyBorder="0">
      <protection locked="0" hidden="1"/>
    </xf>
    <xf numFmtId="0" fontId="2" fillId="0" borderId="0"/>
    <xf numFmtId="0" fontId="2" fillId="0" borderId="0"/>
    <xf numFmtId="0" fontId="2" fillId="0" borderId="0"/>
    <xf numFmtId="0" fontId="158"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8" fillId="0" borderId="0">
      <alignment horizontal="left" vertical="center"/>
    </xf>
    <xf numFmtId="0" fontId="156" fillId="0" borderId="0"/>
    <xf numFmtId="0" fontId="168"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69" fillId="0" borderId="0"/>
    <xf numFmtId="1" fontId="170" fillId="0" borderId="114">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1" fillId="0" borderId="0" applyFill="0" applyBorder="0" applyAlignment="0" applyProtection="0"/>
    <xf numFmtId="239" fontId="171" fillId="0" borderId="0" applyFill="0" applyBorder="0" applyAlignment="0" applyProtection="0"/>
    <xf numFmtId="239" fontId="171" fillId="0" borderId="0" applyFill="0" applyBorder="0" applyAlignment="0" applyProtection="0"/>
    <xf numFmtId="240" fontId="171" fillId="0" borderId="0" applyFill="0" applyBorder="0" applyAlignment="0" applyProtection="0"/>
    <xf numFmtId="240" fontId="171" fillId="0" borderId="0" applyFill="0" applyBorder="0" applyAlignment="0" applyProtection="0"/>
    <xf numFmtId="240" fontId="171"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2" fillId="0" borderId="60"/>
    <xf numFmtId="0" fontId="158"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43" fontId="158" fillId="0" borderId="0" applyFont="0" applyFill="0" applyBorder="0" applyAlignment="0" applyProtection="0"/>
    <xf numFmtId="243" fontId="158" fillId="0" borderId="0" applyFont="0" applyFill="0" applyBorder="0" applyAlignment="0" applyProtection="0"/>
    <xf numFmtId="243" fontId="158" fillId="0" borderId="0" applyFont="0" applyFill="0" applyBorder="0" applyAlignment="0" applyProtection="0"/>
    <xf numFmtId="243" fontId="158" fillId="0" borderId="0" applyFont="0" applyFill="0" applyBorder="0" applyAlignment="0" applyProtection="0"/>
    <xf numFmtId="0" fontId="147" fillId="0" borderId="0" applyFont="0" applyFill="0" applyBorder="0" applyAlignment="0" applyProtection="0"/>
    <xf numFmtId="14" fontId="173" fillId="0" borderId="0" applyFill="0" applyBorder="0" applyProtection="0">
      <alignment horizontal="right"/>
    </xf>
    <xf numFmtId="16" fontId="173" fillId="0" borderId="0" applyFill="0" applyBorder="0" applyProtection="0">
      <alignment horizontal="right"/>
    </xf>
    <xf numFmtId="18" fontId="173" fillId="0" borderId="0" applyFill="0" applyBorder="0" applyProtection="0">
      <alignment horizontal="right"/>
    </xf>
    <xf numFmtId="16" fontId="173" fillId="0" borderId="0" applyFill="0" applyBorder="0" applyProtection="0">
      <alignment horizontal="right"/>
    </xf>
    <xf numFmtId="22" fontId="173" fillId="0" borderId="0" applyFill="0" applyBorder="0" applyProtection="0">
      <alignment horizontal="right"/>
    </xf>
    <xf numFmtId="14" fontId="173" fillId="0" borderId="0" applyFill="0" applyBorder="0" applyProtection="0">
      <alignment horizontal="right"/>
    </xf>
    <xf numFmtId="20" fontId="173" fillId="0" borderId="0" applyFill="0" applyBorder="0" applyProtection="0">
      <alignment horizontal="right"/>
    </xf>
    <xf numFmtId="16" fontId="173" fillId="0" borderId="0" applyFill="0" applyBorder="0" applyProtection="0">
      <alignment horizontal="right"/>
    </xf>
    <xf numFmtId="16" fontId="173" fillId="0" borderId="0" applyFill="0" applyBorder="0" applyProtection="0">
      <alignment horizontal="right"/>
    </xf>
    <xf numFmtId="14"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4" fillId="0" borderId="68"/>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6" fillId="101" borderId="0" applyNumberFormat="0" applyFont="0" applyBorder="0" applyProtection="0"/>
    <xf numFmtId="0" fontId="28" fillId="0" borderId="94" applyBorder="0"/>
    <xf numFmtId="0" fontId="28" fillId="0" borderId="94"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4"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0" fontId="19" fillId="0" borderId="89" applyFont="0" applyFill="0" applyBorder="0" applyAlignment="0"/>
    <xf numFmtId="245" fontId="102" fillId="0" borderId="0" applyFont="0" applyFill="0" applyBorder="0" applyAlignment="0">
      <alignment vertical="center"/>
    </xf>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applyAlignment="0">
      <alignment vertical="center"/>
    </xf>
    <xf numFmtId="245" fontId="102" fillId="0" borderId="0" applyFont="0" applyFill="0" applyBorder="0"/>
    <xf numFmtId="245" fontId="102" fillId="0" borderId="0" applyFont="0" applyFill="0" applyBorder="0"/>
    <xf numFmtId="245" fontId="102" fillId="0" borderId="0" applyFont="0" applyFill="0" applyBorder="0" applyAlignment="0">
      <alignment vertical="center"/>
    </xf>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245" fontId="102" fillId="0" borderId="0" applyFont="0" applyFill="0" applyBorder="0"/>
    <xf numFmtId="0" fontId="177" fillId="0" borderId="0" applyNumberFormat="0" applyFill="0" applyBorder="0" applyAlignment="0">
      <protection locked="0"/>
    </xf>
    <xf numFmtId="246" fontId="158" fillId="0" borderId="0" applyFont="0" applyFill="0" applyBorder="0" applyAlignment="0" applyProtection="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applyProtection="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0" fontId="178" fillId="96" borderId="122"/>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79" fillId="88" borderId="106" applyNumberFormat="0" applyFont="0" applyAlignment="0"/>
    <xf numFmtId="3" fontId="179" fillId="88" borderId="106" applyNumberFormat="0" applyFont="0" applyAlignment="0"/>
    <xf numFmtId="3" fontId="179" fillId="88" borderId="106" applyNumberFormat="0" applyFont="0" applyAlignment="0"/>
    <xf numFmtId="3" fontId="179" fillId="88" borderId="106" applyNumberFormat="0" applyFont="0" applyAlignment="0"/>
    <xf numFmtId="3" fontId="179" fillId="88" borderId="106" applyNumberFormat="0" applyFont="0" applyAlignment="0"/>
    <xf numFmtId="0" fontId="158"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247" fontId="177" fillId="107" borderId="106" applyNumberFormat="0" applyFill="0" applyBorder="0" applyAlignment="0" applyProtection="0"/>
    <xf numFmtId="0"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0"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247" fontId="177" fillId="107" borderId="106" applyNumberFormat="0" applyFill="0" applyBorder="0" applyAlignment="0" applyProtection="0"/>
    <xf numFmtId="0" fontId="177" fillId="107" borderId="106" applyNumberFormat="0" applyFill="0" applyBorder="0" applyAlignment="0" applyProtection="0"/>
    <xf numFmtId="0" fontId="180" fillId="0" borderId="123"/>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1" fillId="108" borderId="124" applyNumberFormat="0" applyAlignment="0" applyProtection="0"/>
    <xf numFmtId="0" fontId="181" fillId="108" borderId="124" applyNumberFormat="0" applyAlignment="0" applyProtection="0"/>
    <xf numFmtId="0" fontId="182" fillId="0" borderId="0" applyNumberFormat="0" applyFill="0" applyAlignment="0"/>
    <xf numFmtId="0" fontId="183" fillId="0" borderId="125" applyNumberFormat="0" applyFont="0" applyFill="0" applyAlignment="0"/>
    <xf numFmtId="248"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21" fillId="63" borderId="126" applyNumberFormat="0" applyAlignment="0" applyProtection="0"/>
    <xf numFmtId="0" fontId="185" fillId="0" borderId="0" applyNumberFormat="0" applyFill="0" applyBorder="0" applyAlignment="0">
      <alignment horizontal="right"/>
    </xf>
    <xf numFmtId="38" fontId="186"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7" fillId="110"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8" fillId="110"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7"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58" fillId="0" borderId="0" applyFont="0" applyFill="0" applyBorder="0" applyAlignment="0" applyProtection="0"/>
    <xf numFmtId="250" fontId="189" fillId="0" borderId="0"/>
    <xf numFmtId="0" fontId="190" fillId="0" borderId="127"/>
    <xf numFmtId="251" fontId="2" fillId="0" borderId="0"/>
    <xf numFmtId="0" fontId="190" fillId="0" borderId="128"/>
    <xf numFmtId="0"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81" fillId="108" borderId="129">
      <alignment horizontal="center" vertical="center"/>
    </xf>
    <xf numFmtId="0" fontId="181" fillId="108" borderId="129">
      <alignment horizontal="center" vertical="center"/>
    </xf>
    <xf numFmtId="0" fontId="194" fillId="0" borderId="0" applyProtection="0">
      <alignment horizontal="center"/>
    </xf>
    <xf numFmtId="0" fontId="194"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45" fillId="0" borderId="0" applyNumberFormat="0" applyFill="0" applyBorder="0" applyAlignment="0" applyProtection="0"/>
    <xf numFmtId="0" fontId="2" fillId="0" borderId="94" applyNumberFormat="0" applyFill="0" applyAlignment="0" applyProtection="0"/>
    <xf numFmtId="0" fontId="2" fillId="0" borderId="94" applyNumberFormat="0" applyFill="0" applyAlignment="0" applyProtection="0"/>
    <xf numFmtId="0" fontId="2" fillId="0" borderId="94" applyNumberFormat="0" applyFill="0" applyAlignment="0" applyProtection="0"/>
    <xf numFmtId="0" fontId="2" fillId="0" borderId="94" applyNumberFormat="0" applyFill="0" applyAlignment="0" applyProtection="0"/>
    <xf numFmtId="0" fontId="2" fillId="0" borderId="94" applyNumberFormat="0" applyFill="0" applyAlignment="0" applyProtection="0"/>
    <xf numFmtId="0" fontId="2" fillId="0" borderId="94" applyNumberFormat="0" applyFill="0" applyAlignment="0" applyProtection="0"/>
    <xf numFmtId="0" fontId="2" fillId="0" borderId="94" applyNumberFormat="0" applyFill="0" applyAlignment="0" applyProtection="0"/>
    <xf numFmtId="0" fontId="2" fillId="0" borderId="94" applyNumberFormat="0" applyFill="0" applyAlignment="0" applyProtection="0"/>
    <xf numFmtId="172" fontId="158" fillId="0" borderId="0">
      <alignment vertical="top"/>
    </xf>
    <xf numFmtId="172" fontId="158" fillId="0" borderId="0">
      <alignment vertical="top"/>
    </xf>
    <xf numFmtId="172" fontId="158" fillId="0" borderId="0">
      <alignment vertical="top"/>
    </xf>
    <xf numFmtId="0" fontId="45" fillId="0" borderId="0" applyNumberFormat="0" applyFill="0" applyBorder="0" applyProtection="0">
      <alignment horizontal="right"/>
    </xf>
    <xf numFmtId="172" fontId="197" fillId="0" borderId="0">
      <alignment horizontal="right"/>
    </xf>
    <xf numFmtId="172" fontId="197" fillId="0" borderId="0">
      <alignment horizontal="right"/>
    </xf>
    <xf numFmtId="172" fontId="197" fillId="0" borderId="0">
      <alignment horizontal="right"/>
    </xf>
    <xf numFmtId="0" fontId="197" fillId="0" borderId="0">
      <alignment horizontal="left"/>
    </xf>
    <xf numFmtId="0" fontId="198" fillId="74" borderId="0" applyNumberFormat="0" applyBorder="0" applyAlignment="0" applyProtection="0"/>
    <xf numFmtId="252" fontId="102" fillId="0" borderId="124" applyNumberFormat="0" applyFont="0" applyFill="0" applyAlignment="0">
      <alignment vertical="center"/>
    </xf>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252" fontId="102" fillId="0" borderId="124" applyNumberFormat="0" applyFont="0" applyFill="0" applyAlignment="0">
      <alignment vertical="center"/>
    </xf>
    <xf numFmtId="0" fontId="102" fillId="0" borderId="124" applyNumberFormat="0" applyFont="0" applyFill="0"/>
    <xf numFmtId="0" fontId="102" fillId="0" borderId="124" applyNumberFormat="0" applyFont="0" applyFill="0"/>
    <xf numFmtId="252" fontId="102" fillId="0" borderId="124" applyNumberFormat="0" applyFont="0" applyFill="0" applyAlignment="0">
      <alignment vertical="center"/>
    </xf>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102" fillId="0" borderId="124" applyNumberFormat="0" applyFont="0" applyFill="0"/>
    <xf numFmtId="0" fontId="2" fillId="72" borderId="0"/>
    <xf numFmtId="0" fontId="199" fillId="0" borderId="1" applyNumberFormat="0" applyFont="0" applyFill="0" applyAlignment="0" applyProtection="0"/>
    <xf numFmtId="0" fontId="199" fillId="0" borderId="130" applyNumberFormat="0" applyFont="0" applyFill="0" applyAlignment="0" applyProtection="0"/>
    <xf numFmtId="0" fontId="147" fillId="0" borderId="94" applyNumberFormat="0" applyFont="0" applyFill="0" applyAlignment="0" applyProtection="0"/>
    <xf numFmtId="0" fontId="147" fillId="0" borderId="94" applyNumberFormat="0" applyFont="0" applyFill="0" applyAlignment="0" applyProtection="0"/>
    <xf numFmtId="0" fontId="147" fillId="0" borderId="62" applyNumberFormat="0" applyFont="0" applyFill="0" applyAlignment="0" applyProtection="0"/>
    <xf numFmtId="0" fontId="147" fillId="0" borderId="62" applyNumberFormat="0" applyFont="0" applyFill="0" applyAlignment="0" applyProtection="0"/>
    <xf numFmtId="0" fontId="147" fillId="0" borderId="62" applyNumberFormat="0" applyFont="0" applyFill="0" applyAlignment="0" applyProtection="0"/>
    <xf numFmtId="0" fontId="147" fillId="0" borderId="60" applyNumberFormat="0" applyFont="0" applyFill="0" applyAlignment="0" applyProtection="0"/>
    <xf numFmtId="0" fontId="147" fillId="0" borderId="60" applyNumberFormat="0" applyFont="0" applyFill="0" applyAlignment="0" applyProtection="0"/>
    <xf numFmtId="0" fontId="147" fillId="0" borderId="90" applyNumberFormat="0" applyFont="0" applyFill="0" applyAlignment="0" applyProtection="0"/>
    <xf numFmtId="0" fontId="147" fillId="0" borderId="90" applyNumberFormat="0" applyFont="0" applyFill="0" applyAlignment="0" applyProtection="0"/>
    <xf numFmtId="0" fontId="147" fillId="0" borderId="90" applyNumberFormat="0" applyFont="0" applyFill="0" applyAlignment="0" applyProtection="0"/>
    <xf numFmtId="0" fontId="147" fillId="0" borderId="90" applyNumberFormat="0" applyFont="0" applyFill="0" applyAlignment="0" applyProtection="0"/>
    <xf numFmtId="0" fontId="147" fillId="0" borderId="90" applyNumberFormat="0" applyFont="0" applyFill="0" applyAlignment="0" applyProtection="0"/>
    <xf numFmtId="0" fontId="147" fillId="0" borderId="90" applyNumberFormat="0" applyFont="0" applyFill="0" applyAlignment="0" applyProtection="0"/>
    <xf numFmtId="253" fontId="2" fillId="0" borderId="68">
      <alignment horizontal="left"/>
    </xf>
    <xf numFmtId="253" fontId="2" fillId="0" borderId="68">
      <alignment horizontal="left"/>
    </xf>
    <xf numFmtId="253" fontId="2" fillId="0" borderId="68">
      <alignment horizontal="left"/>
    </xf>
    <xf numFmtId="253" fontId="2" fillId="0" borderId="68">
      <alignment horizontal="left"/>
    </xf>
    <xf numFmtId="253" fontId="2" fillId="0" borderId="68">
      <alignment horizontal="left"/>
    </xf>
    <xf numFmtId="253" fontId="2" fillId="0" borderId="68">
      <alignment horizontal="left"/>
    </xf>
    <xf numFmtId="253" fontId="2" fillId="0" borderId="68">
      <alignment horizontal="left"/>
    </xf>
    <xf numFmtId="253" fontId="2" fillId="0" borderId="68">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0" fontId="29"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5"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21"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6" fontId="8"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0" fontId="8"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7" fontId="8"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8" fontId="200"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5"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4" fontId="8"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44" fontId="8"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6" fontId="8"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9" fontId="200"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5"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21"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0" fontId="21" fillId="63"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3" borderId="126" applyNumberFormat="0" applyAlignment="0" applyProtection="0"/>
    <xf numFmtId="0" fontId="21" fillId="68" borderId="126" applyNumberFormat="0" applyAlignment="0" applyProtection="0"/>
    <xf numFmtId="0" fontId="21" fillId="68" borderId="126" applyNumberFormat="0" applyAlignment="0" applyProtection="0"/>
    <xf numFmtId="0" fontId="21" fillId="63" borderId="126" applyNumberFormat="0" applyAlignment="0" applyProtection="0"/>
    <xf numFmtId="0" fontId="21" fillId="63" borderId="126" applyNumberFormat="0" applyAlignment="0" applyProtection="0"/>
    <xf numFmtId="0" fontId="21" fillId="63" borderId="126" applyNumberFormat="0" applyAlignment="0" applyProtection="0"/>
    <xf numFmtId="0" fontId="21" fillId="68" borderId="126" applyNumberFormat="0" applyAlignment="0" applyProtection="0"/>
    <xf numFmtId="0" fontId="21" fillId="63" borderId="126" applyNumberFormat="0" applyAlignment="0" applyProtection="0"/>
    <xf numFmtId="0" fontId="21" fillId="63" borderId="126" applyNumberFormat="0" applyAlignment="0" applyProtection="0"/>
    <xf numFmtId="0" fontId="201" fillId="109" borderId="126" applyNumberFormat="0" applyAlignment="0" applyProtection="0"/>
    <xf numFmtId="0" fontId="143" fillId="8" borderId="27" applyNumberFormat="0" applyAlignment="0" applyProtection="0"/>
    <xf numFmtId="3" fontId="45" fillId="41" borderId="62">
      <protection hidden="1"/>
    </xf>
    <xf numFmtId="0" fontId="201" fillId="109" borderId="126" applyNumberFormat="0" applyAlignment="0" applyProtection="0"/>
    <xf numFmtId="0" fontId="23" fillId="63" borderId="126" applyNumberFormat="0" applyAlignment="0" applyProtection="0"/>
    <xf numFmtId="0" fontId="23" fillId="63" borderId="126" applyNumberFormat="0" applyAlignment="0" applyProtection="0"/>
    <xf numFmtId="0" fontId="23" fillId="63" borderId="126" applyNumberFormat="0" applyAlignment="0" applyProtection="0"/>
    <xf numFmtId="0" fontId="23" fillId="63"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01" fillId="109" borderId="126" applyNumberFormat="0" applyAlignment="0" applyProtection="0"/>
    <xf numFmtId="0" fontId="23" fillId="63" borderId="126" applyNumberFormat="0" applyAlignment="0" applyProtection="0"/>
    <xf numFmtId="0" fontId="23" fillId="63" borderId="126" applyNumberFormat="0" applyAlignment="0" applyProtection="0"/>
    <xf numFmtId="0" fontId="201" fillId="109" borderId="126" applyNumberFormat="0" applyAlignment="0" applyProtection="0"/>
    <xf numFmtId="0" fontId="201" fillId="109" borderId="126" applyNumberFormat="0" applyAlignment="0" applyProtection="0"/>
    <xf numFmtId="0" fontId="23" fillId="63" borderId="126" applyNumberFormat="0" applyAlignment="0" applyProtection="0"/>
    <xf numFmtId="0" fontId="23" fillId="63" borderId="126" applyNumberFormat="0" applyAlignment="0" applyProtection="0"/>
    <xf numFmtId="0" fontId="23" fillId="63" borderId="126" applyNumberFormat="0" applyAlignment="0" applyProtection="0"/>
    <xf numFmtId="0"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40" fontId="147" fillId="0" borderId="0" applyFont="0" applyFill="0" applyBorder="0" applyAlignment="0" applyProtection="0"/>
    <xf numFmtId="40" fontId="147"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0" applyNumberFormat="0" applyFill="0" applyAlignment="0" applyProtection="0"/>
    <xf numFmtId="0" fontId="24" fillId="64"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24" fillId="113" borderId="35" applyNumberFormat="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2" fillId="0" borderId="62" applyBorder="0"/>
    <xf numFmtId="260" fontId="203" fillId="0" borderId="0"/>
    <xf numFmtId="0" fontId="26" fillId="64" borderId="35" applyNumberFormat="0" applyAlignment="0" applyProtection="0"/>
    <xf numFmtId="0" fontId="26" fillId="64" borderId="35" applyNumberFormat="0" applyAlignment="0" applyProtection="0"/>
    <xf numFmtId="0" fontId="26" fillId="64" borderId="35" applyNumberFormat="0" applyAlignment="0" applyProtection="0"/>
    <xf numFmtId="0" fontId="26" fillId="64" borderId="35" applyNumberFormat="0" applyAlignment="0" applyProtection="0"/>
    <xf numFmtId="0" fontId="26" fillId="113" borderId="35" applyNumberFormat="0" applyAlignment="0" applyProtection="0"/>
    <xf numFmtId="0" fontId="26" fillId="113" borderId="35" applyNumberFormat="0" applyAlignment="0" applyProtection="0"/>
    <xf numFmtId="0" fontId="26" fillId="113" borderId="35" applyNumberFormat="0" applyAlignment="0" applyProtection="0"/>
    <xf numFmtId="0" fontId="26" fillId="113" borderId="35" applyNumberFormat="0" applyAlignment="0" applyProtection="0"/>
    <xf numFmtId="0" fontId="24" fillId="64" borderId="35" applyNumberFormat="0" applyAlignment="0" applyProtection="0"/>
    <xf numFmtId="0" fontId="24" fillId="64" borderId="35" applyNumberFormat="0" applyAlignment="0" applyProtection="0"/>
    <xf numFmtId="0" fontId="26" fillId="64" borderId="35" applyNumberFormat="0" applyAlignment="0" applyProtection="0"/>
    <xf numFmtId="0" fontId="26" fillId="64" borderId="35" applyNumberFormat="0" applyAlignment="0" applyProtection="0"/>
    <xf numFmtId="0" fontId="26" fillId="64" borderId="35" applyNumberFormat="0" applyAlignment="0" applyProtection="0"/>
    <xf numFmtId="0" fontId="26" fillId="64" borderId="35" applyNumberFormat="0" applyAlignment="0" applyProtection="0"/>
    <xf numFmtId="0" fontId="26" fillId="64" borderId="35" applyNumberFormat="0" applyAlignment="0" applyProtection="0"/>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vertical="center"/>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xf>
    <xf numFmtId="3" fontId="204" fillId="69" borderId="106" applyFont="0" applyFill="0" applyProtection="0">
      <alignment horizontal="right" vertical="center"/>
    </xf>
    <xf numFmtId="10" fontId="205" fillId="0" borderId="0">
      <alignment vertical="center"/>
    </xf>
    <xf numFmtId="3" fontId="205"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6" fillId="0" borderId="131"/>
    <xf numFmtId="201" fontId="207" fillId="0" borderId="0" applyFont="0" applyFill="0" applyBorder="0" applyAlignment="0" applyProtection="0"/>
    <xf numFmtId="0" fontId="208" fillId="0" borderId="0"/>
    <xf numFmtId="0" fontId="208" fillId="0" borderId="0"/>
    <xf numFmtId="0" fontId="208" fillId="0" borderId="0"/>
    <xf numFmtId="0" fontId="208" fillId="0" borderId="0"/>
    <xf numFmtId="261" fontId="2" fillId="0" borderId="0"/>
    <xf numFmtId="261" fontId="2" fillId="0" borderId="0"/>
    <xf numFmtId="261" fontId="2" fillId="0" borderId="0"/>
    <xf numFmtId="261" fontId="2" fillId="0" borderId="0"/>
    <xf numFmtId="217" fontId="209" fillId="0" borderId="0">
      <alignment horizontal="right" vertical="center" wrapText="1"/>
    </xf>
    <xf numFmtId="217" fontId="209" fillId="0" borderId="0">
      <alignment horizontal="right" vertical="center" wrapText="1"/>
    </xf>
    <xf numFmtId="217" fontId="209"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44" fontId="8"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38" fontId="210"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1" fillId="0" borderId="0">
      <alignment horizontal="center"/>
      <protection locked="0"/>
    </xf>
    <xf numFmtId="0" fontId="2" fillId="0" borderId="0" applyFont="0" applyFill="0" applyBorder="0" applyAlignment="0" applyProtection="0"/>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0" fillId="0" borderId="0" applyFont="0" applyFill="0" applyBorder="0" applyAlignment="0" applyProtection="0">
      <alignment horizontal="right"/>
    </xf>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3" fontId="16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0" fillId="0" borderId="0" applyFont="0" applyFill="0" applyBorder="0" applyAlignment="0" applyProtection="0">
      <alignment horizontal="right"/>
    </xf>
    <xf numFmtId="264" fontId="160" fillId="0" borderId="0" applyFont="0" applyFill="0" applyBorder="0" applyAlignment="0" applyProtection="0">
      <alignment horizontal="right"/>
    </xf>
    <xf numFmtId="166" fontId="2" fillId="0" borderId="0" applyFont="0" applyFill="0" applyBorder="0" applyAlignment="0" applyProtection="0"/>
    <xf numFmtId="264" fontId="160" fillId="0" borderId="0" applyFont="0" applyFill="0" applyBorder="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Alignment="0" applyProtection="0">
      <alignment horizontal="right"/>
    </xf>
    <xf numFmtId="264" fontId="160" fillId="0" borderId="0" applyFont="0" applyFill="0" applyBorder="0" applyProtection="0"/>
    <xf numFmtId="264" fontId="160"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64" fontId="160" fillId="0" borderId="0" applyFont="0" applyFill="0" applyBorder="0" applyAlignment="0" applyProtection="0">
      <alignment horizontal="right"/>
    </xf>
    <xf numFmtId="264" fontId="160"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15">
      <alignment vertical="center"/>
    </xf>
    <xf numFmtId="221" fontId="146" fillId="0" borderId="0" applyFont="0" applyFill="0" applyBorder="0" applyAlignment="0" applyProtection="0"/>
    <xf numFmtId="221" fontId="146" fillId="0" borderId="0" applyFont="0" applyFill="0" applyBorder="0" applyAlignment="0" applyProtection="0"/>
    <xf numFmtId="3" fontId="207" fillId="0" borderId="115">
      <alignment vertical="center"/>
    </xf>
    <xf numFmtId="39"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15">
      <alignment vertical="center"/>
    </xf>
    <xf numFmtId="0"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15">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3" fillId="111" borderId="0" applyBorder="0">
      <alignment horizontal="left"/>
    </xf>
    <xf numFmtId="0" fontId="214" fillId="114" borderId="0" applyNumberFormat="0" applyBorder="0">
      <alignment horizontal="left"/>
    </xf>
    <xf numFmtId="0" fontId="29"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9" fillId="73" borderId="132" applyNumberFormat="0" applyFont="0" applyAlignment="0" applyProtection="0"/>
    <xf numFmtId="0" fontId="29" fillId="73" borderId="132" applyNumberFormat="0" applyFont="0" applyAlignment="0" applyProtection="0"/>
    <xf numFmtId="0" fontId="29" fillId="73" borderId="132" applyNumberFormat="0" applyFont="0" applyAlignment="0" applyProtection="0"/>
    <xf numFmtId="3" fontId="207" fillId="0" borderId="115">
      <alignment vertical="center"/>
    </xf>
    <xf numFmtId="0" fontId="29" fillId="73" borderId="132" applyNumberFormat="0" applyFont="0" applyAlignment="0" applyProtection="0"/>
    <xf numFmtId="0" fontId="29"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71" fillId="73" borderId="132"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5" fillId="0" borderId="0" applyFill="0" applyBorder="0">
      <alignment horizontal="left"/>
    </xf>
    <xf numFmtId="0" fontId="216" fillId="115" borderId="0"/>
    <xf numFmtId="0" fontId="24" fillId="64" borderId="35"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7" fillId="0" borderId="0" applyNumberFormat="0" applyAlignment="0">
      <alignment horizontal="left"/>
    </xf>
    <xf numFmtId="0" fontId="218" fillId="0" borderId="110" applyNumberFormat="0" applyFill="0" applyBorder="0" applyAlignment="0" applyProtection="0">
      <alignment horizontal="center"/>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8" fillId="0" borderId="110" applyNumberFormat="0" applyFill="0" applyBorder="0" applyAlignment="0" applyProtection="0">
      <alignment horizontal="center"/>
      <protection locked="0"/>
    </xf>
    <xf numFmtId="0" fontId="218" fillId="0" borderId="110" applyNumberFormat="0" applyFill="0" applyBorder="0" applyAlignment="0" applyProtection="0">
      <alignment horizontal="center"/>
      <protection locked="0"/>
    </xf>
    <xf numFmtId="3" fontId="207" fillId="0" borderId="115">
      <alignment vertical="center"/>
    </xf>
    <xf numFmtId="0" fontId="218" fillId="0" borderId="110" applyNumberFormat="0" applyFill="0" applyBorder="0" applyAlignment="0" applyProtection="0">
      <alignment horizontal="center"/>
      <protection locked="0"/>
    </xf>
    <xf numFmtId="0" fontId="218" fillId="0" borderId="110" applyNumberFormat="0" applyFill="0" applyBorder="0" applyAlignment="0" applyProtection="0">
      <alignment horizontal="center"/>
      <protection locked="0"/>
    </xf>
    <xf numFmtId="3" fontId="207" fillId="0" borderId="115">
      <alignment vertical="center"/>
    </xf>
    <xf numFmtId="0" fontId="219" fillId="0" borderId="110" applyNumberFormat="0" applyFill="0" applyBorder="0">
      <protection locked="0"/>
    </xf>
    <xf numFmtId="0" fontId="219" fillId="0" borderId="110" applyNumberFormat="0" applyFill="0" applyBorder="0">
      <protection locked="0"/>
    </xf>
    <xf numFmtId="3" fontId="207" fillId="0" borderId="115">
      <alignment vertical="center"/>
    </xf>
    <xf numFmtId="0" fontId="219" fillId="0" borderId="110" applyNumberFormat="0" applyFill="0" applyBorder="0">
      <protection locked="0"/>
    </xf>
    <xf numFmtId="0" fontId="219" fillId="0" borderId="110" applyNumberFormat="0" applyFill="0" applyBorder="0">
      <protection locked="0"/>
    </xf>
    <xf numFmtId="3" fontId="207" fillId="0" borderId="115">
      <alignment vertical="center"/>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0" fontId="219" fillId="0" borderId="110" applyNumberFormat="0" applyFill="0" applyBorder="0">
      <protection locked="0"/>
    </xf>
    <xf numFmtId="3" fontId="207" fillId="0" borderId="115">
      <alignment vertical="center"/>
    </xf>
    <xf numFmtId="3" fontId="220" fillId="0" borderId="133" applyNumberFormat="0" applyAlignment="0">
      <alignment vertical="center"/>
    </xf>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3" fontId="207" fillId="0" borderId="115">
      <alignment vertical="center"/>
    </xf>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20" fillId="0" borderId="133" applyNumberFormat="0"/>
    <xf numFmtId="0" fontId="2" fillId="0" borderId="0" applyFont="0" applyFill="0" applyBorder="0" applyAlignment="0" applyProtection="0"/>
    <xf numFmtId="265" fontId="221"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7" fillId="0" borderId="115">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15">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21" fontId="8"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3" fontId="207" fillId="0" borderId="115">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0" fillId="0" borderId="0" applyFont="0" applyFill="0" applyBorder="0" applyAlignment="0" applyProtection="0">
      <alignment horizontal="right"/>
    </xf>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267" fontId="160" fillId="0" borderId="0" applyFont="0" applyFill="0" applyBorder="0" applyAlignment="0" applyProtection="0">
      <alignment horizontal="right"/>
    </xf>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267" fontId="160" fillId="0" borderId="0" applyFont="0" applyFill="0" applyBorder="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3" fontId="207" fillId="0" borderId="115">
      <alignment vertical="center"/>
    </xf>
    <xf numFmtId="3" fontId="207" fillId="0" borderId="115">
      <alignment vertical="center"/>
    </xf>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0" fillId="0" borderId="0" applyFont="0" applyFill="0" applyBorder="0" applyProtection="0"/>
    <xf numFmtId="3" fontId="207" fillId="0" borderId="115">
      <alignment vertical="center"/>
    </xf>
    <xf numFmtId="3" fontId="207" fillId="0" borderId="115">
      <alignment vertical="center"/>
    </xf>
    <xf numFmtId="267" fontId="160" fillId="0" borderId="0" applyFont="0" applyFill="0" applyBorder="0" applyProtection="0"/>
    <xf numFmtId="267" fontId="160" fillId="0" borderId="0" applyFont="0" applyFill="0" applyBorder="0" applyProtection="0"/>
    <xf numFmtId="3" fontId="207" fillId="0" borderId="115">
      <alignment vertical="center"/>
    </xf>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3" fontId="207" fillId="0" borderId="115">
      <alignment vertical="center"/>
    </xf>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267" fontId="160" fillId="0" borderId="0" applyFont="0" applyFill="0" applyBorder="0" applyProtection="0"/>
    <xf numFmtId="3" fontId="207" fillId="0" borderId="115">
      <alignment vertical="center"/>
    </xf>
    <xf numFmtId="267" fontId="160" fillId="0" borderId="0" applyFont="0" applyFill="0" applyBorder="0" applyProtection="0"/>
    <xf numFmtId="267" fontId="160" fillId="0" borderId="0" applyFont="0" applyFill="0" applyBorder="0" applyProtection="0"/>
    <xf numFmtId="3" fontId="207" fillId="0" borderId="115">
      <alignment vertical="center"/>
    </xf>
    <xf numFmtId="197" fontId="2" fillId="0" borderId="0" applyFont="0" applyFill="0" applyBorder="0" applyAlignment="0" applyProtection="0"/>
    <xf numFmtId="3" fontId="207" fillId="0" borderId="115">
      <alignment vertical="center"/>
    </xf>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267" fontId="160" fillId="0" borderId="0" applyFont="0" applyFill="0" applyBorder="0" applyProtection="0"/>
    <xf numFmtId="197" fontId="2" fillId="0" borderId="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15">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7" fillId="0" borderId="115">
      <alignment vertical="center"/>
    </xf>
    <xf numFmtId="3" fontId="207" fillId="0" borderId="115">
      <alignment vertical="center"/>
    </xf>
    <xf numFmtId="268" fontId="222" fillId="0" borderId="0"/>
    <xf numFmtId="0" fontId="2" fillId="0" borderId="0" applyNumberFormat="0" applyFont="0" applyFill="0" applyBorder="0" applyAlignment="0" applyProtection="0"/>
    <xf numFmtId="268" fontId="222" fillId="0" borderId="0"/>
    <xf numFmtId="3" fontId="207" fillId="0" borderId="115">
      <alignment vertical="center"/>
    </xf>
    <xf numFmtId="268" fontId="222" fillId="0" borderId="0"/>
    <xf numFmtId="3" fontId="207" fillId="0" borderId="115">
      <alignment vertical="center"/>
    </xf>
    <xf numFmtId="268" fontId="222" fillId="0" borderId="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268" fontId="222" fillId="0" borderId="0"/>
    <xf numFmtId="268" fontId="222" fillId="0" borderId="0"/>
    <xf numFmtId="3" fontId="207" fillId="0" borderId="115">
      <alignment vertical="center"/>
    </xf>
    <xf numFmtId="3" fontId="207" fillId="0" borderId="115">
      <alignment vertical="center"/>
    </xf>
    <xf numFmtId="0" fontId="222" fillId="0" borderId="0"/>
    <xf numFmtId="0" fontId="2" fillId="0" borderId="0" applyNumberFormat="0" applyFont="0" applyFill="0" applyBorder="0" applyAlignment="0" applyProtection="0"/>
    <xf numFmtId="3" fontId="207" fillId="0" borderId="115">
      <alignment vertical="center"/>
    </xf>
    <xf numFmtId="0" fontId="222" fillId="0" borderId="0"/>
    <xf numFmtId="3" fontId="207" fillId="0" borderId="115">
      <alignment vertical="center"/>
    </xf>
    <xf numFmtId="0" fontId="222" fillId="0" borderId="0"/>
    <xf numFmtId="3" fontId="207" fillId="0" borderId="115">
      <alignment vertical="center"/>
    </xf>
    <xf numFmtId="0" fontId="222" fillId="0" borderId="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22" fillId="0" borderId="0"/>
    <xf numFmtId="0" fontId="222" fillId="0" borderId="0"/>
    <xf numFmtId="3" fontId="207" fillId="0" borderId="115">
      <alignment vertical="center"/>
    </xf>
    <xf numFmtId="3" fontId="207" fillId="0" borderId="115">
      <alignment vertical="center"/>
    </xf>
    <xf numFmtId="0" fontId="222" fillId="0" borderId="0"/>
    <xf numFmtId="3" fontId="207" fillId="0" borderId="115">
      <alignment vertical="center"/>
    </xf>
    <xf numFmtId="0" fontId="222" fillId="0" borderId="0"/>
    <xf numFmtId="0" fontId="222" fillId="0" borderId="0"/>
    <xf numFmtId="3" fontId="207" fillId="0" borderId="115">
      <alignment vertical="center"/>
    </xf>
    <xf numFmtId="3" fontId="207" fillId="0" borderId="115">
      <alignment vertical="center"/>
    </xf>
    <xf numFmtId="0" fontId="222" fillId="0" borderId="0"/>
    <xf numFmtId="3" fontId="207" fillId="0" borderId="115">
      <alignment vertical="center"/>
    </xf>
    <xf numFmtId="268" fontId="222" fillId="0" borderId="0"/>
    <xf numFmtId="3" fontId="207" fillId="0" borderId="115">
      <alignment vertical="center"/>
    </xf>
    <xf numFmtId="268" fontId="222" fillId="0" borderId="0"/>
    <xf numFmtId="268" fontId="222" fillId="0" borderId="0"/>
    <xf numFmtId="3" fontId="207" fillId="0" borderId="115">
      <alignment vertical="center"/>
    </xf>
    <xf numFmtId="3" fontId="207" fillId="0" borderId="115">
      <alignment vertical="center"/>
    </xf>
    <xf numFmtId="0" fontId="222" fillId="0" borderId="0"/>
    <xf numFmtId="0" fontId="222" fillId="0" borderId="0"/>
    <xf numFmtId="3" fontId="207" fillId="0" borderId="115">
      <alignment vertical="center"/>
    </xf>
    <xf numFmtId="0" fontId="222" fillId="0" borderId="0"/>
    <xf numFmtId="3" fontId="207" fillId="0" borderId="115">
      <alignment vertical="center"/>
    </xf>
    <xf numFmtId="0" fontId="222" fillId="0" borderId="0"/>
    <xf numFmtId="3" fontId="207" fillId="0" borderId="115">
      <alignment vertical="center"/>
    </xf>
    <xf numFmtId="0" fontId="222" fillId="0" borderId="0"/>
    <xf numFmtId="3" fontId="207" fillId="0" borderId="115">
      <alignment vertical="center"/>
    </xf>
    <xf numFmtId="3" fontId="207" fillId="0" borderId="115">
      <alignment vertical="center"/>
    </xf>
    <xf numFmtId="0" fontId="222" fillId="0" borderId="0"/>
    <xf numFmtId="3" fontId="207" fillId="0" borderId="115">
      <alignment vertical="center"/>
    </xf>
    <xf numFmtId="0" fontId="222" fillId="0" borderId="0"/>
    <xf numFmtId="0" fontId="222" fillId="0" borderId="0"/>
    <xf numFmtId="3" fontId="207" fillId="0" borderId="115">
      <alignment vertical="center"/>
    </xf>
    <xf numFmtId="3" fontId="207" fillId="0" borderId="115">
      <alignment vertical="center"/>
    </xf>
    <xf numFmtId="0" fontId="222" fillId="0" borderId="0"/>
    <xf numFmtId="3" fontId="207" fillId="0" borderId="115">
      <alignment vertical="center"/>
    </xf>
    <xf numFmtId="268" fontId="222" fillId="0" borderId="0"/>
    <xf numFmtId="268" fontId="222" fillId="0" borderId="0"/>
    <xf numFmtId="3" fontId="207" fillId="0" borderId="115">
      <alignment vertical="center"/>
    </xf>
    <xf numFmtId="268" fontId="222" fillId="0" borderId="0"/>
    <xf numFmtId="3" fontId="207" fillId="0" borderId="115">
      <alignment vertical="center"/>
    </xf>
    <xf numFmtId="268" fontId="222" fillId="0" borderId="0"/>
    <xf numFmtId="3" fontId="207" fillId="0" borderId="115">
      <alignment vertical="center"/>
    </xf>
    <xf numFmtId="268" fontId="222" fillId="0" borderId="0"/>
    <xf numFmtId="3" fontId="207" fillId="0" borderId="115">
      <alignment vertical="center"/>
    </xf>
    <xf numFmtId="3" fontId="207" fillId="0" borderId="115">
      <alignment vertical="center"/>
    </xf>
    <xf numFmtId="268" fontId="222" fillId="0" borderId="0"/>
    <xf numFmtId="3" fontId="207" fillId="0" borderId="115">
      <alignment vertical="center"/>
    </xf>
    <xf numFmtId="268" fontId="222" fillId="0" borderId="0"/>
    <xf numFmtId="268" fontId="222" fillId="0" borderId="0"/>
    <xf numFmtId="3" fontId="207" fillId="0" borderId="115">
      <alignment vertical="center"/>
    </xf>
    <xf numFmtId="3" fontId="207" fillId="0" borderId="115">
      <alignment vertical="center"/>
    </xf>
    <xf numFmtId="268" fontId="222" fillId="0" borderId="0"/>
    <xf numFmtId="3" fontId="207" fillId="0" borderId="115">
      <alignment vertical="center"/>
    </xf>
    <xf numFmtId="268" fontId="222" fillId="0" borderId="0"/>
    <xf numFmtId="3" fontId="207" fillId="0" borderId="115">
      <alignment vertical="center"/>
    </xf>
    <xf numFmtId="0" fontId="223" fillId="0" borderId="0" applyNumberFormat="0" applyFont="0" applyBorder="0" applyAlignment="0"/>
    <xf numFmtId="0" fontId="223"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34" applyNumberFormat="0" applyFont="0" applyBorder="0" applyAlignment="0" applyProtection="0">
      <alignment horizontal="centerContinuous"/>
    </xf>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2" fillId="0" borderId="0" applyNumberFormat="0" applyFont="0" applyFill="0" applyBorder="0" applyAlignment="0" applyProtection="0"/>
    <xf numFmtId="0" fontId="9" fillId="69" borderId="134" applyNumberFormat="0" applyFont="0" applyBorder="0" applyProtection="0"/>
    <xf numFmtId="3" fontId="207" fillId="0" borderId="115">
      <alignment vertical="center"/>
    </xf>
    <xf numFmtId="0" fontId="2" fillId="0" borderId="0" applyNumberFormat="0" applyFont="0" applyFill="0" applyBorder="0" applyAlignment="0" applyProtection="0"/>
    <xf numFmtId="0" fontId="9" fillId="69" borderId="134" applyNumberFormat="0" applyFont="0" applyBorder="0" applyProtection="0"/>
    <xf numFmtId="3" fontId="207" fillId="0" borderId="115">
      <alignment vertical="center"/>
    </xf>
    <xf numFmtId="0" fontId="9" fillId="69" borderId="134" applyNumberFormat="0" applyFont="0" applyBorder="0" applyProtection="0"/>
    <xf numFmtId="0" fontId="9" fillId="69" borderId="134" applyNumberFormat="0" applyFont="0" applyBorder="0" applyProtection="0"/>
    <xf numFmtId="3" fontId="207" fillId="0" borderId="115">
      <alignment vertical="center"/>
    </xf>
    <xf numFmtId="0" fontId="9" fillId="69" borderId="134" applyNumberFormat="0" applyFont="0" applyBorder="0" applyProtection="0"/>
    <xf numFmtId="0" fontId="9" fillId="69" borderId="134" applyNumberFormat="0" applyFont="0" applyBorder="0" applyProtection="0"/>
    <xf numFmtId="3" fontId="207" fillId="0" borderId="115">
      <alignment vertical="center"/>
    </xf>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0" fontId="9" fillId="69" borderId="134"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7" fillId="0" borderId="115">
      <alignment vertical="center"/>
    </xf>
    <xf numFmtId="0" fontId="185" fillId="0" borderId="0" applyNumberFormat="0" applyBorder="0" applyAlignment="0">
      <alignment horizontal="center"/>
    </xf>
    <xf numFmtId="0" fontId="185" fillId="117" borderId="0" applyNumberFormat="0" applyBorder="0" applyAlignment="0">
      <alignment horizontal="center"/>
    </xf>
    <xf numFmtId="0" fontId="181" fillId="118" borderId="0" applyNumberFormat="0" applyBorder="0" applyAlignment="0"/>
    <xf numFmtId="0" fontId="224"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25" fillId="119" borderId="89" applyNumberFormat="0" applyBorder="0">
      <alignment horizontal="left"/>
    </xf>
    <xf numFmtId="0" fontId="225" fillId="119" borderId="89" applyNumberFormat="0" applyBorder="0">
      <alignment horizontal="left"/>
    </xf>
    <xf numFmtId="3" fontId="207" fillId="0" borderId="115">
      <alignment vertical="center"/>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0" fontId="225" fillId="119" borderId="89" applyNumberFormat="0" applyBorder="0">
      <alignment horizontal="left"/>
    </xf>
    <xf numFmtId="3" fontId="207" fillId="0" borderId="115">
      <alignment vertical="center"/>
    </xf>
    <xf numFmtId="14" fontId="226" fillId="0" borderId="0"/>
    <xf numFmtId="271" fontId="209" fillId="0" borderId="0">
      <alignment horizontal="left" vertical="center" wrapText="1"/>
    </xf>
    <xf numFmtId="271" fontId="209" fillId="0" borderId="0">
      <alignment horizontal="left" vertical="center" wrapText="1"/>
    </xf>
    <xf numFmtId="271" fontId="209" fillId="0" borderId="0">
      <alignment horizontal="left" vertical="center" wrapText="1"/>
    </xf>
    <xf numFmtId="17" fontId="209" fillId="0" borderId="0">
      <alignment horizontal="left" vertical="center" wrapText="1"/>
    </xf>
    <xf numFmtId="0" fontId="2" fillId="0" borderId="0" applyNumberFormat="0" applyFont="0" applyFill="0" applyBorder="0" applyAlignment="0" applyProtection="0"/>
    <xf numFmtId="21" fontId="209" fillId="0" borderId="0">
      <alignment horizontal="left" vertical="center" wrapText="1"/>
    </xf>
    <xf numFmtId="19" fontId="209" fillId="0" borderId="0">
      <alignment horizontal="left" vertical="center" wrapText="1"/>
    </xf>
    <xf numFmtId="3" fontId="207" fillId="0" borderId="115">
      <alignment vertical="center"/>
    </xf>
    <xf numFmtId="0" fontId="209" fillId="0" borderId="0">
      <alignment horizontal="left" vertical="center" wrapText="1"/>
    </xf>
    <xf numFmtId="3" fontId="207" fillId="0" borderId="115">
      <alignment vertical="center"/>
    </xf>
    <xf numFmtId="0" fontId="209" fillId="0" borderId="0">
      <alignment horizontal="left" vertical="center" wrapText="1"/>
    </xf>
    <xf numFmtId="19" fontId="209" fillId="0" borderId="0">
      <alignment horizontal="left" vertical="center" wrapText="1"/>
    </xf>
    <xf numFmtId="19" fontId="209" fillId="0" borderId="0">
      <alignment horizontal="left" vertical="center" wrapText="1"/>
    </xf>
    <xf numFmtId="17" fontId="209"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6" fillId="0" borderId="0"/>
    <xf numFmtId="273" fontId="160"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7" fillId="0" borderId="115">
      <alignment vertical="center"/>
    </xf>
    <xf numFmtId="22" fontId="29" fillId="0" borderId="0" applyFill="0" applyBorder="0" applyAlignment="0"/>
    <xf numFmtId="3" fontId="207" fillId="0" borderId="115">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7" fillId="0" borderId="115">
      <alignment vertical="center"/>
    </xf>
    <xf numFmtId="172" fontId="199" fillId="0" borderId="0" applyFont="0" applyFill="0" applyBorder="0" applyProtection="0">
      <alignment horizontal="right"/>
    </xf>
    <xf numFmtId="179" fontId="158"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7"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3" fontId="207" fillId="0" borderId="115">
      <alignment vertical="center"/>
    </xf>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3" fontId="207" fillId="0" borderId="115">
      <alignment vertical="center"/>
    </xf>
    <xf numFmtId="0" fontId="229" fillId="0" borderId="0"/>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62" applyFill="0" applyProtection="0">
      <alignment horizontal="centerContinuous"/>
    </xf>
    <xf numFmtId="3" fontId="207" fillId="0" borderId="115">
      <alignment vertical="center"/>
    </xf>
    <xf numFmtId="0" fontId="2" fillId="0" borderId="0" applyNumberFormat="0" applyFont="0" applyFill="0" applyBorder="0" applyAlignment="0" applyProtection="0"/>
    <xf numFmtId="0" fontId="2" fillId="0" borderId="62" applyFill="0" applyProtection="0">
      <alignment horizontal="centerContinuous"/>
    </xf>
    <xf numFmtId="3" fontId="207" fillId="0" borderId="115">
      <alignment vertical="center"/>
    </xf>
    <xf numFmtId="0" fontId="2" fillId="0" borderId="62" applyFill="0" applyProtection="0">
      <alignment horizontal="centerContinuous"/>
    </xf>
    <xf numFmtId="0" fontId="2" fillId="0" borderId="62" applyFill="0" applyProtection="0">
      <alignment horizontal="centerContinuous"/>
    </xf>
    <xf numFmtId="3" fontId="207" fillId="0" borderId="115">
      <alignment vertical="center"/>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0"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275" fontId="2" fillId="0" borderId="62" applyFill="0" applyProtection="0">
      <alignment horizontal="centerContinuous"/>
    </xf>
    <xf numFmtId="3" fontId="207" fillId="0" borderId="115">
      <alignment vertical="center"/>
    </xf>
    <xf numFmtId="275" fontId="2" fillId="0" borderId="62" applyFill="0" applyProtection="0">
      <alignment horizontal="centerContinuous"/>
    </xf>
    <xf numFmtId="275" fontId="2" fillId="0" borderId="62" applyFill="0" applyProtection="0">
      <alignment horizontal="centerContinuous"/>
    </xf>
    <xf numFmtId="3" fontId="207" fillId="0" borderId="115">
      <alignment vertical="center"/>
    </xf>
    <xf numFmtId="275" fontId="2" fillId="0" borderId="62" applyFill="0" applyProtection="0">
      <alignment horizontal="centerContinuous"/>
    </xf>
    <xf numFmtId="275" fontId="2" fillId="0" borderId="62" applyFill="0" applyProtection="0">
      <alignment horizontal="centerContinuous"/>
    </xf>
    <xf numFmtId="3" fontId="207" fillId="0" borderId="115">
      <alignment vertical="center"/>
    </xf>
    <xf numFmtId="275" fontId="2" fillId="0" borderId="62" applyFill="0" applyProtection="0">
      <alignment horizontal="centerContinuous"/>
    </xf>
    <xf numFmtId="275" fontId="2" fillId="0" borderId="62" applyFill="0" applyProtection="0">
      <alignment horizontal="centerContinuous"/>
    </xf>
    <xf numFmtId="3" fontId="207" fillId="0" borderId="115">
      <alignment vertical="center"/>
    </xf>
    <xf numFmtId="275" fontId="2" fillId="0" borderId="62" applyFill="0" applyProtection="0">
      <alignment horizontal="centerContinuous"/>
    </xf>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230" fillId="120" borderId="10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230" fillId="120" borderId="10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3" fontId="231" fillId="121" borderId="11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9" fontId="232"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0" fillId="0" borderId="135"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3" fillId="1" borderId="0" applyNumberFormat="0" applyBorder="0" applyAlignment="0" applyProtection="0"/>
    <xf numFmtId="0" fontId="10" fillId="0" borderId="0"/>
    <xf numFmtId="0" fontId="10" fillId="0" borderId="0"/>
    <xf numFmtId="0" fontId="10" fillId="0" borderId="0"/>
    <xf numFmtId="0" fontId="10" fillId="0" borderId="0"/>
    <xf numFmtId="0"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17" fontId="235" fillId="117" borderId="89"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36" fillId="0" borderId="118" applyNumberFormat="0" applyAlignment="0">
      <protection locked="0"/>
    </xf>
    <xf numFmtId="0" fontId="49" fillId="42" borderId="126" applyNumberFormat="0" applyAlignment="0" applyProtection="0"/>
    <xf numFmtId="0" fontId="10" fillId="0" borderId="0"/>
    <xf numFmtId="0" fontId="10" fillId="0" borderId="0"/>
    <xf numFmtId="0" fontId="49" fillId="42" borderId="126" applyNumberFormat="0" applyAlignment="0" applyProtection="0"/>
    <xf numFmtId="0" fontId="49" fillId="42" borderId="126" applyNumberFormat="0" applyAlignment="0" applyProtection="0"/>
    <xf numFmtId="0" fontId="49" fillId="42" borderId="126" applyNumberFormat="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6"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216"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2"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2" fillId="0" borderId="0" applyFont="0" applyFill="0" applyBorder="0" applyAlignment="0">
      <alignment vertical="center"/>
    </xf>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3"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85" fontId="237" fillId="0" borderId="0">
      <alignment horizontal="right" vertical="top"/>
    </xf>
    <xf numFmtId="286" fontId="238" fillId="0" borderId="0" applyBorder="0">
      <alignment horizontal="right" vertical="top"/>
    </xf>
    <xf numFmtId="286" fontId="238" fillId="0" borderId="0" applyBorder="0">
      <alignment horizontal="right" vertical="top"/>
    </xf>
    <xf numFmtId="3" fontId="207" fillId="0" borderId="115">
      <alignment vertical="center"/>
    </xf>
    <xf numFmtId="287" fontId="20" fillId="0" borderId="0">
      <alignment horizontal="right" vertical="top"/>
    </xf>
    <xf numFmtId="288" fontId="153" fillId="0" borderId="0" applyBorder="0">
      <alignment horizontal="right" vertical="top"/>
    </xf>
    <xf numFmtId="288" fontId="153" fillId="0" borderId="0" applyBorder="0">
      <alignment horizontal="right" vertical="top"/>
    </xf>
    <xf numFmtId="3" fontId="207" fillId="0" borderId="115">
      <alignment vertical="center"/>
    </xf>
    <xf numFmtId="287" fontId="237" fillId="0" borderId="0">
      <alignment horizontal="right" vertical="top"/>
    </xf>
    <xf numFmtId="288" fontId="238" fillId="0" borderId="0" applyBorder="0">
      <alignment horizontal="right" vertical="top"/>
    </xf>
    <xf numFmtId="288" fontId="238" fillId="0" borderId="0" applyBorder="0">
      <alignment horizontal="right" vertical="top"/>
    </xf>
    <xf numFmtId="3" fontId="207" fillId="0" borderId="115">
      <alignment vertical="center"/>
    </xf>
    <xf numFmtId="289" fontId="20" fillId="0" borderId="0" applyFill="0" applyBorder="0">
      <alignment horizontal="right" vertical="top"/>
    </xf>
    <xf numFmtId="290" fontId="20" fillId="0" borderId="0" applyFill="0" applyBorder="0">
      <alignment horizontal="right" vertical="top"/>
    </xf>
    <xf numFmtId="212" fontId="153" fillId="0" borderId="0" applyFill="0" applyBorder="0">
      <alignment horizontal="right" vertical="top"/>
    </xf>
    <xf numFmtId="212" fontId="153" fillId="0" borderId="0" applyFill="0" applyBorder="0">
      <alignment horizontal="right" vertical="top"/>
    </xf>
    <xf numFmtId="3" fontId="207" fillId="0" borderId="115">
      <alignment vertical="center"/>
    </xf>
    <xf numFmtId="291" fontId="20" fillId="0" borderId="0" applyFill="0" applyBorder="0">
      <alignment horizontal="right" vertical="top"/>
    </xf>
    <xf numFmtId="292" fontId="153" fillId="0" borderId="0" applyFill="0" applyBorder="0">
      <alignment horizontal="right" vertical="top"/>
    </xf>
    <xf numFmtId="292" fontId="153" fillId="0" borderId="0" applyFill="0" applyBorder="0">
      <alignment horizontal="right" vertical="top"/>
    </xf>
    <xf numFmtId="3" fontId="207" fillId="0" borderId="115">
      <alignment vertical="center"/>
    </xf>
    <xf numFmtId="293" fontId="20" fillId="0" borderId="0" applyFill="0" applyBorder="0">
      <alignment horizontal="right" vertical="top"/>
    </xf>
    <xf numFmtId="294" fontId="153" fillId="0" borderId="0" applyFill="0" applyBorder="0">
      <alignment horizontal="right" vertical="top"/>
    </xf>
    <xf numFmtId="294" fontId="153" fillId="0" borderId="0" applyFill="0" applyBorder="0">
      <alignment horizontal="right" vertical="top"/>
    </xf>
    <xf numFmtId="3" fontId="207" fillId="0" borderId="115">
      <alignment vertical="center"/>
    </xf>
    <xf numFmtId="295" fontId="20" fillId="0" borderId="0" applyFill="0" applyBorder="0">
      <alignment horizontal="right" vertical="top"/>
    </xf>
    <xf numFmtId="296" fontId="153" fillId="0" borderId="0" applyFill="0" applyBorder="0">
      <alignment horizontal="right" vertical="top"/>
    </xf>
    <xf numFmtId="296" fontId="153" fillId="0" borderId="0" applyFill="0" applyBorder="0">
      <alignment horizontal="right" vertical="top"/>
    </xf>
    <xf numFmtId="3" fontId="207" fillId="0" borderId="115">
      <alignment vertical="center"/>
    </xf>
    <xf numFmtId="0" fontId="239" fillId="0" borderId="0">
      <alignment horizontal="left"/>
    </xf>
    <xf numFmtId="0" fontId="240" fillId="0" borderId="0">
      <alignment horizontal="center" wrapText="1"/>
    </xf>
    <xf numFmtId="0" fontId="239" fillId="0" borderId="136">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36">
      <alignment horizontal="right" wrapText="1"/>
    </xf>
    <xf numFmtId="0" fontId="239" fillId="0" borderId="136">
      <alignment horizontal="right" wrapText="1"/>
    </xf>
    <xf numFmtId="0" fontId="239" fillId="0" borderId="136">
      <alignment horizontal="right" wrapText="1"/>
    </xf>
    <xf numFmtId="0" fontId="2" fillId="0" borderId="0" applyNumberFormat="0" applyFont="0" applyFill="0" applyBorder="0" applyAlignment="0" applyProtection="0"/>
    <xf numFmtId="0" fontId="239" fillId="0" borderId="136">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36">
      <alignment horizontal="right" wrapText="1"/>
    </xf>
    <xf numFmtId="0" fontId="239" fillId="0" borderId="136">
      <alignment horizontal="right" wrapText="1"/>
    </xf>
    <xf numFmtId="0" fontId="239" fillId="0" borderId="136">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297" fontId="241" fillId="0" borderId="136">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1" fillId="0" borderId="136">
      <alignment horizontal="right"/>
    </xf>
    <xf numFmtId="297" fontId="241" fillId="0" borderId="136">
      <alignment horizontal="right"/>
    </xf>
    <xf numFmtId="297" fontId="241" fillId="0" borderId="136">
      <alignment horizontal="right"/>
    </xf>
    <xf numFmtId="0" fontId="2" fillId="0" borderId="0" applyNumberFormat="0" applyFont="0" applyFill="0" applyBorder="0" applyAlignment="0" applyProtection="0"/>
    <xf numFmtId="0" fontId="242" fillId="0" borderId="0">
      <alignment vertical="center"/>
    </xf>
    <xf numFmtId="298" fontId="242" fillId="0" borderId="0">
      <alignment horizontal="left" vertical="center"/>
    </xf>
    <xf numFmtId="299" fontId="243" fillId="0" borderId="0">
      <alignment vertical="center"/>
    </xf>
    <xf numFmtId="0" fontId="42" fillId="0" borderId="0">
      <alignment vertical="center"/>
    </xf>
    <xf numFmtId="297" fontId="241" fillId="0" borderId="13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1" fillId="0" borderId="136">
      <alignment horizontal="left"/>
    </xf>
    <xf numFmtId="297" fontId="241" fillId="0" borderId="136">
      <alignment horizontal="left"/>
    </xf>
    <xf numFmtId="0" fontId="2" fillId="0" borderId="0" applyNumberFormat="0" applyFont="0" applyFill="0" applyBorder="0" applyAlignment="0" applyProtection="0"/>
    <xf numFmtId="297" fontId="215" fillId="0" borderId="0" applyFill="0" applyBorder="0">
      <alignment vertical="top"/>
    </xf>
    <xf numFmtId="297" fontId="226" fillId="0" borderId="0" applyFill="0" applyBorder="0" applyProtection="0">
      <alignment vertical="top"/>
    </xf>
    <xf numFmtId="297" fontId="244" fillId="0" borderId="0">
      <alignment vertical="top"/>
    </xf>
    <xf numFmtId="297" fontId="153" fillId="0" borderId="0">
      <alignment horizontal="center"/>
    </xf>
    <xf numFmtId="297" fontId="245" fillId="0" borderId="13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5" fillId="0" borderId="136">
      <alignment horizontal="center"/>
    </xf>
    <xf numFmtId="297" fontId="245" fillId="0" borderId="136">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196" fontId="153" fillId="0" borderId="137"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196" fontId="153" fillId="0" borderId="137"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78" fillId="0" borderId="0"/>
    <xf numFmtId="297" fontId="24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7" fillId="0" borderId="115">
      <alignment vertical="center"/>
    </xf>
    <xf numFmtId="297" fontId="247"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3" fillId="0" borderId="0" applyFill="0" applyBorder="0">
      <alignment horizontal="left" vertical="top" wrapText="1"/>
    </xf>
    <xf numFmtId="0" fontId="153" fillId="0" borderId="0" applyFill="0" applyBorder="0">
      <alignment horizontal="left" vertical="top" wrapText="1"/>
    </xf>
    <xf numFmtId="3" fontId="207" fillId="0" borderId="115">
      <alignment vertical="center"/>
    </xf>
    <xf numFmtId="0" fontId="248" fillId="0" borderId="0">
      <alignment horizontal="left" vertical="top" wrapText="1"/>
    </xf>
    <xf numFmtId="0" fontId="249" fillId="0" borderId="0">
      <alignment horizontal="left" vertical="top" wrapText="1"/>
    </xf>
    <xf numFmtId="0" fontId="238" fillId="0" borderId="0">
      <alignment horizontal="left" vertical="top" wrapText="1"/>
    </xf>
    <xf numFmtId="3" fontId="250" fillId="85" borderId="62">
      <alignment horizontal="centerContinuous"/>
    </xf>
    <xf numFmtId="0" fontId="163" fillId="0" borderId="55" applyNumberFormat="0" applyFill="0" applyBorder="0" applyAlignment="0"/>
    <xf numFmtId="300" fontId="251" fillId="0" borderId="0"/>
    <xf numFmtId="0" fontId="2" fillId="0" borderId="0" applyNumberFormat="0" applyFont="0" applyFill="0" applyBorder="0" applyAlignment="0" applyProtection="0"/>
    <xf numFmtId="0" fontId="10" fillId="0" borderId="0"/>
    <xf numFmtId="38" fontId="199" fillId="0" borderId="0"/>
    <xf numFmtId="301" fontId="252"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7" fillId="0" borderId="115">
      <alignment vertical="center"/>
    </xf>
    <xf numFmtId="0" fontId="10" fillId="0" borderId="0"/>
    <xf numFmtId="0" fontId="253" fillId="0" borderId="0" applyFill="0" applyBorder="0" applyProtection="0">
      <alignment horizontal="left"/>
    </xf>
    <xf numFmtId="0" fontId="254" fillId="68" borderId="0"/>
    <xf numFmtId="37" fontId="255" fillId="68" borderId="0" applyNumberFormat="0" applyBorder="0" applyAlignment="0" applyProtection="0"/>
    <xf numFmtId="295" fontId="255" fillId="68" borderId="0" applyNumberFormat="0" applyBorder="0" applyAlignment="0" applyProtection="0"/>
    <xf numFmtId="3" fontId="207" fillId="0" borderId="115">
      <alignment vertical="center"/>
    </xf>
    <xf numFmtId="0" fontId="256"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7" fillId="0" borderId="115">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03" fontId="2" fillId="0" borderId="0" applyFont="0" applyFill="0" applyBorder="0" applyAlignment="0" applyProtection="0"/>
    <xf numFmtId="0" fontId="2" fillId="71" borderId="90" applyNumberFormat="0" applyFont="0" applyAlignment="0" applyProtection="0"/>
    <xf numFmtId="0" fontId="2" fillId="71" borderId="90" applyNumberFormat="0" applyFont="0" applyAlignment="0" applyProtection="0"/>
    <xf numFmtId="0" fontId="2" fillId="71" borderId="90" applyNumberFormat="0" applyFont="0" applyAlignment="0" applyProtection="0"/>
    <xf numFmtId="0" fontId="2" fillId="71" borderId="90" applyNumberFormat="0" applyFont="0" applyAlignment="0" applyProtection="0"/>
    <xf numFmtId="0" fontId="2" fillId="71" borderId="90" applyNumberFormat="0" applyFont="0" applyAlignment="0" applyProtection="0"/>
    <xf numFmtId="0" fontId="2" fillId="0" borderId="90" applyNumberFormat="0" applyFont="0" applyFill="0" applyAlignment="0" applyProtection="0"/>
    <xf numFmtId="0" fontId="2" fillId="0" borderId="90" applyNumberFormat="0" applyFont="0" applyFill="0" applyAlignment="0" applyProtection="0"/>
    <xf numFmtId="0" fontId="2" fillId="0" borderId="90" applyNumberFormat="0" applyFont="0" applyFill="0" applyAlignment="0" applyProtection="0"/>
    <xf numFmtId="0" fontId="2" fillId="0" borderId="90" applyNumberFormat="0" applyFont="0" applyFill="0" applyAlignment="0" applyProtection="0"/>
    <xf numFmtId="0" fontId="2" fillId="0" borderId="90" applyNumberFormat="0" applyFont="0" applyFill="0" applyAlignment="0" applyProtection="0"/>
    <xf numFmtId="0" fontId="257" fillId="0" borderId="0">
      <alignment horizontal="centerContinuous" vertical="center"/>
    </xf>
    <xf numFmtId="304" fontId="2" fillId="0" borderId="0" applyFont="0" applyFill="0" applyBorder="0" applyAlignment="0" applyProtection="0"/>
    <xf numFmtId="0" fontId="216" fillId="115" borderId="0">
      <alignment horizontal="left"/>
    </xf>
    <xf numFmtId="1" fontId="258" fillId="0" borderId="138">
      <alignment horizontal="left"/>
    </xf>
    <xf numFmtId="248" fontId="259"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1" fillId="123" borderId="0" applyNumberFormat="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39" fontId="171" fillId="123" borderId="0" applyNumberFormat="0" applyBorder="0" applyAlignment="0" applyProtection="0"/>
    <xf numFmtId="0" fontId="2" fillId="0" borderId="0" applyNumberFormat="0" applyFont="0" applyFill="0" applyBorder="0" applyAlignment="0" applyProtection="0"/>
    <xf numFmtId="3" fontId="207" fillId="0" borderId="115">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15">
      <alignment vertical="center"/>
    </xf>
    <xf numFmtId="38" fontId="171"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45" fillId="113" borderId="108"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08" applyAlignment="0" applyProtection="0"/>
    <xf numFmtId="0" fontId="45" fillId="113" borderId="108" applyAlignment="0" applyProtection="0"/>
    <xf numFmtId="0" fontId="2" fillId="0" borderId="0" applyNumberFormat="0" applyFont="0" applyFill="0" applyBorder="0" applyAlignment="0" applyProtection="0"/>
    <xf numFmtId="0" fontId="2" fillId="68" borderId="106"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0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06" applyNumberFormat="0" applyFont="0" applyBorder="0" applyProtection="0">
      <alignment horizontal="center" vertical="center"/>
    </xf>
    <xf numFmtId="0" fontId="2" fillId="68" borderId="106" applyNumberFormat="0" applyFont="0" applyBorder="0" applyProtection="0">
      <alignment horizontal="center" vertical="center"/>
    </xf>
    <xf numFmtId="0" fontId="2" fillId="68" borderId="106" applyNumberFormat="0" applyFont="0" applyBorder="0" applyProtection="0">
      <alignment horizontal="center" vertical="center"/>
    </xf>
    <xf numFmtId="0" fontId="2" fillId="68" borderId="106" applyNumberFormat="0" applyFont="0" applyBorder="0" applyProtection="0">
      <alignment horizontal="center" vertic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3" fontId="207" fillId="0" borderId="115">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0" fontId="2" fillId="68" borderId="106" applyNumberFormat="0" applyFont="0" applyBorder="0" applyAlignment="0" applyProtection="0">
      <alignment horizontal="center"/>
    </xf>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45" fillId="68" borderId="118"/>
    <xf numFmtId="0" fontId="2" fillId="125" borderId="89" applyNumberFormat="0" applyFont="0" applyBorder="0" applyAlignment="0"/>
    <xf numFmtId="0" fontId="2" fillId="125" borderId="89" applyNumberFormat="0" applyFont="0" applyBorder="0" applyAlignment="0"/>
    <xf numFmtId="0" fontId="2" fillId="125" borderId="89" applyNumberFormat="0" applyFont="0" applyBorder="0" applyAlignment="0"/>
    <xf numFmtId="0" fontId="2" fillId="125" borderId="89" applyNumberFormat="0" applyFont="0" applyBorder="0" applyAlignment="0"/>
    <xf numFmtId="0" fontId="2" fillId="125" borderId="89"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5" fillId="111" borderId="0" applyBorder="0" applyAlignment="0"/>
    <xf numFmtId="306" fontId="160"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41" fillId="126" borderId="107" applyNumberFormat="0" applyFont="0" applyBorder="0" applyAlignment="0">
      <alignment horizontal="centerContinuous"/>
    </xf>
    <xf numFmtId="0" fontId="260" fillId="0" borderId="0" applyProtection="0">
      <alignment horizontal="right"/>
    </xf>
    <xf numFmtId="0" fontId="260" fillId="0" borderId="0" applyProtection="0">
      <alignment horizontal="right"/>
    </xf>
    <xf numFmtId="0" fontId="41" fillId="126" borderId="107" applyNumberFormat="0" applyFont="0" applyBorder="0" applyAlignment="0">
      <alignment horizontal="centerContinuous"/>
    </xf>
    <xf numFmtId="0" fontId="41" fillId="126" borderId="107" applyNumberFormat="0" applyFont="0" applyBorder="0" applyAlignment="0">
      <alignment horizontal="centerContinuous"/>
    </xf>
    <xf numFmtId="0" fontId="41" fillId="126" borderId="107" applyNumberFormat="0" applyFont="0" applyBorder="0" applyAlignment="0">
      <alignment horizontal="centerContinuous"/>
    </xf>
    <xf numFmtId="0" fontId="41" fillId="126" borderId="107" applyNumberFormat="0" applyFont="0" applyBorder="0" applyAlignment="0">
      <alignment horizontal="centerContinuous"/>
    </xf>
    <xf numFmtId="0" fontId="260"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37" fillId="0" borderId="108">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61" fillId="109" borderId="0"/>
    <xf numFmtId="0" fontId="38" fillId="0" borderId="37" applyNumberFormat="0" applyFill="0" applyAlignment="0" applyProtection="0"/>
    <xf numFmtId="0" fontId="38" fillId="0" borderId="37" applyNumberFormat="0" applyFill="0" applyAlignment="0" applyProtection="0"/>
    <xf numFmtId="0" fontId="38" fillId="0" borderId="37" applyNumberFormat="0" applyFill="0" applyAlignment="0" applyProtection="0"/>
    <xf numFmtId="0" fontId="38" fillId="0" borderId="37" applyNumberFormat="0" applyFill="0" applyAlignment="0" applyProtection="0"/>
    <xf numFmtId="0" fontId="262" fillId="0" borderId="139" applyNumberFormat="0" applyFill="0" applyAlignment="0" applyProtection="0"/>
    <xf numFmtId="0" fontId="262" fillId="0" borderId="139" applyNumberFormat="0" applyFill="0" applyAlignment="0" applyProtection="0"/>
    <xf numFmtId="0" fontId="262" fillId="0" borderId="139" applyNumberFormat="0" applyFill="0" applyAlignment="0" applyProtection="0"/>
    <xf numFmtId="0" fontId="38" fillId="0" borderId="3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7" applyNumberFormat="0" applyFill="0" applyAlignment="0" applyProtection="0"/>
    <xf numFmtId="0" fontId="38" fillId="0" borderId="37" applyNumberFormat="0" applyFill="0" applyAlignment="0" applyProtection="0"/>
    <xf numFmtId="0" fontId="38" fillId="0" borderId="37" applyNumberFormat="0" applyFill="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10" fillId="0" borderId="0"/>
    <xf numFmtId="0" fontId="10" fillId="0" borderId="0"/>
    <xf numFmtId="0" fontId="10" fillId="0" borderId="0"/>
    <xf numFmtId="0" fontId="10" fillId="0" borderId="0"/>
    <xf numFmtId="0" fontId="264" fillId="0" borderId="140" applyNumberFormat="0" applyFill="0" applyAlignment="0" applyProtection="0"/>
    <xf numFmtId="0" fontId="264" fillId="0" borderId="140" applyNumberFormat="0" applyFill="0" applyAlignment="0" applyProtection="0"/>
    <xf numFmtId="0" fontId="264" fillId="0" borderId="140" applyNumberFormat="0" applyFill="0" applyAlignment="0" applyProtection="0"/>
    <xf numFmtId="0" fontId="263"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6" fillId="0" borderId="141" applyNumberFormat="0" applyFill="0" applyAlignment="0" applyProtection="0"/>
    <xf numFmtId="0" fontId="266" fillId="0" borderId="141" applyNumberFormat="0" applyFill="0" applyAlignment="0" applyProtection="0"/>
    <xf numFmtId="0" fontId="266" fillId="0" borderId="141"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22"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33"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1"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06" applyFont="0" applyProtection="0">
      <alignment horizontal="right"/>
    </xf>
    <xf numFmtId="0" fontId="10" fillId="0" borderId="0"/>
    <xf numFmtId="3" fontId="2" fillId="70" borderId="106" applyFont="0" applyProtection="0">
      <alignment horizontal="right"/>
    </xf>
    <xf numFmtId="0" fontId="2" fillId="0" borderId="0" applyNumberFormat="0" applyFont="0" applyFill="0" applyBorder="0" applyAlignment="0" applyProtection="0"/>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07" fillId="0" borderId="115">
      <alignment vertical="center"/>
    </xf>
    <xf numFmtId="0" fontId="2" fillId="0" borderId="0" applyNumberFormat="0" applyFont="0" applyFill="0" applyBorder="0" applyAlignment="0" applyProtection="0"/>
    <xf numFmtId="0" fontId="10" fillId="0" borderId="0"/>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 fillId="70" borderId="106" applyFont="0" applyProtection="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 fillId="70" borderId="106" applyFont="0" applyProtection="0">
      <alignment horizontal="right"/>
    </xf>
    <xf numFmtId="0" fontId="10" fillId="0" borderId="0"/>
    <xf numFmtId="10" fontId="2" fillId="70" borderId="106" applyFont="0" applyProtection="0">
      <alignment horizontal="right"/>
    </xf>
    <xf numFmtId="0" fontId="2" fillId="0" borderId="0" applyNumberFormat="0" applyFont="0" applyFill="0" applyBorder="0" applyAlignment="0" applyProtection="0"/>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10" fontId="2" fillId="70" borderId="106" applyFont="0" applyProtection="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70" borderId="106" applyFont="0" applyProtection="0">
      <alignment horizontal="right"/>
    </xf>
    <xf numFmtId="0" fontId="10" fillId="0" borderId="0"/>
    <xf numFmtId="9" fontId="2" fillId="70" borderId="106" applyFont="0" applyProtection="0">
      <alignment horizontal="right"/>
    </xf>
    <xf numFmtId="0" fontId="2" fillId="0" borderId="0" applyNumberFormat="0" applyFont="0" applyFill="0" applyBorder="0" applyAlignment="0" applyProtection="0"/>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3" fontId="207" fillId="0" borderId="115">
      <alignment vertical="center"/>
    </xf>
    <xf numFmtId="0" fontId="2" fillId="0" borderId="0" applyNumberFormat="0" applyFont="0" applyFill="0" applyBorder="0" applyAlignment="0" applyProtection="0"/>
    <xf numFmtId="0" fontId="10" fillId="0" borderId="0"/>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9" fontId="2" fillId="70" borderId="106" applyFont="0" applyProtection="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70" borderId="107"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07" applyNumberFormat="0" applyFont="0" applyBorder="0" applyAlignment="0" applyProtection="0">
      <alignment horizontal="left"/>
    </xf>
    <xf numFmtId="0" fontId="2" fillId="0" borderId="0" applyNumberFormat="0" applyFont="0" applyFill="0" applyBorder="0" applyAlignment="0" applyProtection="0"/>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3" fontId="207" fillId="0" borderId="115">
      <alignment vertical="center"/>
    </xf>
    <xf numFmtId="0" fontId="2" fillId="0" borderId="0" applyNumberFormat="0" applyFont="0" applyFill="0" applyBorder="0" applyAlignment="0" applyProtection="0"/>
    <xf numFmtId="0" fontId="10" fillId="0" borderId="0"/>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0" fontId="2" fillId="70" borderId="107" applyNumberFormat="0" applyFont="0" applyBorder="0" applyAlignment="0" applyProtection="0">
      <alignment horizontal="left"/>
    </xf>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7" fontId="255" fillId="0" borderId="0" applyNumberFormat="0" applyBorder="0" applyAlignment="0" applyProtection="0"/>
    <xf numFmtId="295" fontId="255" fillId="0" borderId="0" applyNumberFormat="0" applyBorder="0" applyAlignment="0" applyProtection="0"/>
    <xf numFmtId="3" fontId="207" fillId="0" borderId="115">
      <alignment vertical="center"/>
    </xf>
    <xf numFmtId="37" fontId="45" fillId="0" borderId="0"/>
    <xf numFmtId="295" fontId="45" fillId="0" borderId="0"/>
    <xf numFmtId="3" fontId="207" fillId="0" borderId="115">
      <alignment vertical="center"/>
    </xf>
    <xf numFmtId="0" fontId="26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08" fontId="268"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06"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06" applyNumberFormat="0" applyBorder="0" applyAlignment="0" applyProtection="0"/>
    <xf numFmtId="0" fontId="10" fillId="0" borderId="0"/>
    <xf numFmtId="10" fontId="19" fillId="107" borderId="106" applyNumberFormat="0" applyBorder="0" applyAlignment="0" applyProtection="0"/>
    <xf numFmtId="10" fontId="19" fillId="107" borderId="106" applyNumberFormat="0" applyBorder="0" applyAlignment="0" applyProtection="0"/>
    <xf numFmtId="10" fontId="19" fillId="107" borderId="106" applyNumberFormat="0" applyBorder="0" applyAlignment="0" applyProtection="0"/>
    <xf numFmtId="10" fontId="19" fillId="107" borderId="106" applyNumberFormat="0" applyBorder="0" applyAlignment="0" applyProtection="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10" fillId="0" borderId="0"/>
    <xf numFmtId="0" fontId="10" fillId="0" borderId="0"/>
    <xf numFmtId="0" fontId="49" fillId="72" borderId="12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6" applyNumberFormat="0" applyAlignment="0" applyProtection="0"/>
    <xf numFmtId="0" fontId="49" fillId="72" borderId="126" applyNumberFormat="0" applyAlignment="0" applyProtection="0"/>
    <xf numFmtId="0" fontId="49" fillId="72" borderId="126" applyNumberFormat="0" applyAlignment="0" applyProtection="0"/>
    <xf numFmtId="0" fontId="2" fillId="0" borderId="0" applyNumberFormat="0" applyFont="0" applyFill="0" applyBorder="0" applyAlignment="0" applyProtection="0"/>
    <xf numFmtId="0" fontId="49" fillId="72" borderId="12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6" applyNumberFormat="0" applyAlignment="0" applyProtection="0"/>
    <xf numFmtId="0" fontId="49" fillId="72" borderId="126" applyNumberFormat="0" applyAlignment="0" applyProtection="0"/>
    <xf numFmtId="0" fontId="49" fillId="72" borderId="126" applyNumberFormat="0" applyAlignment="0" applyProtection="0"/>
    <xf numFmtId="0" fontId="2" fillId="0" borderId="0" applyNumberFormat="0" applyFont="0" applyFill="0" applyBorder="0" applyAlignment="0" applyProtection="0"/>
    <xf numFmtId="0" fontId="49" fillId="72" borderId="12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6" applyNumberFormat="0" applyAlignment="0" applyProtection="0"/>
    <xf numFmtId="0" fontId="49" fillId="72" borderId="126" applyNumberFormat="0" applyAlignment="0" applyProtection="0"/>
    <xf numFmtId="0" fontId="49" fillId="72" borderId="126" applyNumberFormat="0" applyAlignment="0" applyProtection="0"/>
    <xf numFmtId="0" fontId="2" fillId="0" borderId="0" applyNumberFormat="0" applyFont="0" applyFill="0" applyBorder="0" applyAlignment="0" applyProtection="0"/>
    <xf numFmtId="0" fontId="269" fillId="0" borderId="68">
      <protection locked="0"/>
    </xf>
    <xf numFmtId="0" fontId="269" fillId="0" borderId="68">
      <protection locked="0"/>
    </xf>
    <xf numFmtId="0" fontId="49" fillId="72" borderId="126" applyNumberFormat="0" applyAlignment="0" applyProtection="0"/>
    <xf numFmtId="0" fontId="49" fillId="72" borderId="126" applyNumberFormat="0" applyAlignment="0" applyProtection="0"/>
    <xf numFmtId="0" fontId="49" fillId="72" borderId="126" applyNumberFormat="0" applyAlignment="0" applyProtection="0"/>
    <xf numFmtId="0" fontId="49" fillId="72" borderId="126" applyNumberFormat="0" applyAlignment="0" applyProtection="0"/>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69" fillId="0" borderId="68">
      <protection locked="0"/>
    </xf>
    <xf numFmtId="0" fontId="269" fillId="0" borderId="68">
      <protection locked="0"/>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69" fillId="88" borderId="142">
      <alignment horizontal="right" vertical="center"/>
      <protection locked="0"/>
    </xf>
    <xf numFmtId="310" fontId="269" fillId="88" borderId="142">
      <alignment horizontal="right" vertical="center"/>
      <protection locked="0"/>
    </xf>
    <xf numFmtId="310" fontId="269" fillId="88" borderId="142">
      <alignment horizontal="right" vertical="center"/>
      <protection locked="0"/>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2" fontId="231" fillId="129" borderId="68"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7" fillId="0" borderId="115">
      <alignment vertical="center"/>
    </xf>
    <xf numFmtId="311" fontId="2" fillId="71" borderId="106" applyFont="0" applyAlignment="0">
      <protection locked="0"/>
    </xf>
    <xf numFmtId="0" fontId="10" fillId="0" borderId="0"/>
    <xf numFmtId="311" fontId="2" fillId="71" borderId="106" applyFont="0" applyAlignment="0">
      <protection locked="0"/>
    </xf>
    <xf numFmtId="0" fontId="2" fillId="0" borderId="0" applyNumberFormat="0" applyFont="0" applyFill="0" applyBorder="0" applyAlignment="0" applyProtection="0"/>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 fontId="207" fillId="0" borderId="115">
      <alignment vertical="center"/>
    </xf>
    <xf numFmtId="0" fontId="2" fillId="0" borderId="0" applyNumberFormat="0" applyFont="0" applyFill="0" applyBorder="0" applyAlignment="0" applyProtection="0"/>
    <xf numFmtId="0" fontId="10" fillId="0" borderId="0"/>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11" fontId="2" fillId="71" borderId="106" applyFont="0" applyAlignment="0">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 fillId="71" borderId="106" applyFont="0">
      <alignment horizontal="right"/>
      <protection locked="0"/>
    </xf>
    <xf numFmtId="0" fontId="10" fillId="0" borderId="0"/>
    <xf numFmtId="3" fontId="2" fillId="71" borderId="10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06" applyFont="0">
      <alignment horizontal="right" vertical="center"/>
      <protection locked="0"/>
    </xf>
    <xf numFmtId="3" fontId="2" fillId="71" borderId="106" applyFont="0">
      <alignment horizontal="right" vertical="center"/>
      <protection locked="0"/>
    </xf>
    <xf numFmtId="3" fontId="2" fillId="71" borderId="106" applyFont="0">
      <alignment horizontal="right" vertical="center"/>
      <protection locked="0"/>
    </xf>
    <xf numFmtId="3" fontId="2" fillId="71" borderId="106" applyFont="0">
      <alignment horizontal="right" vertical="center"/>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 fillId="71"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60" fontId="2" fillId="71" borderId="106" applyFont="0">
      <alignment horizontal="right"/>
      <protection locked="0"/>
    </xf>
    <xf numFmtId="0" fontId="10" fillId="0" borderId="0"/>
    <xf numFmtId="260" fontId="2" fillId="71" borderId="106" applyFont="0">
      <alignment horizontal="right"/>
      <protection locked="0"/>
    </xf>
    <xf numFmtId="0" fontId="2" fillId="0" borderId="0" applyNumberFormat="0" applyFont="0" applyFill="0" applyBorder="0" applyAlignment="0" applyProtection="0"/>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260" fontId="2" fillId="71"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10" fontId="2" fillId="71" borderId="106" applyFont="0">
      <alignment horizontal="right"/>
      <protection locked="0"/>
    </xf>
    <xf numFmtId="0" fontId="10" fillId="0" borderId="0"/>
    <xf numFmtId="10" fontId="2" fillId="71" borderId="106" applyFont="0">
      <alignment horizontal="right"/>
      <protection locked="0"/>
    </xf>
    <xf numFmtId="0" fontId="2" fillId="0" borderId="0" applyNumberFormat="0" applyFont="0" applyFill="0" applyBorder="0" applyAlignment="0" applyProtection="0"/>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10" fontId="2" fillId="71"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71" borderId="110"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1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10" applyFont="0">
      <alignment horizontal="right"/>
      <protection locked="0"/>
    </xf>
    <xf numFmtId="9" fontId="2" fillId="71" borderId="110" applyFont="0">
      <alignment horizontal="right"/>
      <protection locked="0"/>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10" applyFont="0">
      <alignment horizontal="right"/>
      <protection locked="0"/>
    </xf>
    <xf numFmtId="9" fontId="2" fillId="71" borderId="110" applyFont="0">
      <alignment horizontal="right"/>
      <protection locked="0"/>
    </xf>
    <xf numFmtId="9" fontId="2" fillId="71" borderId="110" applyFont="0">
      <alignment horizontal="right"/>
      <protection locked="0"/>
    </xf>
    <xf numFmtId="9" fontId="2" fillId="71" borderId="110" applyFont="0">
      <alignment horizontal="right"/>
      <protection locked="0"/>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71" borderId="106" applyFont="0">
      <alignment horizontal="center" wrapText="1"/>
      <protection locked="0"/>
    </xf>
    <xf numFmtId="0" fontId="10" fillId="0" borderId="0"/>
    <xf numFmtId="0" fontId="2" fillId="71" borderId="106" applyFont="0">
      <alignment horizontal="center" wrapText="1"/>
      <protection locked="0"/>
    </xf>
    <xf numFmtId="0" fontId="2" fillId="0" borderId="0" applyNumberFormat="0" applyFont="0" applyFill="0" applyBorder="0" applyAlignment="0" applyProtection="0"/>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3" fontId="207" fillId="0" borderId="115">
      <alignment vertical="center"/>
    </xf>
    <xf numFmtId="0" fontId="2" fillId="0" borderId="0" applyNumberFormat="0" applyFont="0" applyFill="0" applyBorder="0" applyAlignment="0" applyProtection="0"/>
    <xf numFmtId="0" fontId="10" fillId="0" borderId="0"/>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0" fontId="2" fillId="71" borderId="106" applyFont="0">
      <alignment horizontal="center" wrapText="1"/>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49" fontId="2" fillId="71" borderId="106" applyFont="0" applyAlignment="0">
      <protection locked="0"/>
    </xf>
    <xf numFmtId="0" fontId="10" fillId="0" borderId="0"/>
    <xf numFmtId="0" fontId="10" fillId="0" borderId="0"/>
    <xf numFmtId="3" fontId="207" fillId="0" borderId="115">
      <alignment vertical="center"/>
    </xf>
    <xf numFmtId="0" fontId="10" fillId="0" borderId="0"/>
    <xf numFmtId="0" fontId="10" fillId="0" borderId="0"/>
    <xf numFmtId="49" fontId="2" fillId="71" borderId="106" applyFont="0" applyAlignment="0">
      <protection locked="0"/>
    </xf>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8" fontId="258" fillId="0" borderId="0" applyNumberFormat="0" applyFill="0" applyBorder="0" applyAlignment="0" applyProtection="0"/>
    <xf numFmtId="0" fontId="2" fillId="0" borderId="0" applyNumberFormat="0" applyFont="0" applyFill="0" applyBorder="0" applyAlignment="0" applyProtection="0"/>
    <xf numFmtId="0" fontId="182"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81" fillId="53" borderId="0" applyNumberFormat="0" applyBorder="0" applyProtection="0">
      <alignment horizontal="center"/>
    </xf>
    <xf numFmtId="314" fontId="271"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15" fontId="2" fillId="0" borderId="0" applyFont="0" applyFill="0" applyBorder="0" applyAlignment="0" applyProtection="0"/>
    <xf numFmtId="316" fontId="27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17" fontId="158" fillId="0" borderId="68"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17" fontId="226" fillId="96" borderId="143"/>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6" fillId="96" borderId="68"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2" fillId="0" borderId="0" applyNumberFormat="0" applyFill="0" applyBorder="0">
      <alignment horizontal="right"/>
    </xf>
    <xf numFmtId="0" fontId="273" fillId="0" borderId="0">
      <protection locked="0"/>
    </xf>
    <xf numFmtId="0" fontId="10" fillId="0" borderId="0"/>
    <xf numFmtId="38" fontId="199"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7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0" applyNumberFormat="0" applyFill="0" applyAlignment="0" applyProtection="0"/>
    <xf numFmtId="0" fontId="54" fillId="0" borderId="40" applyNumberFormat="0" applyFill="0" applyAlignment="0" applyProtection="0"/>
    <xf numFmtId="0" fontId="54" fillId="0" borderId="40" applyNumberFormat="0" applyFill="0" applyAlignment="0" applyProtection="0"/>
    <xf numFmtId="0" fontId="54" fillId="0" borderId="40" applyNumberFormat="0" applyFill="0" applyAlignment="0" applyProtection="0"/>
    <xf numFmtId="0" fontId="78" fillId="0" borderId="144" applyNumberFormat="0" applyFill="0" applyAlignment="0" applyProtection="0"/>
    <xf numFmtId="0" fontId="78" fillId="0" borderId="144" applyNumberFormat="0" applyFill="0" applyAlignment="0" applyProtection="0"/>
    <xf numFmtId="0" fontId="78" fillId="0" borderId="144" applyNumberFormat="0" applyFill="0" applyAlignment="0" applyProtection="0"/>
    <xf numFmtId="0" fontId="54" fillId="0" borderId="40" applyNumberFormat="0" applyFill="0" applyAlignment="0" applyProtection="0"/>
    <xf numFmtId="0" fontId="54" fillId="0" borderId="40" applyNumberFormat="0" applyFill="0" applyAlignment="0" applyProtection="0"/>
    <xf numFmtId="0" fontId="54" fillId="0" borderId="40" applyNumberFormat="0" applyFill="0" applyAlignment="0" applyProtection="0"/>
    <xf numFmtId="0" fontId="54" fillId="0" borderId="40" applyNumberFormat="0" applyFill="0" applyAlignment="0" applyProtection="0"/>
    <xf numFmtId="0" fontId="54" fillId="0" borderId="40" applyNumberFormat="0" applyFill="0" applyAlignment="0" applyProtection="0"/>
    <xf numFmtId="260" fontId="255"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7" fillId="0" borderId="115">
      <alignment vertical="center"/>
    </xf>
    <xf numFmtId="43" fontId="37" fillId="68" borderId="0" applyNumberFormat="0" applyFont="0" applyBorder="0" applyAlignment="0"/>
    <xf numFmtId="0" fontId="2" fillId="68" borderId="0"/>
    <xf numFmtId="319" fontId="102"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2" fillId="0" borderId="0" applyFont="0" applyFill="0" applyBorder="0" applyAlignment="0">
      <alignment vertical="center"/>
    </xf>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58"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17" fontId="278" fillId="0" borderId="116" applyAlignment="0" applyProtection="0">
      <alignment horizontal="centerContinuous"/>
    </xf>
    <xf numFmtId="19" fontId="278" fillId="0" borderId="116" applyAlignment="0" applyProtection="0">
      <alignment horizontal="centerContinuous"/>
    </xf>
    <xf numFmtId="3" fontId="207" fillId="0" borderId="115">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7" fillId="0" borderId="115">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6" fillId="115" borderId="0">
      <alignment horizontal="left"/>
    </xf>
    <xf numFmtId="10" fontId="9" fillId="130" borderId="89" applyBorder="0">
      <alignment horizontal="center"/>
      <protection locked="0"/>
    </xf>
    <xf numFmtId="10" fontId="9" fillId="130" borderId="89" applyBorder="0">
      <alignment horizontal="center"/>
      <protection locked="0"/>
    </xf>
    <xf numFmtId="10" fontId="9" fillId="130" borderId="89" applyBorder="0">
      <alignment horizontal="center"/>
      <protection locked="0"/>
    </xf>
    <xf numFmtId="10" fontId="9" fillId="130" borderId="89" applyBorder="0">
      <alignment horizontal="center"/>
      <protection locked="0"/>
    </xf>
    <xf numFmtId="10" fontId="9" fillId="130" borderId="89" applyBorder="0">
      <alignment horizontal="center"/>
      <protection locked="0"/>
    </xf>
    <xf numFmtId="0" fontId="10" fillId="0" borderId="0"/>
    <xf numFmtId="2" fontId="231" fillId="107" borderId="106"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58"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17" applyNumberFormat="0" applyFill="0" applyBorder="0" applyAlignment="0"/>
    <xf numFmtId="17" fontId="45" fillId="131" borderId="117" applyNumberFormat="0" applyFill="0" applyBorder="0" applyAlignment="0"/>
    <xf numFmtId="3" fontId="207" fillId="0" borderId="115">
      <alignment vertical="center"/>
    </xf>
    <xf numFmtId="3" fontId="207" fillId="0" borderId="115">
      <alignment vertical="center"/>
    </xf>
    <xf numFmtId="0" fontId="223" fillId="0" borderId="0" applyNumberFormat="0" applyFont="0" applyBorder="0" applyAlignment="0"/>
    <xf numFmtId="0" fontId="223"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24" fontId="209" fillId="0" borderId="0">
      <alignment horizontal="right" vertical="center" wrapText="1"/>
    </xf>
    <xf numFmtId="325" fontId="209"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09"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79" fillId="72" borderId="0" applyNumberFormat="0" applyBorder="0" applyAlignment="0" applyProtection="0"/>
    <xf numFmtId="0" fontId="279" fillId="72" borderId="0" applyNumberFormat="0" applyBorder="0" applyAlignment="0" applyProtection="0"/>
    <xf numFmtId="0" fontId="279"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37" fontId="280" fillId="0" borderId="0"/>
    <xf numFmtId="295" fontId="28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235" fillId="69" borderId="106"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0"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8"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7" fillId="0" borderId="115">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xf numFmtId="0" fontId="2" fillId="0" borderId="0" applyNumberFormat="0" applyFont="0" applyFill="0" applyBorder="0" applyAlignment="0" applyProtection="0"/>
    <xf numFmtId="3" fontId="207" fillId="0" borderId="115">
      <alignment vertical="center"/>
    </xf>
    <xf numFmtId="0" fontId="2" fillId="0" borderId="0"/>
    <xf numFmtId="0" fontId="2" fillId="0" borderId="0" applyNumberFormat="0" applyFont="0" applyFill="0" applyBorder="0" applyAlignment="0" applyProtection="0"/>
    <xf numFmtId="3" fontId="207" fillId="0" borderId="115">
      <alignment vertical="center"/>
    </xf>
    <xf numFmtId="0" fontId="2" fillId="0" borderId="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7" fontId="199"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281" fillId="104" borderId="109">
      <alignment horizontal="center" vertical="top" wrapText="1"/>
    </xf>
    <xf numFmtId="0" fontId="281" fillId="104" borderId="109">
      <alignment horizontal="center" vertical="top" wrapText="1"/>
    </xf>
    <xf numFmtId="0" fontId="281" fillId="104" borderId="109">
      <alignment horizontal="center" vertical="top" wrapText="1"/>
    </xf>
    <xf numFmtId="0" fontId="281" fillId="104" borderId="10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xf numFmtId="0" fontId="2" fillId="0" borderId="108"/>
    <xf numFmtId="0" fontId="2" fillId="0" borderId="108"/>
    <xf numFmtId="0"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7"/>
    <xf numFmtId="0" fontId="45" fillId="70" borderId="107"/>
    <xf numFmtId="0" fontId="45" fillId="70" borderId="107"/>
    <xf numFmtId="0" fontId="45" fillId="7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89"/>
    <xf numFmtId="0" fontId="45" fillId="0" borderId="89"/>
    <xf numFmtId="0" fontId="45" fillId="0" borderId="8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2" borderId="109">
      <alignment horizontal="center" vertical="top"/>
    </xf>
    <xf numFmtId="0" fontId="281" fillId="132" borderId="109">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7"/>
    <xf numFmtId="0" fontId="45" fillId="0" borderId="107"/>
    <xf numFmtId="0" fontId="45" fillId="0" borderId="107"/>
    <xf numFmtId="0" fontId="45"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9"/>
    <xf numFmtId="0" fontId="2" fillId="0" borderId="109"/>
    <xf numFmtId="0" fontId="2" fillId="0" borderId="109"/>
    <xf numFmtId="0" fontId="2" fillId="0" borderId="109"/>
    <xf numFmtId="0" fontId="2" fillId="0" borderId="10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0" borderId="110"/>
    <xf numFmtId="0" fontId="282" fillId="70" borderId="11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89">
      <alignment horizontal="center"/>
    </xf>
    <xf numFmtId="0" fontId="2" fillId="0" borderId="89">
      <alignment horizontal="center"/>
    </xf>
    <xf numFmtId="0" fontId="2" fillId="0" borderId="8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0">
      <alignment horizontal="center"/>
    </xf>
    <xf numFmtId="0" fontId="2" fillId="0" borderId="90">
      <alignment horizontal="center"/>
    </xf>
    <xf numFmtId="0" fontId="2" fillId="0" borderId="90">
      <alignment horizontal="center"/>
    </xf>
    <xf numFmtId="0" fontId="2" fillId="0" borderId="9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1">
      <alignment horizontal="center"/>
    </xf>
    <xf numFmtId="0" fontId="2" fillId="0" borderId="9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2" borderId="109">
      <alignment horizontal="center" vertical="top" wrapText="1"/>
    </xf>
    <xf numFmtId="0" fontId="281" fillId="132" borderId="109">
      <alignment horizontal="center" vertical="top" wrapText="1"/>
    </xf>
    <xf numFmtId="0" fontId="281" fillId="132" borderId="109">
      <alignment horizontal="center" vertical="top" wrapText="1"/>
    </xf>
    <xf numFmtId="0" fontId="281" fillId="132" borderId="10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08"/>
    <xf numFmtId="3" fontId="2" fillId="0" borderId="108"/>
    <xf numFmtId="3" fontId="2" fillId="0" borderId="108"/>
    <xf numFmtId="3"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7">
      <alignment horizontal="center"/>
    </xf>
    <xf numFmtId="0" fontId="45" fillId="70" borderId="107">
      <alignment horizontal="center"/>
    </xf>
    <xf numFmtId="0" fontId="45" fillId="70" borderId="107">
      <alignment horizontal="center"/>
    </xf>
    <xf numFmtId="0" fontId="45" fillId="7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8">
      <alignment horizontal="center"/>
    </xf>
    <xf numFmtId="0" fontId="45" fillId="70" borderId="108">
      <alignment horizontal="center"/>
    </xf>
    <xf numFmtId="0" fontId="2" fillId="0" borderId="0" applyNumberFormat="0" applyFont="0" applyFill="0" applyBorder="0" applyAlignment="0" applyProtection="0"/>
    <xf numFmtId="0" fontId="45" fillId="70" borderId="109">
      <alignment horizontal="center"/>
    </xf>
    <xf numFmtId="0" fontId="45" fillId="70" borderId="109">
      <alignment horizontal="center"/>
    </xf>
    <xf numFmtId="0" fontId="45" fillId="70" borderId="109">
      <alignment horizontal="center"/>
    </xf>
    <xf numFmtId="0" fontId="45" fillId="70" borderId="10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89">
      <alignment horizontal="left" vertical="top"/>
    </xf>
    <xf numFmtId="0" fontId="45" fillId="70" borderId="89">
      <alignment horizontal="left" vertical="top"/>
    </xf>
    <xf numFmtId="0" fontId="45" fillId="70" borderId="89">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2" borderId="108">
      <alignment horizontal="center" vertical="center"/>
    </xf>
    <xf numFmtId="0" fontId="281" fillId="132" borderId="108">
      <alignment horizontal="center" vertical="center"/>
    </xf>
    <xf numFmtId="0" fontId="2" fillId="0" borderId="0" applyNumberFormat="0" applyFont="0" applyFill="0" applyBorder="0" applyAlignment="0" applyProtection="0"/>
    <xf numFmtId="0" fontId="281" fillId="132" borderId="109">
      <alignment horizontal="center" vertical="center"/>
    </xf>
    <xf numFmtId="0" fontId="281" fillId="132" borderId="109">
      <alignment horizontal="center" vertical="center"/>
    </xf>
    <xf numFmtId="0" fontId="281" fillId="132" borderId="109">
      <alignment horizontal="center" vertical="center"/>
    </xf>
    <xf numFmtId="0" fontId="281" fillId="132" borderId="109">
      <alignment horizontal="center" vertical="center"/>
    </xf>
    <xf numFmtId="0" fontId="2" fillId="0" borderId="0" applyNumberFormat="0" applyFont="0" applyFill="0" applyBorder="0" applyAlignment="0" applyProtection="0"/>
    <xf numFmtId="0" fontId="281" fillId="104" borderId="107">
      <alignment horizontal="center" vertical="center"/>
    </xf>
    <xf numFmtId="0" fontId="281" fillId="104" borderId="107">
      <alignment horizontal="center" vertical="center"/>
    </xf>
    <xf numFmtId="0" fontId="281" fillId="104" borderId="107">
      <alignment horizontal="center" vertical="center"/>
    </xf>
    <xf numFmtId="0" fontId="281" fillId="104" borderId="107">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04" borderId="108">
      <alignment horizontal="center" vertical="center"/>
    </xf>
    <xf numFmtId="0" fontId="281" fillId="104" borderId="108">
      <alignment horizontal="center" vertical="center"/>
    </xf>
    <xf numFmtId="0" fontId="2" fillId="0" borderId="0" applyNumberFormat="0" applyFont="0" applyFill="0" applyBorder="0" applyAlignment="0" applyProtection="0"/>
    <xf numFmtId="0" fontId="281" fillId="104" borderId="109">
      <alignment horizontal="center" vertical="center"/>
    </xf>
    <xf numFmtId="0" fontId="281" fillId="104" borderId="109">
      <alignment horizontal="center" vertical="center"/>
    </xf>
    <xf numFmtId="0" fontId="281" fillId="104" borderId="109">
      <alignment horizontal="center" vertical="center"/>
    </xf>
    <xf numFmtId="0" fontId="281" fillId="104" borderId="109">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0"/>
    <xf numFmtId="0" fontId="2" fillId="0" borderId="90"/>
    <xf numFmtId="0" fontId="2" fillId="0" borderId="90"/>
    <xf numFmtId="0" fontId="2" fillId="0" borderId="9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1"/>
    <xf numFmtId="0" fontId="2" fillId="0" borderId="9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3"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71" fillId="73" borderId="132"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32" applyNumberFormat="0" applyFont="0" applyAlignment="0" applyProtection="0"/>
    <xf numFmtId="0" fontId="2" fillId="73" borderId="132" applyNumberFormat="0" applyFont="0" applyAlignment="0" applyProtection="0"/>
    <xf numFmtId="0" fontId="2" fillId="73" borderId="132"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2" applyNumberFormat="0" applyFont="0" applyAlignment="0" applyProtection="0"/>
    <xf numFmtId="0" fontId="71" fillId="73" borderId="132" applyNumberFormat="0" applyFont="0" applyAlignment="0" applyProtection="0"/>
    <xf numFmtId="0" fontId="2" fillId="0" borderId="0" applyNumberFormat="0" applyFont="0" applyFill="0" applyBorder="0" applyAlignment="0" applyProtection="0"/>
    <xf numFmtId="0" fontId="71" fillId="73" borderId="132"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2" applyNumberFormat="0" applyFont="0" applyAlignment="0" applyProtection="0"/>
    <xf numFmtId="0" fontId="71" fillId="73" borderId="132" applyNumberFormat="0" applyFont="0" applyAlignment="0" applyProtection="0"/>
    <xf numFmtId="0" fontId="71" fillId="73" borderId="132" applyNumberFormat="0" applyFont="0" applyAlignment="0" applyProtection="0"/>
    <xf numFmtId="0" fontId="2" fillId="0" borderId="0" applyNumberFormat="0" applyFont="0" applyFill="0" applyBorder="0" applyAlignment="0" applyProtection="0"/>
    <xf numFmtId="0" fontId="71" fillId="73" borderId="132"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32" applyNumberFormat="0" applyFont="0" applyAlignment="0" applyProtection="0"/>
    <xf numFmtId="0" fontId="71" fillId="73" borderId="132" applyNumberFormat="0" applyFont="0" applyAlignment="0" applyProtection="0"/>
    <xf numFmtId="0" fontId="71" fillId="73" borderId="132" applyNumberFormat="0" applyFont="0" applyAlignment="0" applyProtection="0"/>
    <xf numFmtId="0" fontId="71" fillId="73" borderId="132" applyNumberFormat="0" applyFont="0" applyAlignment="0" applyProtection="0"/>
    <xf numFmtId="0" fontId="2" fillId="0" borderId="0" applyNumberFormat="0" applyFont="0" applyFill="0" applyBorder="0" applyAlignment="0" applyProtection="0"/>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 fillId="73" borderId="132" applyNumberFormat="0" applyFont="0" applyAlignment="0" applyProtection="0"/>
    <xf numFmtId="0" fontId="2" fillId="73" borderId="132" applyNumberFormat="0" applyFont="0" applyAlignment="0" applyProtection="0"/>
    <xf numFmtId="3" fontId="207" fillId="0" borderId="115">
      <alignment vertical="center"/>
    </xf>
    <xf numFmtId="0" fontId="284" fillId="0" borderId="68"/>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33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235" fillId="0" borderId="68" applyNumberFormat="0" applyBorder="0" applyAlignment="0" applyProtection="0">
      <alignment horizontal="right"/>
      <protection locked="0"/>
    </xf>
    <xf numFmtId="0" fontId="183" fillId="133" borderId="0" applyNumberFormat="0" applyFont="0" applyBorder="0" applyAlignment="0"/>
    <xf numFmtId="0" fontId="2" fillId="0" borderId="0" applyNumberFormat="0" applyFont="0" applyFill="0" applyBorder="0" applyAlignment="0" applyProtection="0"/>
    <xf numFmtId="3" fontId="2" fillId="74" borderId="106">
      <alignment horizontal="right"/>
      <protection locked="0"/>
    </xf>
    <xf numFmtId="0" fontId="10" fillId="0" borderId="0"/>
    <xf numFmtId="3" fontId="2" fillId="74" borderId="106">
      <alignment horizontal="right"/>
      <protection locked="0"/>
    </xf>
    <xf numFmtId="0" fontId="2" fillId="0" borderId="0" applyNumberFormat="0" applyFont="0" applyFill="0" applyBorder="0" applyAlignment="0" applyProtection="0"/>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 fillId="74" borderId="106">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60" fontId="2" fillId="74" borderId="106">
      <alignment horizontal="right"/>
      <protection locked="0"/>
    </xf>
    <xf numFmtId="0" fontId="10" fillId="0" borderId="0"/>
    <xf numFmtId="260" fontId="2" fillId="74" borderId="106">
      <alignment horizontal="right"/>
      <protection locked="0"/>
    </xf>
    <xf numFmtId="0" fontId="2" fillId="0" borderId="0" applyNumberFormat="0" applyFont="0" applyFill="0" applyBorder="0" applyAlignment="0" applyProtection="0"/>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260" fontId="2" fillId="74" borderId="106">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 fillId="74" borderId="106" applyFont="0">
      <alignment horizontal="right"/>
      <protection locked="0"/>
    </xf>
    <xf numFmtId="0" fontId="10" fillId="0" borderId="0"/>
    <xf numFmtId="10" fontId="2" fillId="74" borderId="106" applyFont="0">
      <alignment horizontal="right"/>
      <protection locked="0"/>
    </xf>
    <xf numFmtId="0" fontId="2" fillId="0" borderId="0" applyNumberFormat="0" applyFont="0" applyFill="0" applyBorder="0" applyAlignment="0" applyProtection="0"/>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10" fontId="2" fillId="74" borderId="106" applyFont="0">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74" borderId="106">
      <alignment horizontal="right"/>
      <protection locked="0"/>
    </xf>
    <xf numFmtId="0" fontId="10" fillId="0" borderId="0"/>
    <xf numFmtId="9" fontId="2" fillId="74" borderId="106">
      <alignment horizontal="right"/>
      <protection locked="0"/>
    </xf>
    <xf numFmtId="0" fontId="2" fillId="0" borderId="0" applyNumberFormat="0" applyFont="0" applyFill="0" applyBorder="0" applyAlignment="0" applyProtection="0"/>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9" fontId="2" fillId="74" borderId="106">
      <alignment horizontal="right"/>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331" fontId="2" fillId="74" borderId="106" applyFont="0">
      <alignment horizontal="right" vertical="center"/>
      <protection locked="0"/>
    </xf>
    <xf numFmtId="331" fontId="2" fillId="74" borderId="106" applyFont="0">
      <alignment horizontal="right" vertical="center"/>
      <protection locked="0"/>
    </xf>
    <xf numFmtId="331" fontId="2" fillId="74" borderId="106" applyFont="0">
      <alignment horizontal="right" vertical="center"/>
      <protection locked="0"/>
    </xf>
    <xf numFmtId="331" fontId="2" fillId="74" borderId="106" applyFont="0">
      <alignment horizontal="right" vertical="center"/>
      <protection locked="0"/>
    </xf>
    <xf numFmtId="331" fontId="2" fillId="74" borderId="106"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74" borderId="106">
      <alignment horizontal="center" wrapText="1"/>
    </xf>
    <xf numFmtId="0" fontId="10" fillId="0" borderId="0"/>
    <xf numFmtId="0" fontId="2" fillId="74" borderId="106">
      <alignment horizontal="center" wrapText="1"/>
    </xf>
    <xf numFmtId="0" fontId="2" fillId="0" borderId="0" applyNumberFormat="0" applyFont="0" applyFill="0" applyBorder="0" applyAlignment="0" applyProtection="0"/>
    <xf numFmtId="0" fontId="2" fillId="74" borderId="106">
      <alignment horizontal="center" wrapText="1"/>
    </xf>
    <xf numFmtId="0" fontId="2" fillId="74" borderId="106">
      <alignment horizontal="center" wrapText="1"/>
    </xf>
    <xf numFmtId="0" fontId="2" fillId="74" borderId="106">
      <alignment horizontal="center" wrapText="1"/>
    </xf>
    <xf numFmtId="0" fontId="2" fillId="74" borderId="106">
      <alignment horizontal="center" wrapText="1"/>
    </xf>
    <xf numFmtId="3" fontId="207" fillId="0" borderId="115">
      <alignment vertical="center"/>
    </xf>
    <xf numFmtId="0" fontId="2" fillId="0" borderId="0" applyNumberFormat="0" applyFont="0" applyFill="0" applyBorder="0" applyAlignment="0" applyProtection="0"/>
    <xf numFmtId="0" fontId="10" fillId="0" borderId="0"/>
    <xf numFmtId="0" fontId="2" fillId="74" borderId="106">
      <alignment horizontal="center" wrapText="1"/>
    </xf>
    <xf numFmtId="0" fontId="2" fillId="74" borderId="106">
      <alignment horizontal="center" wrapText="1"/>
    </xf>
    <xf numFmtId="0" fontId="2" fillId="74" borderId="106">
      <alignment horizontal="center" wrapText="1"/>
    </xf>
    <xf numFmtId="0" fontId="2" fillId="74" borderId="106">
      <alignment horizontal="center" wrapText="1"/>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74" borderId="106" applyNumberFormat="0" applyFont="0">
      <alignment horizontal="center" wrapText="1"/>
      <protection locked="0"/>
    </xf>
    <xf numFmtId="0" fontId="10" fillId="0" borderId="0"/>
    <xf numFmtId="0" fontId="2" fillId="74" borderId="106" applyNumberFormat="0" applyFont="0">
      <alignment horizontal="center" wrapText="1"/>
      <protection locked="0"/>
    </xf>
    <xf numFmtId="0" fontId="2" fillId="0" borderId="0" applyNumberFormat="0" applyFont="0" applyFill="0" applyBorder="0" applyAlignment="0" applyProtection="0"/>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3" fontId="207" fillId="0" borderId="115">
      <alignment vertical="center"/>
    </xf>
    <xf numFmtId="0" fontId="2" fillId="0" borderId="0" applyNumberFormat="0" applyFont="0" applyFill="0" applyBorder="0" applyAlignment="0" applyProtection="0"/>
    <xf numFmtId="0" fontId="10" fillId="0" borderId="0"/>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0" fontId="2" fillId="74" borderId="106" applyNumberFormat="0" applyFont="0">
      <alignment horizontal="center" wrapText="1"/>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66" fillId="63" borderId="145" applyNumberFormat="0" applyAlignment="0" applyProtection="0"/>
    <xf numFmtId="0" fontId="68" fillId="63" borderId="145" applyNumberFormat="0" applyAlignment="0" applyProtection="0"/>
    <xf numFmtId="0" fontId="68" fillId="63" borderId="145" applyNumberFormat="0" applyAlignment="0" applyProtection="0"/>
    <xf numFmtId="0" fontId="68" fillId="63" borderId="145" applyNumberFormat="0" applyAlignment="0" applyProtection="0"/>
    <xf numFmtId="0" fontId="68" fillId="63" borderId="145" applyNumberFormat="0" applyAlignment="0" applyProtection="0"/>
    <xf numFmtId="0" fontId="10" fillId="0" borderId="0"/>
    <xf numFmtId="0" fontId="10" fillId="0" borderId="0"/>
    <xf numFmtId="0" fontId="10" fillId="0" borderId="0"/>
    <xf numFmtId="0" fontId="10" fillId="0" borderId="0"/>
    <xf numFmtId="0" fontId="66" fillId="109"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45" applyNumberFormat="0" applyAlignment="0" applyProtection="0"/>
    <xf numFmtId="0" fontId="66" fillId="109" borderId="145" applyNumberFormat="0" applyAlignment="0" applyProtection="0"/>
    <xf numFmtId="0" fontId="2" fillId="0" borderId="0" applyNumberFormat="0" applyFont="0" applyFill="0" applyBorder="0" applyAlignment="0" applyProtection="0"/>
    <xf numFmtId="0" fontId="66" fillId="109"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45" applyNumberFormat="0" applyAlignment="0" applyProtection="0"/>
    <xf numFmtId="0" fontId="66" fillId="109" borderId="145" applyNumberFormat="0" applyAlignment="0" applyProtection="0"/>
    <xf numFmtId="0" fontId="2" fillId="0" borderId="0" applyNumberFormat="0" applyFont="0" applyFill="0" applyBorder="0" applyAlignment="0" applyProtection="0"/>
    <xf numFmtId="0" fontId="66" fillId="109"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45" applyNumberFormat="0" applyAlignment="0" applyProtection="0"/>
    <xf numFmtId="0" fontId="66" fillId="109" borderId="145" applyNumberFormat="0" applyAlignment="0" applyProtection="0"/>
    <xf numFmtId="0" fontId="2" fillId="0" borderId="0" applyNumberFormat="0" applyFont="0" applyFill="0" applyBorder="0" applyAlignment="0" applyProtection="0"/>
    <xf numFmtId="0" fontId="68" fillId="63" borderId="145" applyNumberFormat="0" applyAlignment="0" applyProtection="0"/>
    <xf numFmtId="0" fontId="68" fillId="63"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5" applyNumberFormat="0" applyAlignment="0" applyProtection="0"/>
    <xf numFmtId="0" fontId="68" fillId="63" borderId="145" applyNumberFormat="0" applyAlignment="0" applyProtection="0"/>
    <xf numFmtId="173" fontId="231" fillId="134" borderId="68"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32" fontId="102"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2" fillId="0" borderId="0" applyFont="0" applyFill="0" applyBorder="0" applyAlignment="0">
      <alignment vertical="center"/>
    </xf>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5" fillId="57" borderId="10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3" fontId="286" fillId="135" borderId="11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287" fillId="0" borderId="0" applyFill="0" applyBorder="0" applyProtection="0">
      <alignment horizontal="left"/>
    </xf>
    <xf numFmtId="0" fontId="288" fillId="0" borderId="0" applyFill="0" applyBorder="0" applyProtection="0">
      <alignment horizontal="left"/>
    </xf>
    <xf numFmtId="1" fontId="289"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4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74" borderId="0" applyNumberFormat="0" applyFont="0" applyBorder="0" applyAlignment="0" applyProtection="0"/>
    <xf numFmtId="0" fontId="19" fillId="131" borderId="68" applyNumberFormat="0" applyFont="0" applyBorder="0" applyAlignment="0" applyProtection="0">
      <alignment horizontal="center"/>
    </xf>
    <xf numFmtId="0" fontId="19" fillId="131" borderId="68"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9" fillId="96" borderId="68" applyNumberFormat="0" applyFont="0" applyBorder="0" applyAlignment="0" applyProtection="0">
      <alignment horizontal="center"/>
    </xf>
    <xf numFmtId="0" fontId="19" fillId="96" borderId="68"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58" fillId="0" borderId="14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0"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15">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199"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7" fillId="0" borderId="115">
      <alignment vertical="center"/>
    </xf>
    <xf numFmtId="10" fontId="2" fillId="0" borderId="15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51" fillId="0" borderId="0"/>
    <xf numFmtId="0" fontId="2" fillId="0" borderId="0" applyNumberFormat="0" applyFont="0" applyFill="0" applyBorder="0" applyAlignment="0" applyProtection="0"/>
    <xf numFmtId="0" fontId="10" fillId="0" borderId="0"/>
    <xf numFmtId="0" fontId="46" fillId="69" borderId="62">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91"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7" fillId="0" borderId="115">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2" fillId="0" borderId="0">
      <protection locked="0"/>
    </xf>
    <xf numFmtId="0" fontId="292"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45" fillId="92" borderId="62"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7" fontId="293" fillId="0" borderId="0" applyNumberFormat="0" applyFill="0" applyBorder="0" applyAlignment="0" applyProtection="0"/>
    <xf numFmtId="295" fontId="293" fillId="0" borderId="0" applyNumberFormat="0" applyFill="0" applyBorder="0" applyAlignment="0" applyProtection="0"/>
    <xf numFmtId="3" fontId="207" fillId="0" borderId="115">
      <alignment vertical="center"/>
    </xf>
    <xf numFmtId="0" fontId="10" fillId="0" borderId="0"/>
    <xf numFmtId="0" fontId="175" fillId="111"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3" fontId="2" fillId="95" borderId="106" applyFont="0">
      <alignment horizontal="right" vertical="center"/>
      <protection locked="0"/>
    </xf>
    <xf numFmtId="3" fontId="2" fillId="95" borderId="106" applyFont="0">
      <alignment horizontal="right" vertical="center"/>
      <protection locked="0"/>
    </xf>
    <xf numFmtId="3" fontId="2" fillId="95" borderId="106" applyFont="0">
      <alignment horizontal="right" vertical="center"/>
      <protection locked="0"/>
    </xf>
    <xf numFmtId="3" fontId="2" fillId="95" borderId="106" applyFont="0">
      <alignment horizontal="right" vertical="center"/>
      <protection locked="0"/>
    </xf>
    <xf numFmtId="3" fontId="2" fillId="95" borderId="106"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7" fillId="0" borderId="0"/>
    <xf numFmtId="0" fontId="10" fillId="0" borderId="0"/>
    <xf numFmtId="38" fontId="294" fillId="0" borderId="0">
      <alignment horizontal="center"/>
    </xf>
    <xf numFmtId="0" fontId="10" fillId="0" borderId="0"/>
    <xf numFmtId="0" fontId="295" fillId="45" borderId="10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165" fontId="296" fillId="0" borderId="0">
      <alignment horizontal="right"/>
    </xf>
    <xf numFmtId="0" fontId="10" fillId="0" borderId="0"/>
    <xf numFmtId="0" fontId="2" fillId="0" borderId="15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45" applyNumberFormat="0" applyProtection="0">
      <alignment vertical="center"/>
    </xf>
    <xf numFmtId="4" fontId="29" fillId="88" borderId="145" applyNumberFormat="0" applyProtection="0">
      <alignment vertical="center"/>
    </xf>
    <xf numFmtId="4" fontId="29" fillId="88" borderId="145" applyNumberFormat="0" applyProtection="0">
      <alignment vertical="center"/>
    </xf>
    <xf numFmtId="4" fontId="29" fillId="88" borderId="145" applyNumberFormat="0" applyProtection="0">
      <alignment vertical="center"/>
    </xf>
    <xf numFmtId="4" fontId="29" fillId="88" borderId="145" applyNumberFormat="0" applyProtection="0">
      <alignment vertical="center"/>
    </xf>
    <xf numFmtId="4" fontId="297" fillId="88" borderId="145" applyNumberFormat="0" applyProtection="0">
      <alignment vertical="center"/>
    </xf>
    <xf numFmtId="4" fontId="297" fillId="88" borderId="145" applyNumberFormat="0" applyProtection="0">
      <alignment vertical="center"/>
    </xf>
    <xf numFmtId="4" fontId="297" fillId="88" borderId="145" applyNumberFormat="0" applyProtection="0">
      <alignment vertical="center"/>
    </xf>
    <xf numFmtId="4" fontId="297" fillId="88" borderId="145" applyNumberFormat="0" applyProtection="0">
      <alignment vertical="center"/>
    </xf>
    <xf numFmtId="4" fontId="297" fillId="88" borderId="145" applyNumberFormat="0" applyProtection="0">
      <alignment vertical="center"/>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4" fontId="29" fillId="88"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4" fontId="29" fillId="93" borderId="145" applyNumberFormat="0" applyProtection="0">
      <alignment horizontal="right" vertical="center"/>
    </xf>
    <xf numFmtId="4" fontId="29" fillId="93" borderId="145" applyNumberFormat="0" applyProtection="0">
      <alignment horizontal="right" vertical="center"/>
    </xf>
    <xf numFmtId="4" fontId="29" fillId="93" borderId="145" applyNumberFormat="0" applyProtection="0">
      <alignment horizontal="right" vertical="center"/>
    </xf>
    <xf numFmtId="4" fontId="29" fillId="93" borderId="145" applyNumberFormat="0" applyProtection="0">
      <alignment horizontal="right" vertical="center"/>
    </xf>
    <xf numFmtId="4" fontId="29" fillId="93" borderId="145" applyNumberFormat="0" applyProtection="0">
      <alignment horizontal="right" vertical="center"/>
    </xf>
    <xf numFmtId="4" fontId="29" fillId="97" borderId="145" applyNumberFormat="0" applyProtection="0">
      <alignment horizontal="right" vertical="center"/>
    </xf>
    <xf numFmtId="4" fontId="29" fillId="97" borderId="145" applyNumberFormat="0" applyProtection="0">
      <alignment horizontal="right" vertical="center"/>
    </xf>
    <xf numFmtId="4" fontId="29" fillId="97" borderId="145" applyNumberFormat="0" applyProtection="0">
      <alignment horizontal="right" vertical="center"/>
    </xf>
    <xf numFmtId="4" fontId="29" fillId="97" borderId="145" applyNumberFormat="0" applyProtection="0">
      <alignment horizontal="right" vertical="center"/>
    </xf>
    <xf numFmtId="4" fontId="29" fillId="97" borderId="145" applyNumberFormat="0" applyProtection="0">
      <alignment horizontal="right" vertical="center"/>
    </xf>
    <xf numFmtId="4" fontId="29" fillId="104" borderId="145" applyNumberFormat="0" applyProtection="0">
      <alignment horizontal="right" vertical="center"/>
    </xf>
    <xf numFmtId="4" fontId="29" fillId="104" borderId="145" applyNumberFormat="0" applyProtection="0">
      <alignment horizontal="right" vertical="center"/>
    </xf>
    <xf numFmtId="4" fontId="29" fillId="104" borderId="145" applyNumberFormat="0" applyProtection="0">
      <alignment horizontal="right" vertical="center"/>
    </xf>
    <xf numFmtId="4" fontId="29" fillId="104" borderId="145" applyNumberFormat="0" applyProtection="0">
      <alignment horizontal="right" vertical="center"/>
    </xf>
    <xf numFmtId="4" fontId="29" fillId="104" borderId="145" applyNumberFormat="0" applyProtection="0">
      <alignment horizontal="right" vertical="center"/>
    </xf>
    <xf numFmtId="4" fontId="29" fillId="99" borderId="145" applyNumberFormat="0" applyProtection="0">
      <alignment horizontal="right" vertical="center"/>
    </xf>
    <xf numFmtId="4" fontId="29" fillId="99" borderId="145" applyNumberFormat="0" applyProtection="0">
      <alignment horizontal="right" vertical="center"/>
    </xf>
    <xf numFmtId="4" fontId="29" fillId="99" borderId="145" applyNumberFormat="0" applyProtection="0">
      <alignment horizontal="right" vertical="center"/>
    </xf>
    <xf numFmtId="4" fontId="29" fillId="99" borderId="145" applyNumberFormat="0" applyProtection="0">
      <alignment horizontal="right" vertical="center"/>
    </xf>
    <xf numFmtId="4" fontId="29" fillId="99" borderId="145" applyNumberFormat="0" applyProtection="0">
      <alignment horizontal="right" vertical="center"/>
    </xf>
    <xf numFmtId="4" fontId="29" fillId="102" borderId="145" applyNumberFormat="0" applyProtection="0">
      <alignment horizontal="right" vertical="center"/>
    </xf>
    <xf numFmtId="4" fontId="29" fillId="102" borderId="145" applyNumberFormat="0" applyProtection="0">
      <alignment horizontal="right" vertical="center"/>
    </xf>
    <xf numFmtId="4" fontId="29" fillId="102" borderId="145" applyNumberFormat="0" applyProtection="0">
      <alignment horizontal="right" vertical="center"/>
    </xf>
    <xf numFmtId="4" fontId="29" fillId="102" borderId="145" applyNumberFormat="0" applyProtection="0">
      <alignment horizontal="right" vertical="center"/>
    </xf>
    <xf numFmtId="4" fontId="29" fillId="102" borderId="145" applyNumberFormat="0" applyProtection="0">
      <alignment horizontal="right" vertical="center"/>
    </xf>
    <xf numFmtId="4" fontId="29" fillId="106" borderId="145" applyNumberFormat="0" applyProtection="0">
      <alignment horizontal="right" vertical="center"/>
    </xf>
    <xf numFmtId="4" fontId="29" fillId="106" borderId="145" applyNumberFormat="0" applyProtection="0">
      <alignment horizontal="right" vertical="center"/>
    </xf>
    <xf numFmtId="4" fontId="29" fillId="106" borderId="145" applyNumberFormat="0" applyProtection="0">
      <alignment horizontal="right" vertical="center"/>
    </xf>
    <xf numFmtId="4" fontId="29" fillId="106" borderId="145" applyNumberFormat="0" applyProtection="0">
      <alignment horizontal="right" vertical="center"/>
    </xf>
    <xf numFmtId="4" fontId="29" fillId="106" borderId="145" applyNumberFormat="0" applyProtection="0">
      <alignment horizontal="right" vertical="center"/>
    </xf>
    <xf numFmtId="4" fontId="29" fillId="105" borderId="145" applyNumberFormat="0" applyProtection="0">
      <alignment horizontal="right" vertical="center"/>
    </xf>
    <xf numFmtId="4" fontId="29" fillId="105" borderId="145" applyNumberFormat="0" applyProtection="0">
      <alignment horizontal="right" vertical="center"/>
    </xf>
    <xf numFmtId="4" fontId="29" fillId="105" borderId="145" applyNumberFormat="0" applyProtection="0">
      <alignment horizontal="right" vertical="center"/>
    </xf>
    <xf numFmtId="4" fontId="29" fillId="105" borderId="145" applyNumberFormat="0" applyProtection="0">
      <alignment horizontal="right" vertical="center"/>
    </xf>
    <xf numFmtId="4" fontId="29" fillId="105" borderId="145" applyNumberFormat="0" applyProtection="0">
      <alignment horizontal="right" vertical="center"/>
    </xf>
    <xf numFmtId="4" fontId="29" fillId="136" borderId="145" applyNumberFormat="0" applyProtection="0">
      <alignment horizontal="right" vertical="center"/>
    </xf>
    <xf numFmtId="4" fontId="29" fillId="136" borderId="145" applyNumberFormat="0" applyProtection="0">
      <alignment horizontal="right" vertical="center"/>
    </xf>
    <xf numFmtId="4" fontId="29" fillId="136" borderId="145" applyNumberFormat="0" applyProtection="0">
      <alignment horizontal="right" vertical="center"/>
    </xf>
    <xf numFmtId="4" fontId="29" fillId="136" borderId="145" applyNumberFormat="0" applyProtection="0">
      <alignment horizontal="right" vertical="center"/>
    </xf>
    <xf numFmtId="4" fontId="29" fillId="136" borderId="145" applyNumberFormat="0" applyProtection="0">
      <alignment horizontal="right" vertical="center"/>
    </xf>
    <xf numFmtId="4" fontId="29" fillId="98" borderId="145" applyNumberFormat="0" applyProtection="0">
      <alignment horizontal="right" vertical="center"/>
    </xf>
    <xf numFmtId="4" fontId="29" fillId="98" borderId="145" applyNumberFormat="0" applyProtection="0">
      <alignment horizontal="right" vertical="center"/>
    </xf>
    <xf numFmtId="4" fontId="29" fillId="98" borderId="145" applyNumberFormat="0" applyProtection="0">
      <alignment horizontal="right" vertical="center"/>
    </xf>
    <xf numFmtId="4" fontId="29" fillId="98" borderId="145" applyNumberFormat="0" applyProtection="0">
      <alignment horizontal="right" vertical="center"/>
    </xf>
    <xf numFmtId="4" fontId="29" fillId="98" borderId="145" applyNumberFormat="0" applyProtection="0">
      <alignment horizontal="right" vertical="center"/>
    </xf>
    <xf numFmtId="4" fontId="186" fillId="137" borderId="145" applyNumberFormat="0" applyProtection="0">
      <alignment horizontal="left" vertical="center" indent="1"/>
    </xf>
    <xf numFmtId="4" fontId="186" fillId="137" borderId="145" applyNumberFormat="0" applyProtection="0">
      <alignment horizontal="left" vertical="center" indent="1"/>
    </xf>
    <xf numFmtId="4" fontId="186" fillId="137" borderId="145" applyNumberFormat="0" applyProtection="0">
      <alignment horizontal="left" vertical="center" indent="1"/>
    </xf>
    <xf numFmtId="4" fontId="186" fillId="137" borderId="145" applyNumberFormat="0" applyProtection="0">
      <alignment horizontal="left" vertical="center" indent="1"/>
    </xf>
    <xf numFmtId="4" fontId="186" fillId="137" borderId="145" applyNumberFormat="0" applyProtection="0">
      <alignment horizontal="left" vertical="center" indent="1"/>
    </xf>
    <xf numFmtId="4" fontId="29" fillId="138" borderId="152" applyNumberFormat="0" applyProtection="0">
      <alignment horizontal="left" vertical="center" indent="1"/>
    </xf>
    <xf numFmtId="4" fontId="29" fillId="138" borderId="152" applyNumberFormat="0" applyProtection="0">
      <alignment horizontal="left" vertical="center" indent="1"/>
    </xf>
    <xf numFmtId="4" fontId="29" fillId="138" borderId="152" applyNumberFormat="0" applyProtection="0">
      <alignment horizontal="left" vertical="center" indent="1"/>
    </xf>
    <xf numFmtId="4" fontId="29" fillId="138" borderId="152" applyNumberFormat="0" applyProtection="0">
      <alignment horizontal="left" vertical="center" indent="1"/>
    </xf>
    <xf numFmtId="4" fontId="29" fillId="138" borderId="152" applyNumberFormat="0" applyProtection="0">
      <alignment horizontal="left" vertical="center" indent="1"/>
    </xf>
    <xf numFmtId="4" fontId="298" fillId="139" borderId="0"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4" fontId="29" fillId="138" borderId="145" applyNumberFormat="0" applyProtection="0">
      <alignment horizontal="left" vertical="center" indent="1"/>
    </xf>
    <xf numFmtId="4" fontId="29" fillId="138" borderId="145" applyNumberFormat="0" applyProtection="0">
      <alignment horizontal="left" vertical="center" indent="1"/>
    </xf>
    <xf numFmtId="4" fontId="29" fillId="138" borderId="145" applyNumberFormat="0" applyProtection="0">
      <alignment horizontal="left" vertical="center" indent="1"/>
    </xf>
    <xf numFmtId="4" fontId="29" fillId="138" borderId="145" applyNumberFormat="0" applyProtection="0">
      <alignment horizontal="left" vertical="center" indent="1"/>
    </xf>
    <xf numFmtId="4" fontId="29" fillId="138" borderId="145" applyNumberFormat="0" applyProtection="0">
      <alignment horizontal="left" vertical="center" indent="1"/>
    </xf>
    <xf numFmtId="4" fontId="29" fillId="140" borderId="145" applyNumberFormat="0" applyProtection="0">
      <alignment horizontal="left" vertical="center" indent="1"/>
    </xf>
    <xf numFmtId="4" fontId="29" fillId="140" borderId="145" applyNumberFormat="0" applyProtection="0">
      <alignment horizontal="left" vertical="center" indent="1"/>
    </xf>
    <xf numFmtId="4" fontId="29" fillId="140" borderId="145" applyNumberFormat="0" applyProtection="0">
      <alignment horizontal="left" vertical="center" indent="1"/>
    </xf>
    <xf numFmtId="4" fontId="29" fillId="140" borderId="145" applyNumberFormat="0" applyProtection="0">
      <alignment horizontal="left" vertical="center" indent="1"/>
    </xf>
    <xf numFmtId="4" fontId="29"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2" fillId="140" borderId="145" applyNumberFormat="0" applyProtection="0">
      <alignment horizontal="left" vertical="center" indent="1"/>
    </xf>
    <xf numFmtId="0" fontId="45" fillId="133" borderId="153"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53" applyNumberFormat="0" applyProtection="0">
      <alignment horizontal="left" vertical="center" indent="1"/>
    </xf>
    <xf numFmtId="0" fontId="45" fillId="133" borderId="153" applyNumberFormat="0" applyProtection="0">
      <alignment horizontal="left" vertical="center" indent="1"/>
    </xf>
    <xf numFmtId="0" fontId="2" fillId="0" borderId="0" applyNumberFormat="0" applyFont="0" applyFill="0" applyBorder="0" applyAlignment="0" applyProtection="0"/>
    <xf numFmtId="0" fontId="2" fillId="113" borderId="145" applyNumberFormat="0" applyProtection="0">
      <alignment horizontal="left" vertical="center" indent="1"/>
    </xf>
    <xf numFmtId="0" fontId="2" fillId="113" borderId="145" applyNumberFormat="0" applyProtection="0">
      <alignment horizontal="left" vertical="center" indent="1"/>
    </xf>
    <xf numFmtId="0" fontId="2" fillId="113" borderId="145" applyNumberFormat="0" applyProtection="0">
      <alignment horizontal="left" vertical="center" indent="1"/>
    </xf>
    <xf numFmtId="0" fontId="2" fillId="113" borderId="145" applyNumberFormat="0" applyProtection="0">
      <alignment horizontal="left" vertical="center" indent="1"/>
    </xf>
    <xf numFmtId="0" fontId="2" fillId="113"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68"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4" fontId="29" fillId="107" borderId="145" applyNumberFormat="0" applyProtection="0">
      <alignment vertical="center"/>
    </xf>
    <xf numFmtId="4" fontId="29" fillId="107" borderId="145" applyNumberFormat="0" applyProtection="0">
      <alignment vertical="center"/>
    </xf>
    <xf numFmtId="4" fontId="29" fillId="107" borderId="145" applyNumberFormat="0" applyProtection="0">
      <alignment vertical="center"/>
    </xf>
    <xf numFmtId="4" fontId="29" fillId="107" borderId="145" applyNumberFormat="0" applyProtection="0">
      <alignment vertical="center"/>
    </xf>
    <xf numFmtId="4" fontId="29" fillId="107" borderId="145" applyNumberFormat="0" applyProtection="0">
      <alignment vertical="center"/>
    </xf>
    <xf numFmtId="4" fontId="297" fillId="107" borderId="145" applyNumberFormat="0" applyProtection="0">
      <alignment vertical="center"/>
    </xf>
    <xf numFmtId="4" fontId="297" fillId="107" borderId="145" applyNumberFormat="0" applyProtection="0">
      <alignment vertical="center"/>
    </xf>
    <xf numFmtId="4" fontId="297" fillId="107" borderId="145" applyNumberFormat="0" applyProtection="0">
      <alignment vertical="center"/>
    </xf>
    <xf numFmtId="4" fontId="297" fillId="107" borderId="145" applyNumberFormat="0" applyProtection="0">
      <alignment vertical="center"/>
    </xf>
    <xf numFmtId="4" fontId="297" fillId="107" borderId="145" applyNumberFormat="0" applyProtection="0">
      <alignment vertical="center"/>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4" fontId="29" fillId="107" borderId="145" applyNumberFormat="0" applyProtection="0">
      <alignment horizontal="left" vertical="center" indent="1"/>
    </xf>
    <xf numFmtId="340" fontId="29" fillId="131" borderId="153" applyProtection="0">
      <alignment horizontal="right" vertical="center"/>
    </xf>
    <xf numFmtId="340" fontId="29" fillId="131" borderId="153"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53" applyProtection="0">
      <alignment horizontal="right" vertical="center"/>
    </xf>
    <xf numFmtId="340" fontId="29" fillId="131" borderId="153" applyProtection="0">
      <alignment horizontal="right" vertical="center"/>
    </xf>
    <xf numFmtId="340" fontId="29" fillId="131" borderId="153"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4" fontId="297" fillId="138" borderId="145" applyNumberFormat="0" applyProtection="0">
      <alignment horizontal="right" vertical="center"/>
    </xf>
    <xf numFmtId="4" fontId="297" fillId="138" borderId="145" applyNumberFormat="0" applyProtection="0">
      <alignment horizontal="right" vertical="center"/>
    </xf>
    <xf numFmtId="4" fontId="297" fillId="138" borderId="145" applyNumberFormat="0" applyProtection="0">
      <alignment horizontal="right" vertical="center"/>
    </xf>
    <xf numFmtId="4" fontId="297" fillId="138" borderId="145" applyNumberFormat="0" applyProtection="0">
      <alignment horizontal="right" vertical="center"/>
    </xf>
    <xf numFmtId="4" fontId="297" fillId="138" borderId="145" applyNumberFormat="0" applyProtection="0">
      <alignment horizontal="right" vertical="center"/>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 fillId="92" borderId="145" applyNumberFormat="0" applyProtection="0">
      <alignment horizontal="left" vertical="center" indent="1"/>
    </xf>
    <xf numFmtId="0" fontId="299" fillId="0" borderId="0"/>
    <xf numFmtId="4" fontId="204" fillId="138" borderId="145" applyNumberFormat="0" applyProtection="0">
      <alignment horizontal="right" vertical="center"/>
    </xf>
    <xf numFmtId="4" fontId="204" fillId="138" borderId="145" applyNumberFormat="0" applyProtection="0">
      <alignment horizontal="right" vertical="center"/>
    </xf>
    <xf numFmtId="4" fontId="204" fillId="138" borderId="145" applyNumberFormat="0" applyProtection="0">
      <alignment horizontal="right" vertical="center"/>
    </xf>
    <xf numFmtId="4" fontId="204" fillId="138" borderId="145" applyNumberFormat="0" applyProtection="0">
      <alignment horizontal="right" vertical="center"/>
    </xf>
    <xf numFmtId="4" fontId="204" fillId="138" borderId="145"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300" fillId="0" borderId="0"/>
    <xf numFmtId="341" fontId="158" fillId="0" borderId="0"/>
    <xf numFmtId="342" fontId="158" fillId="0" borderId="0"/>
    <xf numFmtId="0" fontId="208" fillId="0" borderId="23"/>
    <xf numFmtId="0" fontId="301" fillId="71" borderId="94"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2" fillId="141" borderId="0"/>
    <xf numFmtId="0" fontId="303" fillId="141" borderId="0"/>
    <xf numFmtId="0" fontId="304" fillId="141" borderId="154">
      <alignment horizontal="right"/>
    </xf>
    <xf numFmtId="0" fontId="304" fillId="141" borderId="0"/>
    <xf numFmtId="0" fontId="302" fillId="69" borderId="154">
      <protection locked="0"/>
    </xf>
    <xf numFmtId="0" fontId="302" fillId="141" borderId="0"/>
    <xf numFmtId="0" fontId="305" fillId="71" borderId="0"/>
    <xf numFmtId="0" fontId="305" fillId="98" borderId="0"/>
    <xf numFmtId="0" fontId="305"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6" fillId="0" borderId="0">
      <alignment horizontal="right"/>
    </xf>
    <xf numFmtId="0" fontId="229" fillId="0" borderId="0"/>
    <xf numFmtId="164" fontId="199" fillId="142" borderId="0" applyNumberFormat="0" applyFont="0"/>
    <xf numFmtId="0" fontId="158" fillId="143" borderId="0" applyNumberFormat="0" applyFont="0" applyBorder="0" applyAlignment="0" applyProtection="0"/>
    <xf numFmtId="346" fontId="306" fillId="0" borderId="0" applyFont="0" applyFill="0" applyBorder="0" applyAlignment="0" applyProtection="0"/>
    <xf numFmtId="1" fontId="2" fillId="0" borderId="0"/>
    <xf numFmtId="347" fontId="2" fillId="69" borderId="106">
      <alignment horizontal="center"/>
    </xf>
    <xf numFmtId="0" fontId="10" fillId="0" borderId="0"/>
    <xf numFmtId="347" fontId="2" fillId="69" borderId="106">
      <alignment horizontal="center"/>
    </xf>
    <xf numFmtId="0" fontId="2" fillId="0" borderId="0" applyNumberFormat="0" applyFont="0" applyFill="0" applyBorder="0" applyAlignment="0" applyProtection="0"/>
    <xf numFmtId="347" fontId="2" fillId="69" borderId="106">
      <alignment horizontal="center"/>
    </xf>
    <xf numFmtId="347" fontId="2" fillId="69" borderId="106">
      <alignment horizontal="center"/>
    </xf>
    <xf numFmtId="347" fontId="2" fillId="69" borderId="106">
      <alignment horizontal="center"/>
    </xf>
    <xf numFmtId="347" fontId="2" fillId="69" borderId="106">
      <alignment horizontal="center"/>
    </xf>
    <xf numFmtId="3" fontId="207" fillId="0" borderId="115">
      <alignment vertical="center"/>
    </xf>
    <xf numFmtId="0" fontId="2" fillId="0" borderId="0" applyNumberFormat="0" applyFont="0" applyFill="0" applyBorder="0" applyAlignment="0" applyProtection="0"/>
    <xf numFmtId="0" fontId="10" fillId="0" borderId="0"/>
    <xf numFmtId="347" fontId="2" fillId="69" borderId="106">
      <alignment horizontal="center"/>
    </xf>
    <xf numFmtId="347" fontId="2" fillId="69" borderId="106">
      <alignment horizontal="center"/>
    </xf>
    <xf numFmtId="347" fontId="2" fillId="69" borderId="106">
      <alignment horizontal="center"/>
    </xf>
    <xf numFmtId="347" fontId="2" fillId="69" borderId="106">
      <alignment horizontal="center"/>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 fontId="2" fillId="69" borderId="106" applyFont="0">
      <alignment horizontal="right"/>
    </xf>
    <xf numFmtId="0" fontId="10" fillId="0" borderId="0"/>
    <xf numFmtId="3" fontId="2" fillId="69" borderId="106"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06" applyFont="0">
      <alignment horizontal="right" vertical="center"/>
    </xf>
    <xf numFmtId="3" fontId="2" fillId="69" borderId="106" applyFont="0">
      <alignment horizontal="right" vertical="center"/>
    </xf>
    <xf numFmtId="3" fontId="2" fillId="69" borderId="106" applyFont="0">
      <alignment horizontal="right" vertical="center"/>
    </xf>
    <xf numFmtId="3" fontId="2" fillId="69" borderId="106" applyFont="0">
      <alignment horizontal="right" vertical="center"/>
    </xf>
    <xf numFmtId="3" fontId="2" fillId="69" borderId="106" applyFont="0">
      <alignment horizontal="right"/>
    </xf>
    <xf numFmtId="3" fontId="2" fillId="69" borderId="106" applyFont="0">
      <alignment horizontal="right"/>
    </xf>
    <xf numFmtId="3" fontId="2" fillId="69" borderId="106" applyFont="0">
      <alignment horizontal="right"/>
    </xf>
    <xf numFmtId="3" fontId="2" fillId="69" borderId="106" applyFont="0">
      <alignment horizontal="right"/>
    </xf>
    <xf numFmtId="3"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3" fontId="2" fillId="69" borderId="106" applyFont="0">
      <alignment horizontal="right"/>
    </xf>
    <xf numFmtId="3" fontId="2" fillId="69" borderId="106" applyFont="0">
      <alignment horizontal="right"/>
    </xf>
    <xf numFmtId="3" fontId="2" fillId="69" borderId="106" applyFont="0">
      <alignment horizontal="right"/>
    </xf>
    <xf numFmtId="3"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87" fontId="2" fillId="69" borderId="106" applyFont="0">
      <alignment horizontal="right"/>
    </xf>
    <xf numFmtId="0" fontId="10" fillId="0" borderId="0"/>
    <xf numFmtId="187" fontId="2" fillId="69" borderId="106" applyFont="0">
      <alignment horizontal="right"/>
    </xf>
    <xf numFmtId="0" fontId="2" fillId="0" borderId="0" applyNumberFormat="0" applyFont="0" applyFill="0" applyBorder="0" applyAlignment="0" applyProtection="0"/>
    <xf numFmtId="187" fontId="2" fillId="69" borderId="106" applyFont="0">
      <alignment horizontal="right"/>
    </xf>
    <xf numFmtId="187" fontId="2" fillId="69" borderId="106" applyFont="0">
      <alignment horizontal="right"/>
    </xf>
    <xf numFmtId="187" fontId="2" fillId="69" borderId="106" applyFont="0">
      <alignment horizontal="right"/>
    </xf>
    <xf numFmtId="187"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87" fontId="2" fillId="69" borderId="106" applyFont="0">
      <alignment horizontal="right"/>
    </xf>
    <xf numFmtId="187" fontId="2" fillId="69" borderId="106" applyFont="0">
      <alignment horizontal="right"/>
    </xf>
    <xf numFmtId="187" fontId="2" fillId="69" borderId="106" applyFont="0">
      <alignment horizontal="right"/>
    </xf>
    <xf numFmtId="187"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60" fontId="2" fillId="69" borderId="106" applyFont="0">
      <alignment horizontal="right"/>
    </xf>
    <xf numFmtId="0" fontId="10" fillId="0" borderId="0"/>
    <xf numFmtId="260" fontId="2" fillId="69" borderId="106" applyFont="0">
      <alignment horizontal="right"/>
    </xf>
    <xf numFmtId="0" fontId="2" fillId="0" borderId="0" applyNumberFormat="0" applyFont="0" applyFill="0" applyBorder="0" applyAlignment="0" applyProtection="0"/>
    <xf numFmtId="260" fontId="2" fillId="69" borderId="106" applyFont="0">
      <alignment horizontal="right"/>
    </xf>
    <xf numFmtId="260" fontId="2" fillId="69" borderId="106" applyFont="0">
      <alignment horizontal="right"/>
    </xf>
    <xf numFmtId="260" fontId="2" fillId="69" borderId="106" applyFont="0">
      <alignment horizontal="right"/>
    </xf>
    <xf numFmtId="260"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260" fontId="2" fillId="69" borderId="106" applyFont="0">
      <alignment horizontal="right"/>
    </xf>
    <xf numFmtId="260" fontId="2" fillId="69" borderId="106" applyFont="0">
      <alignment horizontal="right"/>
    </xf>
    <xf numFmtId="260" fontId="2" fillId="69" borderId="106" applyFont="0">
      <alignment horizontal="right"/>
    </xf>
    <xf numFmtId="260"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 fillId="69" borderId="106" applyFont="0">
      <alignment horizontal="right"/>
    </xf>
    <xf numFmtId="0" fontId="10" fillId="0" borderId="0"/>
    <xf numFmtId="10" fontId="2" fillId="69" borderId="106" applyFont="0">
      <alignment horizontal="right"/>
    </xf>
    <xf numFmtId="0" fontId="2" fillId="0" borderId="0" applyNumberFormat="0" applyFont="0" applyFill="0" applyBorder="0" applyAlignment="0" applyProtection="0"/>
    <xf numFmtId="10" fontId="2" fillId="69" borderId="106" applyFont="0">
      <alignment horizontal="right"/>
    </xf>
    <xf numFmtId="10" fontId="2" fillId="69" borderId="106" applyFont="0">
      <alignment horizontal="right"/>
    </xf>
    <xf numFmtId="10" fontId="2" fillId="69" borderId="106" applyFont="0">
      <alignment horizontal="right"/>
    </xf>
    <xf numFmtId="10"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0" fontId="2" fillId="69" borderId="106" applyFont="0">
      <alignment horizontal="right"/>
    </xf>
    <xf numFmtId="10" fontId="2" fillId="69" borderId="106" applyFont="0">
      <alignment horizontal="right"/>
    </xf>
    <xf numFmtId="10" fontId="2" fillId="69" borderId="106" applyFont="0">
      <alignment horizontal="right"/>
    </xf>
    <xf numFmtId="10"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69" borderId="106" applyFont="0">
      <alignment horizontal="right"/>
    </xf>
    <xf numFmtId="0" fontId="10" fillId="0" borderId="0"/>
    <xf numFmtId="9" fontId="2" fillId="69" borderId="106" applyFont="0">
      <alignment horizontal="right"/>
    </xf>
    <xf numFmtId="0" fontId="2" fillId="0" borderId="0" applyNumberFormat="0" applyFont="0" applyFill="0" applyBorder="0" applyAlignment="0" applyProtection="0"/>
    <xf numFmtId="9" fontId="2" fillId="69" borderId="106" applyFont="0">
      <alignment horizontal="right"/>
    </xf>
    <xf numFmtId="9" fontId="2" fillId="69" borderId="106" applyFont="0">
      <alignment horizontal="right"/>
    </xf>
    <xf numFmtId="9" fontId="2" fillId="69" borderId="106" applyFont="0">
      <alignment horizontal="right"/>
    </xf>
    <xf numFmtId="9"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9" fontId="2" fillId="69" borderId="106" applyFont="0">
      <alignment horizontal="right"/>
    </xf>
    <xf numFmtId="9" fontId="2" fillId="69" borderId="106" applyFont="0">
      <alignment horizontal="right"/>
    </xf>
    <xf numFmtId="9" fontId="2" fillId="69" borderId="106" applyFont="0">
      <alignment horizontal="right"/>
    </xf>
    <xf numFmtId="9" fontId="2" fillId="69"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48" fontId="2" fillId="69" borderId="106" applyFont="0">
      <alignment horizontal="center" wrapText="1"/>
    </xf>
    <xf numFmtId="0" fontId="10" fillId="0" borderId="0"/>
    <xf numFmtId="348" fontId="2" fillId="69" borderId="106" applyFont="0">
      <alignment horizontal="center" wrapText="1"/>
    </xf>
    <xf numFmtId="0" fontId="2" fillId="0" borderId="0" applyNumberFormat="0" applyFont="0" applyFill="0" applyBorder="0" applyAlignment="0" applyProtection="0"/>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 fontId="207" fillId="0" borderId="115">
      <alignment vertical="center"/>
    </xf>
    <xf numFmtId="0" fontId="2" fillId="0" borderId="0" applyNumberFormat="0" applyFont="0" applyFill="0" applyBorder="0" applyAlignment="0" applyProtection="0"/>
    <xf numFmtId="0" fontId="10" fillId="0" borderId="0"/>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48" fontId="2" fillId="69" borderId="106" applyFont="0">
      <alignment horizontal="center" wrapText="1"/>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65" fontId="307"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8" fillId="105" borderId="155" applyNumberFormat="0" applyBorder="0">
      <alignment horizontal="centerContinuous"/>
    </xf>
    <xf numFmtId="0" fontId="308" fillId="105" borderId="155" applyNumberFormat="0" applyBorder="0">
      <alignment horizontal="centerContinuous"/>
    </xf>
    <xf numFmtId="0" fontId="308" fillId="105" borderId="155" applyNumberFormat="0" applyBorder="0">
      <alignment horizontal="centerContinuous"/>
    </xf>
    <xf numFmtId="0" fontId="308" fillId="105" borderId="155" applyNumberFormat="0" applyBorder="0">
      <alignment horizontal="centerContinuous"/>
    </xf>
    <xf numFmtId="38" fontId="171" fillId="0" borderId="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7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45" applyNumberFormat="0" applyAlignment="0" applyProtection="0"/>
    <xf numFmtId="0" fontId="66" fillId="63" borderId="145" applyNumberFormat="0" applyAlignment="0" applyProtection="0"/>
    <xf numFmtId="0" fontId="66" fillId="63" borderId="145" applyNumberFormat="0" applyAlignment="0" applyProtection="0"/>
    <xf numFmtId="0" fontId="66" fillId="63" borderId="145" applyNumberFormat="0" applyAlignment="0" applyProtection="0"/>
    <xf numFmtId="0" fontId="66" fillId="63" borderId="145" applyNumberFormat="0" applyAlignment="0" applyProtection="0"/>
    <xf numFmtId="0" fontId="66" fillId="63"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45" fillId="0" borderId="0" applyNumberFormat="0"/>
    <xf numFmtId="0" fontId="10" fillId="0" borderId="0"/>
    <xf numFmtId="165" fontId="309"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08" applyBorder="0"/>
    <xf numFmtId="3" fontId="2" fillId="68" borderId="108" applyBorder="0"/>
    <xf numFmtId="3" fontId="2" fillId="68" borderId="108" applyBorder="0"/>
    <xf numFmtId="3" fontId="2" fillId="68" borderId="108" applyBorder="0"/>
    <xf numFmtId="3" fontId="2" fillId="68" borderId="108" applyBorder="0"/>
    <xf numFmtId="0" fontId="10" fillId="0" borderId="0"/>
    <xf numFmtId="221" fontId="158"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0" fillId="0" borderId="0"/>
    <xf numFmtId="344"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1" fillId="0" borderId="68"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09" fillId="68" borderId="0">
      <alignment horizontal="center"/>
    </xf>
    <xf numFmtId="0" fontId="2" fillId="0" borderId="0" applyNumberFormat="0" applyFont="0" applyFill="0" applyBorder="0" applyAlignment="0" applyProtection="0"/>
    <xf numFmtId="0" fontId="10" fillId="0" borderId="0"/>
    <xf numFmtId="236" fontId="309"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8" fillId="0" borderId="0"/>
    <xf numFmtId="40" fontId="312" fillId="0" borderId="0" applyBorder="0">
      <alignment horizontal="right"/>
    </xf>
    <xf numFmtId="0" fontId="313" fillId="0" borderId="0" applyNumberFormat="0" applyFont="0" applyBorder="0" applyAlignment="0">
      <alignment horizontal="left"/>
    </xf>
    <xf numFmtId="0" fontId="158" fillId="0" borderId="106" applyNumberFormat="0" applyFont="0" applyFill="0" applyBorder="0" applyAlignment="0">
      <protection hidden="1"/>
    </xf>
    <xf numFmtId="0" fontId="10" fillId="0" borderId="0"/>
    <xf numFmtId="0" fontId="158" fillId="0" borderId="106" applyNumberFormat="0" applyFont="0" applyFill="0" applyBorder="0" applyAlignment="0">
      <protection hidden="1"/>
    </xf>
    <xf numFmtId="0" fontId="10" fillId="0" borderId="0"/>
    <xf numFmtId="0" fontId="158" fillId="0" borderId="106" applyNumberFormat="0" applyFont="0" applyFill="0" applyBorder="0" applyAlignment="0">
      <protection hidden="1"/>
    </xf>
    <xf numFmtId="0" fontId="158" fillId="0" borderId="106" applyNumberFormat="0" applyFont="0" applyFill="0" applyBorder="0" applyAlignment="0">
      <protection hidden="1"/>
    </xf>
    <xf numFmtId="0" fontId="158" fillId="0" borderId="106" applyNumberFormat="0" applyFont="0" applyFill="0" applyBorder="0" applyAlignment="0">
      <protection hidden="1"/>
    </xf>
    <xf numFmtId="0" fontId="158" fillId="0" borderId="106" applyNumberFormat="0" applyFont="0" applyFill="0" applyBorder="0" applyAlignment="0">
      <protection hidden="1"/>
    </xf>
    <xf numFmtId="3" fontId="207" fillId="0" borderId="115">
      <alignment vertical="center"/>
    </xf>
    <xf numFmtId="0" fontId="2" fillId="0" borderId="0" applyNumberFormat="0" applyFont="0" applyFill="0" applyBorder="0" applyAlignment="0" applyProtection="0"/>
    <xf numFmtId="0" fontId="10" fillId="0" borderId="0"/>
    <xf numFmtId="0" fontId="158" fillId="0" borderId="106" applyNumberFormat="0" applyFont="0" applyFill="0" applyBorder="0" applyAlignment="0">
      <protection hidden="1"/>
    </xf>
    <xf numFmtId="0" fontId="158" fillId="0" borderId="106" applyNumberFormat="0" applyFont="0" applyFill="0" applyBorder="0" applyAlignment="0">
      <protection hidden="1"/>
    </xf>
    <xf numFmtId="0" fontId="158" fillId="0" borderId="106" applyNumberFormat="0" applyFont="0" applyFill="0" applyBorder="0" applyAlignment="0">
      <protection hidden="1"/>
    </xf>
    <xf numFmtId="0" fontId="158" fillId="0" borderId="106" applyNumberFormat="0" applyFont="0" applyFill="0" applyBorder="0" applyAlignment="0">
      <protection hidden="1"/>
    </xf>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 fontId="2" fillId="144" borderId="106" applyFont="0">
      <alignment horizontal="right"/>
    </xf>
    <xf numFmtId="0" fontId="10" fillId="0" borderId="0"/>
    <xf numFmtId="1" fontId="2" fillId="144" borderId="106" applyFont="0">
      <alignment horizontal="right"/>
    </xf>
    <xf numFmtId="0" fontId="2" fillId="0" borderId="0" applyNumberFormat="0" applyFont="0" applyFill="0" applyBorder="0" applyAlignment="0" applyProtection="0"/>
    <xf numFmtId="1" fontId="2" fillId="144" borderId="106" applyFont="0">
      <alignment horizontal="right"/>
    </xf>
    <xf numFmtId="1" fontId="2" fillId="144" borderId="106" applyFont="0">
      <alignment horizontal="right"/>
    </xf>
    <xf numFmtId="1" fontId="2" fillId="144" borderId="106" applyFont="0">
      <alignment horizontal="right"/>
    </xf>
    <xf numFmtId="1"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 fontId="2" fillId="144" borderId="106" applyFont="0">
      <alignment horizontal="right"/>
    </xf>
    <xf numFmtId="1" fontId="2" fillId="144" borderId="106" applyFont="0">
      <alignment horizontal="right"/>
    </xf>
    <xf numFmtId="1" fontId="2" fillId="144" borderId="106" applyFont="0">
      <alignment horizontal="right"/>
    </xf>
    <xf numFmtId="1"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04" fontId="2" fillId="144" borderId="106" applyFont="0"/>
    <xf numFmtId="0" fontId="10" fillId="0" borderId="0"/>
    <xf numFmtId="304" fontId="2" fillId="144" borderId="106" applyFont="0"/>
    <xf numFmtId="0" fontId="2" fillId="0" borderId="0" applyNumberFormat="0" applyFont="0" applyFill="0" applyBorder="0" applyAlignment="0" applyProtection="0"/>
    <xf numFmtId="304" fontId="2" fillId="144" borderId="106" applyFont="0"/>
    <xf numFmtId="304" fontId="2" fillId="144" borderId="106" applyFont="0"/>
    <xf numFmtId="304" fontId="2" fillId="144" borderId="106" applyFont="0"/>
    <xf numFmtId="304" fontId="2" fillId="144" borderId="106" applyFont="0"/>
    <xf numFmtId="3" fontId="207" fillId="0" borderId="115">
      <alignment vertical="center"/>
    </xf>
    <xf numFmtId="0" fontId="2" fillId="0" borderId="0" applyNumberFormat="0" applyFont="0" applyFill="0" applyBorder="0" applyAlignment="0" applyProtection="0"/>
    <xf numFmtId="0" fontId="10" fillId="0" borderId="0"/>
    <xf numFmtId="304" fontId="2" fillId="144" borderId="106" applyFont="0"/>
    <xf numFmtId="304" fontId="2" fillId="144" borderId="106" applyFont="0"/>
    <xf numFmtId="304" fontId="2" fillId="144" borderId="106" applyFont="0"/>
    <xf numFmtId="304" fontId="2" fillId="144" borderId="106" applyFont="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144" borderId="106" applyFont="0">
      <alignment horizontal="right"/>
    </xf>
    <xf numFmtId="0" fontId="10" fillId="0" borderId="0"/>
    <xf numFmtId="9" fontId="2" fillId="144" borderId="106" applyFont="0">
      <alignment horizontal="right"/>
    </xf>
    <xf numFmtId="0" fontId="2" fillId="0" borderId="0" applyNumberFormat="0" applyFont="0" applyFill="0" applyBorder="0" applyAlignment="0" applyProtection="0"/>
    <xf numFmtId="9" fontId="2" fillId="144" borderId="106" applyFont="0">
      <alignment horizontal="right"/>
    </xf>
    <xf numFmtId="9" fontId="2" fillId="144" borderId="106" applyFont="0">
      <alignment horizontal="right"/>
    </xf>
    <xf numFmtId="9" fontId="2" fillId="144" borderId="106" applyFont="0">
      <alignment horizontal="right"/>
    </xf>
    <xf numFmtId="9"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9" fontId="2" fillId="144" borderId="106" applyFont="0">
      <alignment horizontal="right"/>
    </xf>
    <xf numFmtId="9" fontId="2" fillId="144" borderId="106" applyFont="0">
      <alignment horizontal="right"/>
    </xf>
    <xf numFmtId="9" fontId="2" fillId="144" borderId="106" applyFont="0">
      <alignment horizontal="right"/>
    </xf>
    <xf numFmtId="9"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31" fontId="2" fillId="144" borderId="106" applyFont="0">
      <alignment horizontal="right"/>
    </xf>
    <xf numFmtId="0" fontId="10" fillId="0" borderId="0"/>
    <xf numFmtId="331" fontId="2" fillId="144" borderId="106" applyFont="0">
      <alignment horizontal="right"/>
    </xf>
    <xf numFmtId="0" fontId="2" fillId="0" borderId="0" applyNumberFormat="0" applyFont="0" applyFill="0" applyBorder="0" applyAlignment="0" applyProtection="0"/>
    <xf numFmtId="331" fontId="2" fillId="144" borderId="106" applyFont="0">
      <alignment horizontal="right"/>
    </xf>
    <xf numFmtId="331" fontId="2" fillId="144" borderId="106" applyFont="0">
      <alignment horizontal="right"/>
    </xf>
    <xf numFmtId="331" fontId="2" fillId="144" borderId="106" applyFont="0">
      <alignment horizontal="right"/>
    </xf>
    <xf numFmtId="331"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331" fontId="2" fillId="144" borderId="106" applyFont="0">
      <alignment horizontal="right"/>
    </xf>
    <xf numFmtId="331" fontId="2" fillId="144" borderId="106" applyFont="0">
      <alignment horizontal="right"/>
    </xf>
    <xf numFmtId="331" fontId="2" fillId="144" borderId="106" applyFont="0">
      <alignment horizontal="right"/>
    </xf>
    <xf numFmtId="331"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 fillId="144" borderId="106" applyFont="0">
      <alignment horizontal="right"/>
    </xf>
    <xf numFmtId="0" fontId="10" fillId="0" borderId="0"/>
    <xf numFmtId="10" fontId="2" fillId="144" borderId="106" applyFont="0">
      <alignment horizontal="right"/>
    </xf>
    <xf numFmtId="0" fontId="2" fillId="0" borderId="0" applyNumberFormat="0" applyFont="0" applyFill="0" applyBorder="0" applyAlignment="0" applyProtection="0"/>
    <xf numFmtId="10" fontId="2" fillId="144" borderId="106" applyFont="0">
      <alignment horizontal="right"/>
    </xf>
    <xf numFmtId="10" fontId="2" fillId="144" borderId="106" applyFont="0">
      <alignment horizontal="right"/>
    </xf>
    <xf numFmtId="10" fontId="2" fillId="144" borderId="106" applyFont="0">
      <alignment horizontal="right"/>
    </xf>
    <xf numFmtId="10"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0" fontId="2" fillId="144" borderId="106" applyFont="0">
      <alignment horizontal="right"/>
    </xf>
    <xf numFmtId="10" fontId="2" fillId="144" borderId="106" applyFont="0">
      <alignment horizontal="right"/>
    </xf>
    <xf numFmtId="10" fontId="2" fillId="144" borderId="106" applyFont="0">
      <alignment horizontal="right"/>
    </xf>
    <xf numFmtId="10" fontId="2" fillId="144"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144" borderId="106" applyFont="0">
      <alignment horizontal="center" wrapText="1"/>
    </xf>
    <xf numFmtId="0" fontId="10" fillId="0" borderId="0"/>
    <xf numFmtId="0" fontId="2" fillId="144" borderId="106" applyFont="0">
      <alignment horizontal="center" wrapText="1"/>
    </xf>
    <xf numFmtId="0" fontId="2" fillId="0" borderId="0" applyNumberFormat="0" applyFont="0" applyFill="0" applyBorder="0" applyAlignment="0" applyProtection="0"/>
    <xf numFmtId="0" fontId="2" fillId="144" borderId="106" applyFont="0">
      <alignment horizontal="center" wrapText="1"/>
    </xf>
    <xf numFmtId="0" fontId="2" fillId="144" borderId="106" applyFont="0">
      <alignment horizontal="center" wrapText="1"/>
    </xf>
    <xf numFmtId="0" fontId="2" fillId="144" borderId="106" applyFont="0">
      <alignment horizontal="center" wrapText="1"/>
    </xf>
    <xf numFmtId="0" fontId="2" fillId="144" borderId="106" applyFont="0">
      <alignment horizontal="center" wrapText="1"/>
    </xf>
    <xf numFmtId="3" fontId="207" fillId="0" borderId="115">
      <alignment vertical="center"/>
    </xf>
    <xf numFmtId="0" fontId="2" fillId="0" borderId="0" applyNumberFormat="0" applyFont="0" applyFill="0" applyBorder="0" applyAlignment="0" applyProtection="0"/>
    <xf numFmtId="0" fontId="10" fillId="0" borderId="0"/>
    <xf numFmtId="0" fontId="2" fillId="144" borderId="106" applyFont="0">
      <alignment horizontal="center" wrapText="1"/>
    </xf>
    <xf numFmtId="0" fontId="2" fillId="144" borderId="106" applyFont="0">
      <alignment horizontal="center" wrapText="1"/>
    </xf>
    <xf numFmtId="0" fontId="2" fillId="144" borderId="106" applyFont="0">
      <alignment horizontal="center" wrapText="1"/>
    </xf>
    <xf numFmtId="0" fontId="2" fillId="144" borderId="106" applyFont="0">
      <alignment horizontal="center" wrapText="1"/>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49" fontId="2" fillId="144" borderId="106" applyFont="0"/>
    <xf numFmtId="0" fontId="10" fillId="0" borderId="0"/>
    <xf numFmtId="0" fontId="10" fillId="0" borderId="0"/>
    <xf numFmtId="3" fontId="207" fillId="0" borderId="115">
      <alignment vertical="center"/>
    </xf>
    <xf numFmtId="0" fontId="10" fillId="0" borderId="0"/>
    <xf numFmtId="0" fontId="10" fillId="0" borderId="0"/>
    <xf numFmtId="49" fontId="2" fillId="144" borderId="106" applyFont="0"/>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304" fontId="2" fillId="145" borderId="106" applyFont="0"/>
    <xf numFmtId="0" fontId="10" fillId="0" borderId="0"/>
    <xf numFmtId="304" fontId="2" fillId="145" borderId="106" applyFont="0"/>
    <xf numFmtId="0" fontId="2" fillId="0" borderId="0" applyNumberFormat="0" applyFont="0" applyFill="0" applyBorder="0" applyAlignment="0" applyProtection="0"/>
    <xf numFmtId="304" fontId="2" fillId="145" borderId="106" applyFont="0"/>
    <xf numFmtId="304" fontId="2" fillId="145" borderId="106" applyFont="0"/>
    <xf numFmtId="304" fontId="2" fillId="145" borderId="106" applyFont="0"/>
    <xf numFmtId="304" fontId="2" fillId="145" borderId="106" applyFont="0"/>
    <xf numFmtId="3" fontId="207" fillId="0" borderId="115">
      <alignment vertical="center"/>
    </xf>
    <xf numFmtId="0" fontId="2" fillId="0" borderId="0" applyNumberFormat="0" applyFont="0" applyFill="0" applyBorder="0" applyAlignment="0" applyProtection="0"/>
    <xf numFmtId="0" fontId="10" fillId="0" borderId="0"/>
    <xf numFmtId="304" fontId="2" fillId="145" borderId="106" applyFont="0"/>
    <xf numFmtId="304" fontId="2" fillId="145" borderId="106" applyFont="0"/>
    <xf numFmtId="304" fontId="2" fillId="145" borderId="106" applyFont="0"/>
    <xf numFmtId="304" fontId="2" fillId="145" borderId="106" applyFont="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145" borderId="106" applyFont="0">
      <alignment horizontal="right"/>
    </xf>
    <xf numFmtId="0" fontId="10" fillId="0" borderId="0"/>
    <xf numFmtId="9" fontId="2" fillId="145" borderId="106" applyFont="0">
      <alignment horizontal="right"/>
    </xf>
    <xf numFmtId="0" fontId="2" fillId="0" borderId="0" applyNumberFormat="0" applyFont="0" applyFill="0" applyBorder="0" applyAlignment="0" applyProtection="0"/>
    <xf numFmtId="9" fontId="2" fillId="145" borderId="106" applyFont="0">
      <alignment horizontal="right"/>
    </xf>
    <xf numFmtId="9" fontId="2" fillId="145" borderId="106" applyFont="0">
      <alignment horizontal="right"/>
    </xf>
    <xf numFmtId="9" fontId="2" fillId="145" borderId="106" applyFont="0">
      <alignment horizontal="right"/>
    </xf>
    <xf numFmtId="9" fontId="2" fillId="145"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9" fontId="2" fillId="145" borderId="106" applyFont="0">
      <alignment horizontal="right"/>
    </xf>
    <xf numFmtId="9" fontId="2" fillId="145" borderId="106" applyFont="0">
      <alignment horizontal="right"/>
    </xf>
    <xf numFmtId="9" fontId="2" fillId="145" borderId="106" applyFont="0">
      <alignment horizontal="right"/>
    </xf>
    <xf numFmtId="9" fontId="2" fillId="145"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311" fontId="2" fillId="146" borderId="106">
      <alignment vertical="center"/>
    </xf>
    <xf numFmtId="311" fontId="2" fillId="146" borderId="106">
      <alignment vertical="center"/>
    </xf>
    <xf numFmtId="311" fontId="2" fillId="146" borderId="106">
      <alignment vertical="center"/>
    </xf>
    <xf numFmtId="311" fontId="2" fillId="146" borderId="106">
      <alignment vertical="center"/>
    </xf>
    <xf numFmtId="311" fontId="2" fillId="146" borderId="106">
      <alignment vertical="center"/>
    </xf>
    <xf numFmtId="304" fontId="2" fillId="93" borderId="106" applyFont="0">
      <alignment horizontal="right"/>
    </xf>
    <xf numFmtId="0" fontId="10" fillId="0" borderId="0"/>
    <xf numFmtId="304" fontId="2" fillId="93" borderId="106" applyFont="0">
      <alignment horizontal="right"/>
    </xf>
    <xf numFmtId="0" fontId="2" fillId="0" borderId="0" applyNumberFormat="0" applyFont="0" applyFill="0" applyBorder="0" applyAlignment="0" applyProtection="0"/>
    <xf numFmtId="304" fontId="2" fillId="93" borderId="106" applyFont="0">
      <alignment horizontal="right"/>
    </xf>
    <xf numFmtId="304" fontId="2" fillId="93" borderId="106" applyFont="0">
      <alignment horizontal="right"/>
    </xf>
    <xf numFmtId="304" fontId="2" fillId="93" borderId="106" applyFont="0">
      <alignment horizontal="right"/>
    </xf>
    <xf numFmtId="304"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304" fontId="2" fillId="93" borderId="106" applyFont="0">
      <alignment horizontal="right"/>
    </xf>
    <xf numFmtId="304" fontId="2" fillId="93" borderId="106" applyFont="0">
      <alignment horizontal="right"/>
    </xf>
    <xf numFmtId="304" fontId="2" fillId="93" borderId="106" applyFont="0">
      <alignment horizontal="right"/>
    </xf>
    <xf numFmtId="304"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 fontId="2" fillId="93" borderId="106" applyFont="0">
      <alignment horizontal="right"/>
    </xf>
    <xf numFmtId="0" fontId="10" fillId="0" borderId="0"/>
    <xf numFmtId="1" fontId="2" fillId="93" borderId="106" applyFont="0">
      <alignment horizontal="right"/>
    </xf>
    <xf numFmtId="0" fontId="2" fillId="0" borderId="0" applyNumberFormat="0" applyFont="0" applyFill="0" applyBorder="0" applyAlignment="0" applyProtection="0"/>
    <xf numFmtId="1" fontId="2" fillId="93" borderId="106" applyFont="0">
      <alignment horizontal="right"/>
    </xf>
    <xf numFmtId="1" fontId="2" fillId="93" borderId="106" applyFont="0">
      <alignment horizontal="right"/>
    </xf>
    <xf numFmtId="1" fontId="2" fillId="93" borderId="106" applyFont="0">
      <alignment horizontal="right"/>
    </xf>
    <xf numFmtId="1"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 fontId="2" fillId="93" borderId="106" applyFont="0">
      <alignment horizontal="right"/>
    </xf>
    <xf numFmtId="1" fontId="2" fillId="93" borderId="106" applyFont="0">
      <alignment horizontal="right"/>
    </xf>
    <xf numFmtId="1" fontId="2" fillId="93" borderId="106" applyFont="0">
      <alignment horizontal="right"/>
    </xf>
    <xf numFmtId="1"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04" fontId="2" fillId="93" borderId="106" applyFont="0"/>
    <xf numFmtId="0" fontId="10" fillId="0" borderId="0"/>
    <xf numFmtId="304" fontId="2" fillId="93" borderId="106" applyFont="0"/>
    <xf numFmtId="0" fontId="2" fillId="0" borderId="0" applyNumberFormat="0" applyFont="0" applyFill="0" applyBorder="0" applyAlignment="0" applyProtection="0"/>
    <xf numFmtId="304" fontId="2" fillId="93" borderId="106" applyFont="0"/>
    <xf numFmtId="304" fontId="2" fillId="93" borderId="106" applyFont="0"/>
    <xf numFmtId="304" fontId="2" fillId="93" borderId="106" applyFont="0"/>
    <xf numFmtId="304" fontId="2" fillId="93" borderId="106" applyFont="0"/>
    <xf numFmtId="3" fontId="207" fillId="0" borderId="115">
      <alignment vertical="center"/>
    </xf>
    <xf numFmtId="0" fontId="2" fillId="0" borderId="0" applyNumberFormat="0" applyFont="0" applyFill="0" applyBorder="0" applyAlignment="0" applyProtection="0"/>
    <xf numFmtId="0" fontId="10" fillId="0" borderId="0"/>
    <xf numFmtId="304" fontId="2" fillId="93" borderId="106" applyFont="0"/>
    <xf numFmtId="304" fontId="2" fillId="93" borderId="106" applyFont="0"/>
    <xf numFmtId="304" fontId="2" fillId="93" borderId="106" applyFont="0"/>
    <xf numFmtId="304" fontId="2" fillId="93" borderId="106" applyFont="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260" fontId="2" fillId="93" borderId="106" applyFont="0"/>
    <xf numFmtId="0" fontId="10" fillId="0" borderId="0"/>
    <xf numFmtId="260" fontId="2" fillId="93" borderId="106" applyFont="0"/>
    <xf numFmtId="0" fontId="2" fillId="0" borderId="0" applyNumberFormat="0" applyFont="0" applyFill="0" applyBorder="0" applyAlignment="0" applyProtection="0"/>
    <xf numFmtId="260" fontId="2" fillId="93" borderId="106" applyFont="0"/>
    <xf numFmtId="260" fontId="2" fillId="93" borderId="106" applyFont="0"/>
    <xf numFmtId="260" fontId="2" fillId="93" borderId="106" applyFont="0"/>
    <xf numFmtId="260" fontId="2" fillId="93" borderId="106" applyFont="0"/>
    <xf numFmtId="3" fontId="207" fillId="0" borderId="115">
      <alignment vertical="center"/>
    </xf>
    <xf numFmtId="0" fontId="2" fillId="0" borderId="0" applyNumberFormat="0" applyFont="0" applyFill="0" applyBorder="0" applyAlignment="0" applyProtection="0"/>
    <xf numFmtId="0" fontId="10" fillId="0" borderId="0"/>
    <xf numFmtId="260" fontId="2" fillId="93" borderId="106" applyFont="0"/>
    <xf numFmtId="260" fontId="2" fillId="93" borderId="106" applyFont="0"/>
    <xf numFmtId="260" fontId="2" fillId="93" borderId="106" applyFont="0"/>
    <xf numFmtId="260" fontId="2" fillId="93" borderId="106" applyFont="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 fillId="93" borderId="106" applyFont="0">
      <alignment horizontal="right"/>
    </xf>
    <xf numFmtId="0" fontId="10" fillId="0" borderId="0"/>
    <xf numFmtId="10" fontId="2" fillId="93" borderId="106" applyFont="0">
      <alignment horizontal="right"/>
    </xf>
    <xf numFmtId="0" fontId="2" fillId="0" borderId="0" applyNumberFormat="0" applyFont="0" applyFill="0" applyBorder="0" applyAlignment="0" applyProtection="0"/>
    <xf numFmtId="10" fontId="2" fillId="93" borderId="106" applyFont="0">
      <alignment horizontal="right"/>
    </xf>
    <xf numFmtId="10" fontId="2" fillId="93" borderId="106" applyFont="0">
      <alignment horizontal="right"/>
    </xf>
    <xf numFmtId="10" fontId="2" fillId="93" borderId="106" applyFont="0">
      <alignment horizontal="right"/>
    </xf>
    <xf numFmtId="10"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0" fontId="2" fillId="93" borderId="106" applyFont="0">
      <alignment horizontal="right"/>
    </xf>
    <xf numFmtId="10" fontId="2" fillId="93" borderId="106" applyFont="0">
      <alignment horizontal="right"/>
    </xf>
    <xf numFmtId="10" fontId="2" fillId="93" borderId="106" applyFont="0">
      <alignment horizontal="right"/>
    </xf>
    <xf numFmtId="10"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9" fontId="2" fillId="93" borderId="106" applyFont="0">
      <alignment horizontal="right"/>
    </xf>
    <xf numFmtId="0" fontId="10" fillId="0" borderId="0"/>
    <xf numFmtId="9" fontId="2" fillId="93" borderId="106" applyFont="0">
      <alignment horizontal="right"/>
    </xf>
    <xf numFmtId="0" fontId="2" fillId="0" borderId="0" applyNumberFormat="0" applyFont="0" applyFill="0" applyBorder="0" applyAlignment="0" applyProtection="0"/>
    <xf numFmtId="9" fontId="2" fillId="93" borderId="106" applyFont="0">
      <alignment horizontal="right"/>
    </xf>
    <xf numFmtId="9" fontId="2" fillId="93" borderId="106" applyFont="0">
      <alignment horizontal="right"/>
    </xf>
    <xf numFmtId="9" fontId="2" fillId="93" borderId="106" applyFont="0">
      <alignment horizontal="right"/>
    </xf>
    <xf numFmtId="9"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9" fontId="2" fillId="93" borderId="106" applyFont="0">
      <alignment horizontal="right"/>
    </xf>
    <xf numFmtId="9" fontId="2" fillId="93" borderId="106" applyFont="0">
      <alignment horizontal="right"/>
    </xf>
    <xf numFmtId="9" fontId="2" fillId="93" borderId="106" applyFont="0">
      <alignment horizontal="right"/>
    </xf>
    <xf numFmtId="9"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31" fontId="2" fillId="93" borderId="106" applyFont="0">
      <alignment horizontal="right"/>
    </xf>
    <xf numFmtId="0" fontId="10" fillId="0" borderId="0"/>
    <xf numFmtId="331" fontId="2" fillId="93" borderId="106" applyFont="0">
      <alignment horizontal="right"/>
    </xf>
    <xf numFmtId="0" fontId="2" fillId="0" borderId="0" applyNumberFormat="0" applyFont="0" applyFill="0" applyBorder="0" applyAlignment="0" applyProtection="0"/>
    <xf numFmtId="331" fontId="2" fillId="93" borderId="106" applyFont="0">
      <alignment horizontal="right"/>
    </xf>
    <xf numFmtId="331" fontId="2" fillId="93" borderId="106" applyFont="0">
      <alignment horizontal="right"/>
    </xf>
    <xf numFmtId="331" fontId="2" fillId="93" borderId="106" applyFont="0">
      <alignment horizontal="right"/>
    </xf>
    <xf numFmtId="331"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331" fontId="2" fillId="93" borderId="106" applyFont="0">
      <alignment horizontal="right"/>
    </xf>
    <xf numFmtId="331" fontId="2" fillId="93" borderId="106" applyFont="0">
      <alignment horizontal="right"/>
    </xf>
    <xf numFmtId="331" fontId="2" fillId="93" borderId="106" applyFont="0">
      <alignment horizontal="right"/>
    </xf>
    <xf numFmtId="331" fontId="2" fillId="93" borderId="106"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10" fontId="2" fillId="93" borderId="109"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09" applyFont="0">
      <alignment horizontal="right"/>
    </xf>
    <xf numFmtId="0" fontId="2" fillId="0" borderId="0" applyNumberFormat="0" applyFont="0" applyFill="0" applyBorder="0" applyAlignment="0" applyProtection="0"/>
    <xf numFmtId="10" fontId="2" fillId="93" borderId="109" applyFont="0">
      <alignment horizontal="right"/>
    </xf>
    <xf numFmtId="10" fontId="2" fillId="93" borderId="109" applyFont="0">
      <alignment horizontal="right"/>
    </xf>
    <xf numFmtId="10" fontId="2" fillId="93" borderId="109" applyFont="0">
      <alignment horizontal="right"/>
    </xf>
    <xf numFmtId="10" fontId="2" fillId="93" borderId="109"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10" fontId="2" fillId="93" borderId="109" applyFont="0">
      <alignment horizontal="right"/>
    </xf>
    <xf numFmtId="10" fontId="2" fillId="93" borderId="109" applyFont="0">
      <alignment horizontal="right"/>
    </xf>
    <xf numFmtId="10" fontId="2" fillId="93" borderId="109" applyFont="0">
      <alignment horizontal="right"/>
    </xf>
    <xf numFmtId="10" fontId="2" fillId="93" borderId="109" applyFont="0">
      <alignment horizontal="right"/>
    </xf>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93" borderId="106" applyFont="0">
      <alignment horizontal="center" wrapText="1"/>
      <protection locked="0"/>
    </xf>
    <xf numFmtId="0" fontId="10" fillId="0" borderId="0"/>
    <xf numFmtId="0" fontId="2" fillId="93" borderId="106" applyFont="0">
      <alignment horizontal="center" wrapText="1"/>
      <protection locked="0"/>
    </xf>
    <xf numFmtId="0" fontId="2" fillId="0" borderId="0" applyNumberFormat="0" applyFont="0" applyFill="0" applyBorder="0" applyAlignment="0" applyProtection="0"/>
    <xf numFmtId="0" fontId="2" fillId="93" borderId="106" applyFont="0">
      <alignment horizontal="center" wrapText="1"/>
      <protection locked="0"/>
    </xf>
    <xf numFmtId="0" fontId="2" fillId="93" borderId="106" applyFont="0">
      <alignment horizontal="center" wrapText="1"/>
      <protection locked="0"/>
    </xf>
    <xf numFmtId="0" fontId="2" fillId="93" borderId="106" applyFont="0">
      <alignment horizontal="center" wrapText="1"/>
      <protection locked="0"/>
    </xf>
    <xf numFmtId="0" fontId="2" fillId="93" borderId="106" applyFont="0">
      <alignment horizontal="center" wrapText="1"/>
      <protection locked="0"/>
    </xf>
    <xf numFmtId="3" fontId="207" fillId="0" borderId="115">
      <alignment vertical="center"/>
    </xf>
    <xf numFmtId="0" fontId="2" fillId="0" borderId="0" applyNumberFormat="0" applyFont="0" applyFill="0" applyBorder="0" applyAlignment="0" applyProtection="0"/>
    <xf numFmtId="0" fontId="10" fillId="0" borderId="0"/>
    <xf numFmtId="0" fontId="2" fillId="93" borderId="106" applyFont="0">
      <alignment horizontal="center" wrapText="1"/>
      <protection locked="0"/>
    </xf>
    <xf numFmtId="0" fontId="2" fillId="93" borderId="106" applyFont="0">
      <alignment horizontal="center" wrapText="1"/>
      <protection locked="0"/>
    </xf>
    <xf numFmtId="0" fontId="2" fillId="93" borderId="106" applyFont="0">
      <alignment horizontal="center" wrapText="1"/>
      <protection locked="0"/>
    </xf>
    <xf numFmtId="0" fontId="2" fillId="93" borderId="106" applyFont="0">
      <alignment horizontal="center" wrapText="1"/>
      <protection locked="0"/>
    </xf>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49" fontId="2" fillId="93" borderId="106" applyFont="0"/>
    <xf numFmtId="0" fontId="10" fillId="0" borderId="0"/>
    <xf numFmtId="0" fontId="10" fillId="0" borderId="0"/>
    <xf numFmtId="3" fontId="207" fillId="0" borderId="115">
      <alignment vertical="center"/>
    </xf>
    <xf numFmtId="0" fontId="10" fillId="0" borderId="0"/>
    <xf numFmtId="0" fontId="10" fillId="0" borderId="0"/>
    <xf numFmtId="49" fontId="2" fillId="93" borderId="106" applyFont="0"/>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 fontId="207" fillId="0" borderId="115">
      <alignment vertical="center"/>
    </xf>
    <xf numFmtId="0" fontId="314" fillId="0" borderId="156" applyNumberFormat="0" applyAlignment="0" applyProtection="0"/>
    <xf numFmtId="0" fontId="315" fillId="0" borderId="156"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Alignment="0" applyProtection="0"/>
    <xf numFmtId="0" fontId="316" fillId="0" borderId="0" applyNumberFormat="0" applyFill="0" applyBorder="0" applyProtection="0"/>
    <xf numFmtId="0" fontId="317" fillId="0" borderId="0" applyNumberFormat="0" applyFill="0" applyBorder="0" applyProtection="0">
      <alignment vertical="top"/>
    </xf>
    <xf numFmtId="0" fontId="318" fillId="0" borderId="108"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8" fillId="0" borderId="108" applyNumberFormat="0" applyProtection="0">
      <alignment horizontal="left" vertical="top"/>
    </xf>
    <xf numFmtId="0" fontId="318" fillId="0" borderId="108" applyNumberFormat="0" applyProtection="0">
      <alignment horizontal="left" vertical="top"/>
    </xf>
    <xf numFmtId="0" fontId="2" fillId="0" borderId="0" applyNumberFormat="0" applyFont="0" applyFill="0" applyBorder="0" applyAlignment="0" applyProtection="0"/>
    <xf numFmtId="0" fontId="318" fillId="0" borderId="108" applyNumberFormat="0" applyProtection="0">
      <alignment horizontal="right" vertical="top"/>
    </xf>
    <xf numFmtId="0" fontId="318" fillId="0" borderId="108" applyNumberFormat="0" applyProtection="0">
      <alignment horizontal="right" vertical="top"/>
    </xf>
    <xf numFmtId="0" fontId="318" fillId="0" borderId="108" applyNumberFormat="0" applyProtection="0">
      <alignment horizontal="right" vertical="top"/>
    </xf>
    <xf numFmtId="0" fontId="318" fillId="0" borderId="108" applyNumberFormat="0" applyProtection="0">
      <alignment horizontal="right" vertical="top"/>
    </xf>
    <xf numFmtId="0" fontId="318" fillId="0" borderId="108"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314" fillId="0" borderId="0" applyNumberFormat="0" applyProtection="0">
      <alignment horizontal="left" vertical="top"/>
    </xf>
    <xf numFmtId="0" fontId="314" fillId="0" borderId="0" applyNumberFormat="0" applyProtection="0">
      <alignment horizontal="right" vertical="top"/>
    </xf>
    <xf numFmtId="0" fontId="2" fillId="0" borderId="157" applyNumberFormat="0" applyFont="0" applyAlignment="0" applyProtection="0"/>
    <xf numFmtId="0" fontId="2" fillId="0" borderId="158" applyNumberFormat="0" applyFont="0" applyAlignment="0" applyProtection="0"/>
    <xf numFmtId="0" fontId="2" fillId="0" borderId="159" applyNumberFormat="0" applyFont="0" applyAlignment="0" applyProtection="0"/>
    <xf numFmtId="10" fontId="319" fillId="0" borderId="0" applyNumberFormat="0" applyFill="0" applyBorder="0" applyProtection="0">
      <alignment horizontal="right" vertical="top"/>
    </xf>
    <xf numFmtId="0" fontId="315" fillId="0" borderId="108" applyNumberFormat="0" applyFill="0" applyAlignment="0" applyProtection="0"/>
    <xf numFmtId="0" fontId="315" fillId="0" borderId="108" applyNumberFormat="0" applyFill="0" applyAlignment="0" applyProtection="0"/>
    <xf numFmtId="0" fontId="315" fillId="0" borderId="108" applyNumberFormat="0" applyFill="0" applyAlignment="0" applyProtection="0"/>
    <xf numFmtId="0" fontId="315" fillId="0" borderId="108" applyNumberFormat="0" applyFill="0" applyAlignment="0" applyProtection="0"/>
    <xf numFmtId="0" fontId="315" fillId="0" borderId="108" applyNumberFormat="0" applyFill="0" applyAlignment="0" applyProtection="0"/>
    <xf numFmtId="0" fontId="314" fillId="0" borderId="90" applyNumberFormat="0" applyFont="0" applyFill="0" applyAlignment="0" applyProtection="0">
      <alignment horizontal="left" vertical="top"/>
    </xf>
    <xf numFmtId="0" fontId="314" fillId="0" borderId="90" applyNumberFormat="0" applyFont="0" applyFill="0" applyAlignment="0" applyProtection="0">
      <alignment horizontal="left" vertical="top"/>
    </xf>
    <xf numFmtId="0" fontId="314" fillId="0" borderId="90" applyNumberFormat="0" applyFont="0" applyFill="0" applyAlignment="0" applyProtection="0">
      <alignment horizontal="left" vertical="top"/>
    </xf>
    <xf numFmtId="0" fontId="314" fillId="0" borderId="90" applyNumberFormat="0" applyFont="0" applyFill="0" applyAlignment="0" applyProtection="0">
      <alignment horizontal="left" vertical="top"/>
    </xf>
    <xf numFmtId="0" fontId="314" fillId="0" borderId="90" applyNumberFormat="0" applyFont="0" applyFill="0" applyAlignment="0" applyProtection="0">
      <alignment horizontal="left" vertical="top"/>
    </xf>
    <xf numFmtId="0" fontId="315" fillId="0" borderId="94" applyNumberFormat="0" applyFill="0" applyAlignment="0" applyProtection="0">
      <alignment vertical="top"/>
    </xf>
    <xf numFmtId="0" fontId="315" fillId="0" borderId="94" applyNumberFormat="0" applyFill="0" applyAlignment="0" applyProtection="0">
      <alignment vertical="top"/>
    </xf>
    <xf numFmtId="349"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2" fillId="0" borderId="106">
      <alignment vertical="center" wrapText="1"/>
    </xf>
    <xf numFmtId="0" fontId="2" fillId="0" borderId="106">
      <alignment vertical="center" wrapText="1"/>
    </xf>
    <xf numFmtId="0" fontId="2" fillId="0" borderId="106">
      <alignment vertical="center" wrapText="1"/>
    </xf>
    <xf numFmtId="0" fontId="2" fillId="0" borderId="106">
      <alignment vertical="center" wrapText="1"/>
    </xf>
    <xf numFmtId="0" fontId="2" fillId="0" borderId="0" applyNumberFormat="0" applyFont="0" applyFill="0" applyBorder="0" applyAlignment="0" applyProtection="0"/>
    <xf numFmtId="0" fontId="101" fillId="0" borderId="0" applyFill="0" applyBorder="0" applyProtection="0">
      <alignment horizontal="center" vertical="center"/>
    </xf>
    <xf numFmtId="0" fontId="320" fillId="0" borderId="0" applyBorder="0" applyProtection="0">
      <alignment vertical="center"/>
    </xf>
    <xf numFmtId="277" fontId="320" fillId="0" borderId="94"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321"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1" fillId="111" borderId="94"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59" fillId="0" borderId="0" applyBorder="0" applyProtection="0">
      <alignment horizontal="left"/>
    </xf>
    <xf numFmtId="0" fontId="101"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2"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3" fillId="0" borderId="62"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 fillId="0" borderId="0">
      <alignment horizontal="centerContinuous"/>
    </xf>
    <xf numFmtId="0" fontId="10" fillId="0" borderId="0"/>
    <xf numFmtId="0" fontId="10" fillId="0" borderId="0"/>
    <xf numFmtId="3" fontId="207" fillId="0" borderId="115">
      <alignment vertical="center"/>
    </xf>
    <xf numFmtId="0" fontId="323"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131" borderId="160"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3" fontId="207" fillId="0" borderId="115">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15">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10"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324"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5" fillId="148" borderId="0" applyNumberFormat="0">
      <alignment horizontal="left"/>
    </xf>
    <xf numFmtId="0" fontId="325" fillId="148" borderId="0" applyNumberFormat="0">
      <alignment horizontal="left"/>
    </xf>
    <xf numFmtId="0" fontId="325"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6"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351" fontId="326" fillId="0" borderId="0">
      <protection locked="0"/>
    </xf>
    <xf numFmtId="351" fontId="326" fillId="0" borderId="0">
      <protection locked="0"/>
    </xf>
    <xf numFmtId="0" fontId="10" fillId="0" borderId="0"/>
    <xf numFmtId="0" fontId="76" fillId="0" borderId="0" applyNumberForma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38" fillId="0" borderId="37" applyNumberFormat="0" applyFill="0" applyAlignment="0" applyProtection="0"/>
    <xf numFmtId="0" fontId="10" fillId="0" borderId="0"/>
    <xf numFmtId="0" fontId="10" fillId="0" borderId="0"/>
    <xf numFmtId="0" fontId="10" fillId="0" borderId="0"/>
    <xf numFmtId="0" fontId="39" fillId="0" borderId="38" applyNumberFormat="0" applyFill="0" applyAlignment="0" applyProtection="0"/>
    <xf numFmtId="0" fontId="10" fillId="0" borderId="0"/>
    <xf numFmtId="0" fontId="10" fillId="0" borderId="0"/>
    <xf numFmtId="0" fontId="10" fillId="0" borderId="0"/>
    <xf numFmtId="0" fontId="40" fillId="0" borderId="39"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7" fillId="149" borderId="0">
      <alignment horizontal="centerContinuous"/>
    </xf>
    <xf numFmtId="0" fontId="328" fillId="63" borderId="0" applyNumberFormat="0" applyBorder="0" applyAlignment="0">
      <alignment horizontal="center"/>
    </xf>
    <xf numFmtId="0" fontId="329" fillId="0" borderId="89"/>
    <xf numFmtId="0" fontId="10" fillId="0" borderId="0"/>
    <xf numFmtId="0" fontId="329" fillId="0" borderId="89"/>
    <xf numFmtId="0" fontId="10" fillId="0" borderId="0"/>
    <xf numFmtId="0" fontId="329" fillId="0" borderId="89"/>
    <xf numFmtId="0" fontId="10" fillId="0" borderId="0"/>
    <xf numFmtId="0" fontId="329" fillId="0" borderId="89"/>
    <xf numFmtId="0" fontId="329" fillId="0" borderId="89"/>
    <xf numFmtId="246" fontId="251" fillId="0" borderId="0"/>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89">
      <alignment horizontal="left"/>
    </xf>
    <xf numFmtId="253" fontId="2" fillId="0" borderId="89">
      <alignment horizontal="left"/>
    </xf>
    <xf numFmtId="253" fontId="2" fillId="0" borderId="8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1" applyNumberFormat="0" applyFill="0" applyAlignment="0" applyProtection="0"/>
    <xf numFmtId="0" fontId="77" fillId="0" borderId="161" applyNumberFormat="0" applyFill="0" applyAlignment="0" applyProtection="0"/>
    <xf numFmtId="0" fontId="77" fillId="0" borderId="161" applyNumberFormat="0" applyFill="0" applyAlignment="0" applyProtection="0"/>
    <xf numFmtId="0" fontId="77" fillId="0" borderId="161" applyNumberFormat="0" applyFill="0" applyAlignment="0" applyProtection="0"/>
    <xf numFmtId="0" fontId="30" fillId="0" borderId="161" applyNumberFormat="0" applyFill="0" applyAlignment="0" applyProtection="0"/>
    <xf numFmtId="0" fontId="30" fillId="0" borderId="161"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1" applyNumberFormat="0" applyFill="0" applyAlignment="0" applyProtection="0"/>
    <xf numFmtId="0" fontId="30" fillId="0" borderId="161" applyNumberFormat="0" applyFill="0" applyAlignment="0" applyProtection="0"/>
    <xf numFmtId="3" fontId="207" fillId="0" borderId="115">
      <alignment vertical="center"/>
    </xf>
    <xf numFmtId="0" fontId="30" fillId="0" borderId="161"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1" applyNumberFormat="0" applyFill="0" applyAlignment="0" applyProtection="0"/>
    <xf numFmtId="0" fontId="30" fillId="0" borderId="161" applyNumberFormat="0" applyFill="0" applyAlignment="0" applyProtection="0"/>
    <xf numFmtId="0" fontId="2" fillId="0" borderId="0" applyNumberFormat="0" applyFont="0" applyFill="0" applyBorder="0" applyAlignment="0" applyProtection="0"/>
    <xf numFmtId="0" fontId="30" fillId="0" borderId="161"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61" applyNumberFormat="0" applyFill="0" applyAlignment="0" applyProtection="0"/>
    <xf numFmtId="0" fontId="30" fillId="0" borderId="161" applyNumberFormat="0" applyFill="0" applyAlignment="0" applyProtection="0"/>
    <xf numFmtId="0" fontId="2" fillId="0" borderId="0" applyNumberFormat="0" applyFont="0" applyFill="0" applyBorder="0" applyAlignment="0" applyProtection="0"/>
    <xf numFmtId="0" fontId="77" fillId="0" borderId="161"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1"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61" applyNumberFormat="0" applyFill="0" applyAlignment="0" applyProtection="0"/>
    <xf numFmtId="0" fontId="77" fillId="0" borderId="161" applyNumberFormat="0" applyFill="0" applyAlignment="0" applyProtection="0"/>
    <xf numFmtId="0" fontId="77" fillId="0" borderId="161" applyNumberFormat="0" applyFill="0" applyAlignment="0" applyProtection="0"/>
    <xf numFmtId="0" fontId="2" fillId="0" borderId="0" applyNumberFormat="0" applyFont="0" applyFill="0" applyBorder="0" applyAlignment="0" applyProtection="0"/>
    <xf numFmtId="0" fontId="30" fillId="0" borderId="161" applyNumberFormat="0" applyFill="0" applyAlignment="0" applyProtection="0"/>
    <xf numFmtId="0" fontId="30" fillId="0" borderId="161" applyNumberFormat="0" applyFill="0" applyAlignment="0" applyProtection="0"/>
    <xf numFmtId="0" fontId="30" fillId="0" borderId="161" applyNumberFormat="0" applyFill="0" applyAlignment="0" applyProtection="0"/>
    <xf numFmtId="0" fontId="30" fillId="0" borderId="161" applyNumberFormat="0" applyFill="0" applyAlignment="0" applyProtection="0"/>
    <xf numFmtId="38" fontId="199" fillId="0" borderId="162">
      <alignment horizontal="right"/>
    </xf>
    <xf numFmtId="0" fontId="270" fillId="0" borderId="163"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0" fillId="0" borderId="163" applyProtection="0">
      <alignment horizontal="center"/>
    </xf>
    <xf numFmtId="0" fontId="270" fillId="0" borderId="163" applyProtection="0">
      <alignment horizontal="center"/>
    </xf>
    <xf numFmtId="0" fontId="270" fillId="0" borderId="163" applyProtection="0">
      <alignment horizontal="center"/>
    </xf>
    <xf numFmtId="0" fontId="270" fillId="0" borderId="163" applyProtection="0">
      <alignment horizontal="center"/>
    </xf>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02" fillId="69" borderId="0">
      <alignment horizontal="center"/>
    </xf>
    <xf numFmtId="0" fontId="102" fillId="69" borderId="0">
      <alignment horizontal="center"/>
    </xf>
    <xf numFmtId="3" fontId="207" fillId="0" borderId="115">
      <alignment vertical="center"/>
    </xf>
    <xf numFmtId="0" fontId="330" fillId="104" borderId="0" applyNumberFormat="0" applyBorder="0"/>
    <xf numFmtId="0" fontId="183" fillId="0" borderId="164" applyNumberFormat="0" applyFont="0" applyFill="0" applyAlignment="0"/>
    <xf numFmtId="0" fontId="331" fillId="0" borderId="110"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177" fillId="0" borderId="55" applyNumberFormat="0" applyBorder="0">
      <protection locked="0"/>
    </xf>
    <xf numFmtId="37" fontId="332" fillId="111" borderId="0"/>
    <xf numFmtId="37" fontId="158" fillId="150" borderId="106" applyNumberFormat="0" applyAlignment="0" applyProtection="0"/>
    <xf numFmtId="0" fontId="2" fillId="0" borderId="0" applyNumberFormat="0" applyFont="0" applyFill="0" applyBorder="0" applyAlignment="0" applyProtection="0"/>
    <xf numFmtId="37" fontId="158" fillId="150" borderId="106" applyNumberFormat="0" applyAlignment="0" applyProtection="0"/>
    <xf numFmtId="37" fontId="158" fillId="150" borderId="106" applyNumberFormat="0" applyAlignment="0" applyProtection="0"/>
    <xf numFmtId="37" fontId="158" fillId="150" borderId="106" applyNumberFormat="0" applyAlignment="0" applyProtection="0"/>
    <xf numFmtId="37" fontId="158" fillId="150" borderId="106" applyNumberFormat="0" applyAlignment="0" applyProtection="0"/>
    <xf numFmtId="3" fontId="207" fillId="0" borderId="115">
      <alignment vertical="center"/>
    </xf>
    <xf numFmtId="0" fontId="2" fillId="0" borderId="0" applyNumberFormat="0" applyFont="0" applyFill="0" applyBorder="0" applyAlignment="0" applyProtection="0"/>
    <xf numFmtId="0" fontId="146" fillId="0" borderId="0" applyNumberFormat="0" applyFill="0" applyBorder="0" applyAlignment="0" applyProtection="0"/>
    <xf numFmtId="0" fontId="10" fillId="0" borderId="0"/>
    <xf numFmtId="0" fontId="10" fillId="0" borderId="0"/>
    <xf numFmtId="221" fontId="3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4" fillId="0" borderId="94">
      <alignment horizontal="center"/>
    </xf>
    <xf numFmtId="43" fontId="2" fillId="0" borderId="0" applyNumberFormat="0" applyFont="0" applyBorder="0" applyAlignment="0">
      <protection locked="0"/>
    </xf>
    <xf numFmtId="2" fontId="332" fillId="111" borderId="0" applyNumberFormat="0" applyFill="0" applyBorder="0" applyAlignment="0" applyProtection="0"/>
    <xf numFmtId="352" fontId="335" fillId="111" borderId="0" applyNumberFormat="0" applyFill="0" applyBorder="0" applyAlignment="0" applyProtection="0"/>
    <xf numFmtId="37" fontId="336" fillId="110" borderId="0" applyNumberFormat="0" applyFill="0" applyBorder="0" applyAlignment="0"/>
    <xf numFmtId="0" fontId="148" fillId="111" borderId="0" applyNumberFormat="0" applyBorder="0" applyAlignment="0"/>
    <xf numFmtId="0" fontId="2" fillId="0" borderId="90"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90"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0" applyNumberFormat="0" applyFont="0" applyFill="0" applyAlignment="0" applyProtection="0"/>
    <xf numFmtId="0" fontId="2" fillId="0" borderId="90" applyNumberFormat="0" applyFont="0" applyFill="0" applyAlignment="0" applyProtection="0"/>
    <xf numFmtId="0" fontId="2" fillId="0" borderId="90" applyNumberFormat="0" applyFont="0" applyFill="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338" fontId="2" fillId="0" borderId="0"/>
    <xf numFmtId="2" fontId="231" fillId="69" borderId="106"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0" fontId="10" fillId="0" borderId="0"/>
    <xf numFmtId="3" fontId="207" fillId="0" borderId="115">
      <alignment vertical="center"/>
    </xf>
    <xf numFmtId="0" fontId="10" fillId="0" borderId="0"/>
    <xf numFmtId="165" fontId="337" fillId="69" borderId="62">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7" fillId="0" borderId="115">
      <alignment vertical="center"/>
    </xf>
    <xf numFmtId="354" fontId="2" fillId="0" borderId="0" applyFont="0" applyFill="0" applyBorder="0" applyAlignment="0" applyProtection="0"/>
    <xf numFmtId="355" fontId="252" fillId="0" borderId="0">
      <protection locked="0"/>
    </xf>
    <xf numFmtId="0" fontId="10" fillId="0" borderId="0"/>
    <xf numFmtId="0" fontId="10" fillId="0" borderId="0"/>
    <xf numFmtId="0" fontId="10" fillId="0" borderId="0"/>
    <xf numFmtId="0" fontId="24" fillId="64" borderId="35" applyNumberFormat="0" applyAlignment="0" applyProtection="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0" fontId="10" fillId="0" borderId="0"/>
    <xf numFmtId="3" fontId="207" fillId="0" borderId="115">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8"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9" fillId="96" borderId="0">
      <alignment horizontal="right"/>
    </xf>
    <xf numFmtId="0" fontId="339" fillId="74" borderId="94"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4" fillId="0" borderId="0">
      <alignment horizontal="center"/>
    </xf>
    <xf numFmtId="0" fontId="10" fillId="0" borderId="0"/>
    <xf numFmtId="3" fontId="207" fillId="0" borderId="115">
      <alignment vertical="center"/>
    </xf>
    <xf numFmtId="0" fontId="307" fillId="0" borderId="0" applyProtection="0">
      <alignment horizontal="center"/>
    </xf>
    <xf numFmtId="0" fontId="10" fillId="0" borderId="0"/>
    <xf numFmtId="3" fontId="207" fillId="0" borderId="115">
      <alignment vertical="center"/>
    </xf>
    <xf numFmtId="0" fontId="2" fillId="0" borderId="0" applyNumberFormat="0" applyFont="0" applyFill="0" applyBorder="0" applyAlignment="0" applyProtection="0"/>
    <xf numFmtId="0" fontId="340" fillId="0" borderId="0" applyProtection="0">
      <alignment horizontal="center"/>
    </xf>
    <xf numFmtId="0" fontId="10" fillId="0" borderId="0"/>
    <xf numFmtId="3" fontId="207" fillId="0" borderId="115">
      <alignment vertical="center"/>
    </xf>
    <xf numFmtId="0" fontId="45" fillId="0" borderId="0" applyNumberFormat="0" applyFill="0" applyBorder="0" applyProtection="0">
      <alignment horizontal="left"/>
    </xf>
    <xf numFmtId="331" fontId="158" fillId="0" borderId="0" applyNumberFormat="0" applyFont="0" applyFill="0" applyBorder="0" applyProtection="0">
      <alignment vertical="top" wrapText="1"/>
    </xf>
    <xf numFmtId="0" fontId="204" fillId="0" borderId="0" applyNumberFormat="0" applyFill="0" applyBorder="0" applyProtection="0">
      <alignment horizontal="right"/>
    </xf>
    <xf numFmtId="0" fontId="177" fillId="0" borderId="0" applyNumberFormat="0" applyFill="0" applyBorder="0" applyProtection="0">
      <alignment horizontal="center"/>
    </xf>
    <xf numFmtId="15" fontId="177" fillId="0" borderId="0" applyFill="0" applyBorder="0" applyProtection="0">
      <alignment horizontal="center"/>
    </xf>
    <xf numFmtId="357" fontId="102" fillId="0" borderId="0"/>
    <xf numFmtId="357" fontId="102" fillId="0" borderId="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10" fillId="0" borderId="0"/>
    <xf numFmtId="3" fontId="207" fillId="0" borderId="115">
      <alignment vertical="center"/>
    </xf>
    <xf numFmtId="0" fontId="45" fillId="0" borderId="165" applyNumberFormat="0"/>
    <xf numFmtId="14" fontId="158" fillId="0" borderId="0" applyFont="0" applyFill="0" applyBorder="0" applyProtection="0"/>
    <xf numFmtId="16" fontId="158" fillId="0" borderId="0" applyFont="0" applyFill="0" applyBorder="0" applyProtection="0"/>
    <xf numFmtId="3" fontId="207" fillId="0" borderId="115">
      <alignment vertical="center"/>
    </xf>
    <xf numFmtId="358" fontId="341" fillId="0" borderId="94"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2" fillId="0" borderId="0" applyNumberFormat="0" applyFont="0" applyFill="0" applyBorder="0" applyAlignment="0" applyProtection="0"/>
    <xf numFmtId="0" fontId="10" fillId="0" borderId="0"/>
    <xf numFmtId="3" fontId="207" fillId="0" borderId="115">
      <alignment vertical="center"/>
    </xf>
    <xf numFmtId="0" fontId="10" fillId="0" borderId="0"/>
    <xf numFmtId="0" fontId="10" fillId="0" borderId="0"/>
    <xf numFmtId="0" fontId="10" fillId="0" borderId="0"/>
    <xf numFmtId="0" fontId="10" fillId="0" borderId="0"/>
    <xf numFmtId="3" fontId="207" fillId="0" borderId="115">
      <alignment vertical="center"/>
    </xf>
    <xf numFmtId="0" fontId="216"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2" fillId="0" borderId="0" applyNumberFormat="0" applyFont="0" applyBorder="0" applyAlignment="0"/>
    <xf numFmtId="0" fontId="343" fillId="0" borderId="0"/>
    <xf numFmtId="0" fontId="6" fillId="0" borderId="0" applyNumberFormat="0" applyFill="0" applyBorder="0" applyAlignment="0" applyProtection="0">
      <alignment vertical="top"/>
      <protection locked="0"/>
    </xf>
    <xf numFmtId="208" fontId="343" fillId="0" borderId="0" applyFont="0" applyFill="0" applyBorder="0" applyAlignment="0" applyProtection="0"/>
    <xf numFmtId="209" fontId="343" fillId="0" borderId="0" applyFont="0" applyFill="0" applyBorder="0" applyAlignment="0" applyProtection="0"/>
    <xf numFmtId="207" fontId="343" fillId="0" borderId="0" applyFont="0" applyFill="0" applyBorder="0" applyAlignment="0" applyProtection="0"/>
    <xf numFmtId="210" fontId="34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4" fillId="0" borderId="0" applyNumberFormat="0" applyFill="0" applyBorder="0" applyAlignment="0" applyProtection="0"/>
    <xf numFmtId="3" fontId="2" fillId="74" borderId="172" applyFont="0">
      <alignment horizontal="right" vertical="center"/>
      <protection locked="0"/>
    </xf>
    <xf numFmtId="0" fontId="45" fillId="69" borderId="168" applyFont="0" applyBorder="0">
      <alignment horizontal="center" wrapText="1"/>
    </xf>
    <xf numFmtId="0" fontId="145" fillId="69" borderId="171" applyNumberFormat="0" applyFill="0" applyBorder="0" applyAlignment="0" applyProtection="0">
      <alignment horizontal="left"/>
    </xf>
    <xf numFmtId="0" fontId="1" fillId="0" borderId="0"/>
    <xf numFmtId="0" fontId="172" fillId="0" borderId="176"/>
    <xf numFmtId="244" fontId="174" fillId="0" borderId="177"/>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0" fontId="19" fillId="0" borderId="169" applyFont="0" applyFill="0" applyBorder="0" applyAlignment="0"/>
    <xf numFmtId="3" fontId="179" fillId="88" borderId="172" applyNumberFormat="0" applyFont="0" applyAlignment="0"/>
    <xf numFmtId="3" fontId="179" fillId="88" borderId="172" applyNumberFormat="0" applyFont="0" applyAlignment="0"/>
    <xf numFmtId="3" fontId="179" fillId="88" borderId="172" applyNumberFormat="0" applyFont="0" applyAlignment="0"/>
    <xf numFmtId="3" fontId="179" fillId="88" borderId="172" applyNumberFormat="0" applyFont="0" applyAlignment="0"/>
    <xf numFmtId="3" fontId="179" fillId="88" borderId="172" applyNumberFormat="0" applyFont="0" applyAlignment="0"/>
    <xf numFmtId="247"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247" fontId="177" fillId="107" borderId="172" applyNumberFormat="0" applyFill="0" applyBorder="0" applyAlignment="0" applyProtection="0"/>
    <xf numFmtId="0"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0"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247" fontId="177" fillId="107" borderId="172" applyNumberFormat="0" applyFill="0" applyBorder="0" applyAlignment="0" applyProtection="0"/>
    <xf numFmtId="0" fontId="177" fillId="107" borderId="172" applyNumberFormat="0" applyFill="0" applyBorder="0" applyAlignment="0" applyProtection="0"/>
    <xf numFmtId="0" fontId="181" fillId="108" borderId="178" applyNumberFormat="0" applyAlignment="0" applyProtection="0"/>
    <xf numFmtId="0" fontId="181" fillId="108" borderId="178" applyNumberFormat="0" applyAlignment="0" applyProtection="0"/>
    <xf numFmtId="252" fontId="102" fillId="0" borderId="178" applyNumberFormat="0" applyFont="0" applyFill="0" applyAlignment="0">
      <alignment vertical="center"/>
    </xf>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252" fontId="102" fillId="0" borderId="178" applyNumberFormat="0" applyFont="0" applyFill="0" applyAlignment="0">
      <alignment vertical="center"/>
    </xf>
    <xf numFmtId="0" fontId="102" fillId="0" borderId="178" applyNumberFormat="0" applyFont="0" applyFill="0"/>
    <xf numFmtId="252" fontId="102" fillId="0" borderId="178" applyNumberFormat="0" applyFont="0" applyFill="0" applyAlignment="0">
      <alignment vertical="center"/>
    </xf>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02" fillId="0" borderId="178" applyNumberFormat="0" applyFont="0" applyFill="0"/>
    <xf numFmtId="0" fontId="199" fillId="0" borderId="167" applyNumberFormat="0" applyFont="0" applyFill="0" applyAlignment="0" applyProtection="0"/>
    <xf numFmtId="0" fontId="147" fillId="0" borderId="171" applyNumberFormat="0" applyFont="0" applyFill="0" applyAlignment="0" applyProtection="0"/>
    <xf numFmtId="0" fontId="147" fillId="0" borderId="171" applyNumberFormat="0" applyFont="0" applyFill="0" applyAlignment="0" applyProtection="0"/>
    <xf numFmtId="0" fontId="147" fillId="0" borderId="171" applyNumberFormat="0" applyFont="0" applyFill="0" applyAlignment="0" applyProtection="0"/>
    <xf numFmtId="0" fontId="147" fillId="0" borderId="176" applyNumberFormat="0" applyFont="0" applyFill="0" applyAlignment="0" applyProtection="0"/>
    <xf numFmtId="0" fontId="147" fillId="0" borderId="176" applyNumberFormat="0" applyFont="0" applyFill="0" applyAlignment="0" applyProtection="0"/>
    <xf numFmtId="0" fontId="147" fillId="0" borderId="170" applyNumberFormat="0" applyFont="0" applyFill="0" applyAlignment="0" applyProtection="0"/>
    <xf numFmtId="0" fontId="147" fillId="0" borderId="170" applyNumberFormat="0" applyFont="0" applyFill="0" applyAlignment="0" applyProtection="0"/>
    <xf numFmtId="0" fontId="147" fillId="0" borderId="170" applyNumberFormat="0" applyFont="0" applyFill="0" applyAlignment="0" applyProtection="0"/>
    <xf numFmtId="0" fontId="147" fillId="0" borderId="170" applyNumberFormat="0" applyFont="0" applyFill="0" applyAlignment="0" applyProtection="0"/>
    <xf numFmtId="0" fontId="147" fillId="0" borderId="170" applyNumberFormat="0" applyFont="0" applyFill="0" applyAlignment="0" applyProtection="0"/>
    <xf numFmtId="0" fontId="147" fillId="0" borderId="170" applyNumberFormat="0" applyFont="0" applyFill="0" applyAlignment="0" applyProtection="0"/>
    <xf numFmtId="253" fontId="2" fillId="0" borderId="177">
      <alignment horizontal="left"/>
    </xf>
    <xf numFmtId="253" fontId="2" fillId="0" borderId="177">
      <alignment horizontal="left"/>
    </xf>
    <xf numFmtId="253" fontId="2" fillId="0" borderId="177">
      <alignment horizontal="left"/>
    </xf>
    <xf numFmtId="253" fontId="2" fillId="0" borderId="177">
      <alignment horizontal="left"/>
    </xf>
    <xf numFmtId="253" fontId="2" fillId="0" borderId="177">
      <alignment horizontal="left"/>
    </xf>
    <xf numFmtId="253" fontId="2" fillId="0" borderId="177">
      <alignment horizontal="left"/>
    </xf>
    <xf numFmtId="253" fontId="2" fillId="0" borderId="177">
      <alignment horizontal="left"/>
    </xf>
    <xf numFmtId="253" fontId="2" fillId="0" borderId="177">
      <alignment horizontal="left"/>
    </xf>
    <xf numFmtId="3" fontId="45" fillId="41" borderId="171">
      <protection hidden="1"/>
    </xf>
    <xf numFmtId="0" fontId="202" fillId="0" borderId="171" applyBorder="0"/>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vertical="center"/>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3" fontId="204" fillId="69" borderId="172" applyFont="0" applyFill="0" applyProtection="0">
      <alignment horizontal="right"/>
    </xf>
    <xf numFmtId="201" fontId="207"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18" fillId="0" borderId="179" applyNumberFormat="0" applyFill="0" applyBorder="0" applyAlignment="0" applyProtection="0">
      <alignment horizontal="center"/>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8" fillId="0" borderId="179" applyNumberFormat="0" applyFill="0" applyBorder="0" applyAlignment="0" applyProtection="0">
      <alignment horizontal="center"/>
      <protection locked="0"/>
    </xf>
    <xf numFmtId="0" fontId="218" fillId="0" borderId="179" applyNumberFormat="0" applyFill="0" applyBorder="0" applyAlignment="0" applyProtection="0">
      <alignment horizontal="center"/>
      <protection locked="0"/>
    </xf>
    <xf numFmtId="0" fontId="218" fillId="0" borderId="179" applyNumberFormat="0" applyFill="0" applyBorder="0" applyAlignment="0" applyProtection="0">
      <alignment horizontal="center"/>
      <protection locked="0"/>
    </xf>
    <xf numFmtId="0" fontId="218" fillId="0" borderId="179" applyNumberFormat="0" applyFill="0" applyBorder="0" applyAlignment="0" applyProtection="0">
      <alignment horizontal="center"/>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19" fillId="0" borderId="179"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0" fillId="0" borderId="0" applyFont="0" applyFill="0" applyBorder="0" applyAlignment="0" applyProtection="0">
      <alignment horizontal="righ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25" fillId="119" borderId="169" applyNumberFormat="0" applyBorder="0">
      <alignment horizontal="left"/>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0"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275" fontId="2" fillId="0" borderId="171" applyFill="0" applyProtection="0">
      <alignment horizontal="centerContinuous"/>
    </xf>
    <xf numFmtId="0" fontId="230" fillId="120" borderId="172" applyNumberFormat="0" applyBorder="0" applyAlignment="0">
      <alignment horizontal="center"/>
      <protection locked="0"/>
    </xf>
    <xf numFmtId="0" fontId="230" fillId="120" borderId="172" applyNumberFormat="0" applyBorder="0" applyAlignment="0">
      <alignment horizontal="center"/>
      <protection locked="0"/>
    </xf>
    <xf numFmtId="3" fontId="231" fillId="121" borderId="179" applyNumberFormat="0" applyBorder="0" applyAlignment="0" applyProtection="0">
      <protection hidden="1"/>
    </xf>
    <xf numFmtId="281" fontId="2" fillId="0" borderId="0" applyFont="0" applyFill="0" applyBorder="0" applyAlignment="0" applyProtection="0"/>
    <xf numFmtId="0" fontId="2" fillId="71" borderId="170" applyNumberFormat="0" applyFont="0" applyAlignment="0" applyProtection="0"/>
    <xf numFmtId="0" fontId="2" fillId="71" borderId="170" applyNumberFormat="0" applyFont="0" applyAlignment="0" applyProtection="0"/>
    <xf numFmtId="0" fontId="2" fillId="71" borderId="170" applyNumberFormat="0" applyFont="0" applyAlignment="0" applyProtection="0"/>
    <xf numFmtId="0" fontId="2" fillId="71" borderId="170" applyNumberFormat="0" applyFont="0" applyAlignment="0" applyProtection="0"/>
    <xf numFmtId="0" fontId="2" fillId="71" borderId="170" applyNumberFormat="0" applyFont="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45" fillId="113" borderId="174" applyAlignment="0" applyProtection="0"/>
    <xf numFmtId="0" fontId="45" fillId="113" borderId="174" applyAlignment="0" applyProtection="0"/>
    <xf numFmtId="0" fontId="45" fillId="113" borderId="174" applyAlignment="0" applyProtection="0"/>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Protection="0">
      <alignment horizontal="center" vertical="center"/>
    </xf>
    <xf numFmtId="0" fontId="2" fillId="68" borderId="172" applyNumberFormat="0" applyFont="0" applyBorder="0" applyProtection="0">
      <alignment horizontal="center" vertical="center"/>
    </xf>
    <xf numFmtId="0" fontId="2" fillId="68" borderId="172" applyNumberFormat="0" applyFont="0" applyBorder="0" applyProtection="0">
      <alignment horizontal="center" vertical="center"/>
    </xf>
    <xf numFmtId="0" fontId="2" fillId="68" borderId="172" applyNumberFormat="0" applyFont="0" applyBorder="0" applyProtection="0">
      <alignment horizontal="center" vertic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68" borderId="172" applyNumberFormat="0" applyFont="0" applyBorder="0" applyAlignment="0" applyProtection="0">
      <alignment horizontal="center"/>
    </xf>
    <xf numFmtId="0" fontId="2" fillId="125" borderId="169" applyNumberFormat="0" applyFont="0" applyBorder="0" applyAlignment="0"/>
    <xf numFmtId="0" fontId="2" fillId="125" borderId="169" applyNumberFormat="0" applyFont="0" applyBorder="0" applyAlignment="0"/>
    <xf numFmtId="0" fontId="2" fillId="125" borderId="169" applyNumberFormat="0" applyFont="0" applyBorder="0" applyAlignment="0"/>
    <xf numFmtId="0" fontId="2" fillId="125" borderId="169" applyNumberFormat="0" applyFont="0" applyBorder="0" applyAlignment="0"/>
    <xf numFmtId="0" fontId="2" fillId="125" borderId="169" applyNumberFormat="0" applyFont="0" applyBorder="0" applyAlignment="0"/>
    <xf numFmtId="0" fontId="41" fillId="126" borderId="168" applyNumberFormat="0" applyFont="0" applyBorder="0" applyAlignment="0">
      <alignment horizontal="centerContinuous"/>
    </xf>
    <xf numFmtId="0" fontId="41" fillId="126" borderId="168" applyNumberFormat="0" applyFont="0" applyBorder="0" applyAlignment="0">
      <alignment horizontal="centerContinuous"/>
    </xf>
    <xf numFmtId="0" fontId="41" fillId="126" borderId="168" applyNumberFormat="0" applyFont="0" applyBorder="0" applyAlignment="0">
      <alignment horizontal="centerContinuous"/>
    </xf>
    <xf numFmtId="0" fontId="41" fillId="126" borderId="168" applyNumberFormat="0" applyFont="0" applyBorder="0" applyAlignment="0">
      <alignment horizontal="centerContinuous"/>
    </xf>
    <xf numFmtId="0" fontId="41" fillId="126" borderId="168" applyNumberFormat="0" applyFont="0" applyBorder="0" applyAlignment="0">
      <alignment horizontal="centerContinuous"/>
    </xf>
    <xf numFmtId="0" fontId="37" fillId="0" borderId="174">
      <alignment horizontal="left" vertical="center"/>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3"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10"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9" fontId="2" fillId="70" borderId="172" applyFont="0" applyProtection="0">
      <alignment horizontal="righ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70" borderId="168" applyNumberFormat="0" applyFont="0" applyBorder="0" applyAlignment="0" applyProtection="0">
      <alignment horizontal="left"/>
    </xf>
    <xf numFmtId="0" fontId="2" fillId="0" borderId="0" applyNumberFormat="0" applyFont="0" applyFill="0" applyBorder="0" applyAlignment="0" applyProtection="0"/>
    <xf numFmtId="10" fontId="19" fillId="107" borderId="172" applyNumberFormat="0" applyBorder="0" applyAlignment="0" applyProtection="0"/>
    <xf numFmtId="10" fontId="19" fillId="107" borderId="172" applyNumberFormat="0" applyBorder="0" applyAlignment="0" applyProtection="0"/>
    <xf numFmtId="10" fontId="19" fillId="107" borderId="172" applyNumberFormat="0" applyBorder="0" applyAlignment="0" applyProtection="0"/>
    <xf numFmtId="10" fontId="19" fillId="107" borderId="172" applyNumberFormat="0" applyBorder="0" applyAlignment="0" applyProtection="0"/>
    <xf numFmtId="10" fontId="19" fillId="107" borderId="172" applyNumberFormat="0" applyBorder="0" applyAlignment="0" applyProtection="0"/>
    <xf numFmtId="10" fontId="19" fillId="107" borderId="172" applyNumberFormat="0" applyBorder="0" applyAlignment="0" applyProtection="0"/>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0" fontId="269" fillId="0" borderId="177">
      <protection locked="0"/>
    </xf>
    <xf numFmtId="2" fontId="231" fillId="129" borderId="177" applyNumberFormat="0" applyBorder="0" applyAlignment="0" applyProtection="0">
      <alignment horizontal="center"/>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11" fontId="2" fillId="71" borderId="172" applyFont="0" applyAlignment="0">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vertical="center"/>
      <protection locked="0"/>
    </xf>
    <xf numFmtId="3" fontId="2" fillId="71" borderId="172" applyFont="0">
      <alignment horizontal="right" vertical="center"/>
      <protection locked="0"/>
    </xf>
    <xf numFmtId="3" fontId="2" fillId="71" borderId="172" applyFont="0">
      <alignment horizontal="right" vertical="center"/>
      <protection locked="0"/>
    </xf>
    <xf numFmtId="3" fontId="2" fillId="71" borderId="172" applyFont="0">
      <alignment horizontal="right" vertical="center"/>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3"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26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10" fontId="2" fillId="71" borderId="172" applyFont="0">
      <alignment horizontal="right"/>
      <protection locked="0"/>
    </xf>
    <xf numFmtId="9" fontId="2" fillId="71" borderId="179" applyFont="0">
      <alignment horizontal="right"/>
      <protection locked="0"/>
    </xf>
    <xf numFmtId="9" fontId="2" fillId="71" borderId="179" applyFont="0">
      <alignment horizontal="right"/>
      <protection locked="0"/>
    </xf>
    <xf numFmtId="9" fontId="2" fillId="71" borderId="179" applyFont="0">
      <alignment horizontal="right"/>
      <protection locked="0"/>
    </xf>
    <xf numFmtId="9" fontId="2" fillId="71" borderId="179" applyFont="0">
      <alignment horizontal="right"/>
      <protection locked="0"/>
    </xf>
    <xf numFmtId="9" fontId="2" fillId="71" borderId="179" applyFont="0">
      <alignment horizontal="right"/>
      <protection locked="0"/>
    </xf>
    <xf numFmtId="9" fontId="2" fillId="71" borderId="179" applyFont="0">
      <alignment horizontal="right"/>
      <protection locked="0"/>
    </xf>
    <xf numFmtId="9" fontId="2" fillId="71" borderId="179" applyFont="0">
      <alignment horizontal="right"/>
      <protection locked="0"/>
    </xf>
    <xf numFmtId="9" fontId="2" fillId="71" borderId="179" applyFont="0">
      <alignment horizontal="right"/>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0" fontId="2" fillId="71" borderId="172" applyFont="0">
      <alignment horizontal="center" wrapText="1"/>
      <protection locked="0"/>
    </xf>
    <xf numFmtId="49" fontId="2" fillId="71" borderId="172" applyFont="0" applyAlignment="0">
      <protection locked="0"/>
    </xf>
    <xf numFmtId="49" fontId="2" fillId="71" borderId="172" applyFont="0" applyAlignment="0">
      <protection locked="0"/>
    </xf>
    <xf numFmtId="317" fontId="158" fillId="0" borderId="177" applyBorder="0"/>
    <xf numFmtId="253" fontId="226" fillId="96" borderId="177" applyBorder="0"/>
    <xf numFmtId="10" fontId="9" fillId="130" borderId="169" applyBorder="0">
      <alignment horizontal="center"/>
      <protection locked="0"/>
    </xf>
    <xf numFmtId="10" fontId="9" fillId="130" borderId="169" applyBorder="0">
      <alignment horizontal="center"/>
      <protection locked="0"/>
    </xf>
    <xf numFmtId="10" fontId="9" fillId="130" borderId="169" applyBorder="0">
      <alignment horizontal="center"/>
      <protection locked="0"/>
    </xf>
    <xf numFmtId="10" fontId="9" fillId="130" borderId="169" applyBorder="0">
      <alignment horizontal="center"/>
      <protection locked="0"/>
    </xf>
    <xf numFmtId="10" fontId="9" fillId="130" borderId="169" applyBorder="0">
      <alignment horizontal="center"/>
      <protection locked="0"/>
    </xf>
    <xf numFmtId="2" fontId="231" fillId="107" borderId="172" applyNumberFormat="0" applyBorder="0" applyAlignment="0">
      <protection locked="0"/>
    </xf>
    <xf numFmtId="3" fontId="207" fillId="0" borderId="115">
      <alignment vertical="center"/>
    </xf>
    <xf numFmtId="37" fontId="199" fillId="0" borderId="0" applyNumberFormat="0" applyFill="0" applyAlignment="0"/>
    <xf numFmtId="0" fontId="281" fillId="104" borderId="173">
      <alignment horizontal="center" vertical="top" wrapText="1"/>
    </xf>
    <xf numFmtId="0" fontId="281" fillId="104" borderId="173">
      <alignment horizontal="center" vertical="top" wrapText="1"/>
    </xf>
    <xf numFmtId="0" fontId="281" fillId="104" borderId="173">
      <alignment horizontal="center" vertical="top" wrapText="1"/>
    </xf>
    <xf numFmtId="0" fontId="281" fillId="104" borderId="173">
      <alignment horizontal="center" vertical="top" wrapText="1"/>
    </xf>
    <xf numFmtId="0" fontId="2" fillId="0" borderId="174"/>
    <xf numFmtId="0" fontId="2" fillId="0" borderId="174"/>
    <xf numFmtId="0" fontId="2" fillId="0" borderId="174"/>
    <xf numFmtId="0" fontId="2" fillId="0" borderId="174"/>
    <xf numFmtId="0" fontId="45" fillId="70" borderId="168"/>
    <xf numFmtId="0" fontId="45" fillId="70" borderId="168"/>
    <xf numFmtId="0" fontId="45" fillId="70" borderId="168"/>
    <xf numFmtId="0" fontId="45" fillId="70" borderId="168"/>
    <xf numFmtId="0" fontId="45" fillId="0" borderId="169"/>
    <xf numFmtId="0" fontId="45" fillId="0" borderId="169"/>
    <xf numFmtId="0" fontId="45" fillId="0" borderId="169"/>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0" fontId="281" fillId="132" borderId="173">
      <alignment horizontal="center" vertical="top"/>
    </xf>
    <xf numFmtId="0" fontId="281" fillId="132" borderId="173">
      <alignment horizontal="center" vertical="top"/>
    </xf>
    <xf numFmtId="0" fontId="45" fillId="0" borderId="168"/>
    <xf numFmtId="0" fontId="45" fillId="0" borderId="168"/>
    <xf numFmtId="0" fontId="45" fillId="0" borderId="168"/>
    <xf numFmtId="0" fontId="45" fillId="0" borderId="168"/>
    <xf numFmtId="0" fontId="2" fillId="0" borderId="173"/>
    <xf numFmtId="0" fontId="2" fillId="0" borderId="173"/>
    <xf numFmtId="0" fontId="2" fillId="0" borderId="173"/>
    <xf numFmtId="0" fontId="2" fillId="0" borderId="173"/>
    <xf numFmtId="0" fontId="2" fillId="0" borderId="173"/>
    <xf numFmtId="0" fontId="282" fillId="70" borderId="179"/>
    <xf numFmtId="0" fontId="282" fillId="70" borderId="179"/>
    <xf numFmtId="0" fontId="2" fillId="0" borderId="169">
      <alignment horizontal="center"/>
    </xf>
    <xf numFmtId="0" fontId="2" fillId="0" borderId="169">
      <alignment horizontal="center"/>
    </xf>
    <xf numFmtId="0" fontId="2" fillId="0" borderId="169">
      <alignment horizontal="center"/>
    </xf>
    <xf numFmtId="0" fontId="2" fillId="0" borderId="170">
      <alignment horizontal="center"/>
    </xf>
    <xf numFmtId="0" fontId="2" fillId="0" borderId="170">
      <alignment horizontal="center"/>
    </xf>
    <xf numFmtId="0" fontId="2" fillId="0" borderId="170">
      <alignment horizontal="center"/>
    </xf>
    <xf numFmtId="0" fontId="2" fillId="0" borderId="170">
      <alignment horizontal="center"/>
    </xf>
    <xf numFmtId="0" fontId="2" fillId="0" borderId="175">
      <alignment horizontal="center"/>
    </xf>
    <xf numFmtId="0" fontId="2" fillId="0" borderId="175">
      <alignment horizontal="center"/>
    </xf>
    <xf numFmtId="0" fontId="281" fillId="132" borderId="173">
      <alignment horizontal="center" vertical="top" wrapText="1"/>
    </xf>
    <xf numFmtId="0" fontId="281" fillId="132" borderId="173">
      <alignment horizontal="center" vertical="top" wrapText="1"/>
    </xf>
    <xf numFmtId="0" fontId="281" fillId="132" borderId="173">
      <alignment horizontal="center" vertical="top" wrapText="1"/>
    </xf>
    <xf numFmtId="0" fontId="281" fillId="132" borderId="173">
      <alignment horizontal="center" vertical="top" wrapText="1"/>
    </xf>
    <xf numFmtId="3" fontId="2" fillId="0" borderId="174"/>
    <xf numFmtId="3" fontId="2" fillId="0" borderId="174"/>
    <xf numFmtId="3" fontId="2" fillId="0" borderId="174"/>
    <xf numFmtId="3" fontId="2" fillId="0" borderId="174"/>
    <xf numFmtId="0" fontId="45" fillId="70" borderId="168">
      <alignment horizontal="center"/>
    </xf>
    <xf numFmtId="0" fontId="45" fillId="70" borderId="168">
      <alignment horizontal="center"/>
    </xf>
    <xf numFmtId="0" fontId="45" fillId="70" borderId="168">
      <alignment horizontal="center"/>
    </xf>
    <xf numFmtId="0" fontId="45" fillId="70" borderId="168">
      <alignment horizontal="center"/>
    </xf>
    <xf numFmtId="0" fontId="45" fillId="70" borderId="174">
      <alignment horizontal="center"/>
    </xf>
    <xf numFmtId="0" fontId="45" fillId="70" borderId="174">
      <alignment horizontal="center"/>
    </xf>
    <xf numFmtId="0" fontId="45" fillId="70" borderId="173">
      <alignment horizontal="center"/>
    </xf>
    <xf numFmtId="0" fontId="45" fillId="70" borderId="173">
      <alignment horizontal="center"/>
    </xf>
    <xf numFmtId="0" fontId="45" fillId="70" borderId="173">
      <alignment horizontal="center"/>
    </xf>
    <xf numFmtId="0" fontId="45" fillId="70" borderId="173">
      <alignment horizontal="center"/>
    </xf>
    <xf numFmtId="0" fontId="45" fillId="70" borderId="169">
      <alignment horizontal="left" vertical="top"/>
    </xf>
    <xf numFmtId="0" fontId="45" fillId="70" borderId="169">
      <alignment horizontal="left" vertical="top"/>
    </xf>
    <xf numFmtId="0" fontId="45" fillId="70" borderId="169">
      <alignment horizontal="left" vertical="top"/>
    </xf>
    <xf numFmtId="0" fontId="281" fillId="132" borderId="174">
      <alignment horizontal="center" vertical="center"/>
    </xf>
    <xf numFmtId="0" fontId="281" fillId="132" borderId="174">
      <alignment horizontal="center" vertical="center"/>
    </xf>
    <xf numFmtId="0" fontId="281" fillId="132" borderId="173">
      <alignment horizontal="center" vertical="center"/>
    </xf>
    <xf numFmtId="0" fontId="281" fillId="132" borderId="173">
      <alignment horizontal="center" vertical="center"/>
    </xf>
    <xf numFmtId="0" fontId="281" fillId="132" borderId="173">
      <alignment horizontal="center" vertical="center"/>
    </xf>
    <xf numFmtId="0" fontId="281" fillId="132" borderId="173">
      <alignment horizontal="center" vertical="center"/>
    </xf>
    <xf numFmtId="0" fontId="281" fillId="104" borderId="168">
      <alignment horizontal="center" vertical="center"/>
    </xf>
    <xf numFmtId="0" fontId="281" fillId="104" borderId="168">
      <alignment horizontal="center" vertical="center"/>
    </xf>
    <xf numFmtId="0" fontId="281" fillId="104" borderId="168">
      <alignment horizontal="center" vertical="center"/>
    </xf>
    <xf numFmtId="0" fontId="281" fillId="104" borderId="168">
      <alignment horizontal="center" vertical="center"/>
    </xf>
    <xf numFmtId="0" fontId="281" fillId="104" borderId="174">
      <alignment horizontal="center" vertical="center"/>
    </xf>
    <xf numFmtId="0" fontId="281" fillId="104" borderId="174">
      <alignment horizontal="center" vertical="center"/>
    </xf>
    <xf numFmtId="0" fontId="281" fillId="104" borderId="173">
      <alignment horizontal="center" vertical="center"/>
    </xf>
    <xf numFmtId="0" fontId="281" fillId="104" borderId="173">
      <alignment horizontal="center" vertical="center"/>
    </xf>
    <xf numFmtId="0" fontId="281" fillId="104" borderId="173">
      <alignment horizontal="center" vertical="center"/>
    </xf>
    <xf numFmtId="0" fontId="281" fillId="104" borderId="173">
      <alignment horizontal="center" vertical="center"/>
    </xf>
    <xf numFmtId="0" fontId="2" fillId="0" borderId="170"/>
    <xf numFmtId="0" fontId="2" fillId="0" borderId="170"/>
    <xf numFmtId="0" fontId="2" fillId="0" borderId="170"/>
    <xf numFmtId="0" fontId="2" fillId="0" borderId="170"/>
    <xf numFmtId="0" fontId="2" fillId="0" borderId="175"/>
    <xf numFmtId="0" fontId="2" fillId="0" borderId="175"/>
    <xf numFmtId="0" fontId="2" fillId="0" borderId="0" applyNumberFormat="0" applyFont="0" applyFill="0" applyBorder="0" applyAlignment="0" applyProtection="0"/>
    <xf numFmtId="0" fontId="284" fillId="0" borderId="177"/>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3"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260" fontId="2" fillId="74" borderId="172">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10" fontId="2" fillId="74" borderId="172" applyFont="0">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9" fontId="2" fillId="74" borderId="172">
      <alignment horizontal="right"/>
      <protection locked="0"/>
    </xf>
    <xf numFmtId="331" fontId="2" fillId="74" borderId="172" applyFont="0">
      <alignment horizontal="right" vertical="center"/>
      <protection locked="0"/>
    </xf>
    <xf numFmtId="331" fontId="2" fillId="74" borderId="172" applyFont="0">
      <alignment horizontal="right" vertical="center"/>
      <protection locked="0"/>
    </xf>
    <xf numFmtId="331" fontId="2" fillId="74" borderId="172" applyFont="0">
      <alignment horizontal="right" vertical="center"/>
      <protection locked="0"/>
    </xf>
    <xf numFmtId="331" fontId="2" fillId="74" borderId="172" applyFont="0">
      <alignment horizontal="right" vertical="center"/>
      <protection locked="0"/>
    </xf>
    <xf numFmtId="331" fontId="2" fillId="74" borderId="172" applyFont="0">
      <alignment horizontal="right" vertical="center"/>
      <protection locked="0"/>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lignment horizontal="center" wrapText="1"/>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0" fontId="2" fillId="74" borderId="172" applyNumberFormat="0" applyFont="0">
      <alignment horizontal="center" wrapText="1"/>
      <protection locked="0"/>
    </xf>
    <xf numFmtId="173" fontId="231" fillId="134" borderId="177" applyNumberFormat="0" applyBorder="0" applyAlignment="0" applyProtection="0">
      <alignment horizontal="center"/>
      <protection hidden="1"/>
    </xf>
    <xf numFmtId="3" fontId="285" fillId="57" borderId="172" applyNumberFormat="0" applyBorder="0" applyAlignment="0" applyProtection="0">
      <protection hidden="1"/>
    </xf>
    <xf numFmtId="3" fontId="286" fillId="135" borderId="179" applyNumberFormat="0" applyBorder="0" applyAlignment="0" applyProtection="0">
      <protection hidden="1"/>
    </xf>
    <xf numFmtId="0" fontId="19" fillId="131" borderId="177" applyNumberFormat="0" applyFont="0" applyBorder="0" applyAlignment="0" applyProtection="0">
      <alignment horizontal="center"/>
    </xf>
    <xf numFmtId="0" fontId="19" fillId="131" borderId="177" applyNumberFormat="0" applyFont="0" applyBorder="0" applyAlignment="0" applyProtection="0">
      <alignment horizontal="center"/>
    </xf>
    <xf numFmtId="0" fontId="19" fillId="96" borderId="177" applyNumberFormat="0" applyFont="0" applyBorder="0" applyAlignment="0" applyProtection="0">
      <alignment horizontal="center"/>
    </xf>
    <xf numFmtId="0" fontId="19" fillId="96" borderId="177" applyNumberFormat="0" applyFont="0" applyBorder="0" applyAlignment="0" applyProtection="0">
      <alignment horizontal="center"/>
    </xf>
    <xf numFmtId="0" fontId="158" fillId="0" borderId="180" applyNumberFormat="0" applyAlignment="0" applyProtection="0"/>
    <xf numFmtId="0" fontId="10" fillId="0" borderId="0"/>
    <xf numFmtId="0" fontId="46" fillId="69" borderId="171">
      <alignment horizontal="center"/>
    </xf>
    <xf numFmtId="0" fontId="41" fillId="0" borderId="167">
      <alignment horizontal="center"/>
    </xf>
    <xf numFmtId="0" fontId="45" fillId="92" borderId="171" applyNumberFormat="0" applyBorder="0" applyAlignment="0"/>
    <xf numFmtId="3" fontId="2" fillId="95" borderId="172" applyFont="0">
      <alignment horizontal="right" vertical="center"/>
      <protection locked="0"/>
    </xf>
    <xf numFmtId="3" fontId="2" fillId="95" borderId="172" applyFont="0">
      <alignment horizontal="right" vertical="center"/>
      <protection locked="0"/>
    </xf>
    <xf numFmtId="3" fontId="2" fillId="95" borderId="172" applyFont="0">
      <alignment horizontal="right" vertical="center"/>
      <protection locked="0"/>
    </xf>
    <xf numFmtId="3" fontId="2" fillId="95" borderId="172" applyFont="0">
      <alignment horizontal="right" vertical="center"/>
      <protection locked="0"/>
    </xf>
    <xf numFmtId="3" fontId="2" fillId="95" borderId="172" applyFont="0">
      <alignment horizontal="right" vertical="center"/>
      <protection locked="0"/>
    </xf>
    <xf numFmtId="0" fontId="295" fillId="45" borderId="172"/>
    <xf numFmtId="0" fontId="2" fillId="0" borderId="181">
      <alignment vertical="center"/>
    </xf>
    <xf numFmtId="4" fontId="29" fillId="138" borderId="182" applyNumberFormat="0" applyProtection="0">
      <alignment horizontal="left" vertical="center" indent="1"/>
    </xf>
    <xf numFmtId="4" fontId="29" fillId="138" borderId="182" applyNumberFormat="0" applyProtection="0">
      <alignment horizontal="left" vertical="center" indent="1"/>
    </xf>
    <xf numFmtId="4" fontId="29" fillId="138" borderId="182" applyNumberFormat="0" applyProtection="0">
      <alignment horizontal="left" vertical="center" indent="1"/>
    </xf>
    <xf numFmtId="4" fontId="29" fillId="138" borderId="182" applyNumberFormat="0" applyProtection="0">
      <alignment horizontal="left" vertical="center" indent="1"/>
    </xf>
    <xf numFmtId="4" fontId="29" fillId="138" borderId="182" applyNumberFormat="0" applyProtection="0">
      <alignment horizontal="left" vertical="center" indent="1"/>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47" fontId="2" fillId="69" borderId="172">
      <alignment horizontal="center"/>
    </xf>
    <xf numFmtId="3" fontId="2" fillId="69" borderId="172" applyFont="0">
      <alignment horizontal="right"/>
    </xf>
    <xf numFmtId="3" fontId="2" fillId="69" borderId="172" applyFont="0">
      <alignment horizontal="right"/>
    </xf>
    <xf numFmtId="3" fontId="2" fillId="69" borderId="172" applyFont="0">
      <alignment horizontal="right" vertical="center"/>
    </xf>
    <xf numFmtId="3" fontId="2" fillId="69" borderId="172" applyFont="0">
      <alignment horizontal="right" vertical="center"/>
    </xf>
    <xf numFmtId="3" fontId="2" fillId="69" borderId="172" applyFont="0">
      <alignment horizontal="right" vertical="center"/>
    </xf>
    <xf numFmtId="3" fontId="2" fillId="69" borderId="172" applyFont="0">
      <alignment horizontal="right" vertical="center"/>
    </xf>
    <xf numFmtId="3" fontId="2" fillId="69" borderId="172" applyFont="0">
      <alignment horizontal="right"/>
    </xf>
    <xf numFmtId="3" fontId="2" fillId="69" borderId="172" applyFont="0">
      <alignment horizontal="right"/>
    </xf>
    <xf numFmtId="3" fontId="2" fillId="69" borderId="172" applyFont="0">
      <alignment horizontal="right"/>
    </xf>
    <xf numFmtId="3" fontId="2" fillId="69" borderId="172" applyFont="0">
      <alignment horizontal="right"/>
    </xf>
    <xf numFmtId="3" fontId="2" fillId="69" borderId="172" applyFont="0">
      <alignment horizontal="right"/>
    </xf>
    <xf numFmtId="3" fontId="2" fillId="69" borderId="172" applyFont="0">
      <alignment horizontal="right"/>
    </xf>
    <xf numFmtId="3" fontId="2" fillId="69" borderId="172" applyFont="0">
      <alignment horizontal="right"/>
    </xf>
    <xf numFmtId="3" fontId="2" fillId="69" borderId="172" applyFont="0">
      <alignment horizontal="right"/>
    </xf>
    <xf numFmtId="3"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187"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26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10"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9" fontId="2" fillId="69" borderId="172" applyFont="0">
      <alignment horizontal="right"/>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48" fontId="2" fillId="69" borderId="172" applyFont="0">
      <alignment horizontal="center" wrapText="1"/>
    </xf>
    <xf numFmtId="3" fontId="2" fillId="68" borderId="174" applyBorder="0"/>
    <xf numFmtId="3" fontId="2" fillId="68" borderId="174" applyBorder="0"/>
    <xf numFmtId="3" fontId="2" fillId="68" borderId="174" applyBorder="0"/>
    <xf numFmtId="3" fontId="2" fillId="68" borderId="174" applyBorder="0"/>
    <xf numFmtId="3" fontId="2" fillId="68" borderId="174" applyBorder="0"/>
    <xf numFmtId="2" fontId="311" fillId="0" borderId="177" applyNumberFormat="0" applyFill="0" applyBorder="0" applyAlignment="0" applyProtection="0">
      <alignment horizontal="center"/>
      <protection locked="0"/>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0" fontId="158" fillId="0" borderId="172" applyNumberFormat="0" applyFont="0" applyFill="0" applyBorder="0" applyAlignment="0">
      <protection hidden="1"/>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1" fontId="2" fillId="144" borderId="172" applyFont="0">
      <alignment horizontal="right"/>
    </xf>
    <xf numFmtId="304" fontId="2" fillId="144" borderId="172" applyFont="0"/>
    <xf numFmtId="304" fontId="2" fillId="144" borderId="172" applyFont="0"/>
    <xf numFmtId="304" fontId="2" fillId="144" borderId="172" applyFont="0"/>
    <xf numFmtId="304" fontId="2" fillId="144" borderId="172" applyFont="0"/>
    <xf numFmtId="304" fontId="2" fillId="144" borderId="172" applyFont="0"/>
    <xf numFmtId="304" fontId="2" fillId="144" borderId="172" applyFont="0"/>
    <xf numFmtId="304" fontId="2" fillId="144" borderId="172" applyFont="0"/>
    <xf numFmtId="304" fontId="2" fillId="144" borderId="172" applyFont="0"/>
    <xf numFmtId="304" fontId="2" fillId="144" borderId="172" applyFont="0"/>
    <xf numFmtId="304" fontId="2" fillId="144" borderId="172" applyFont="0"/>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9"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331"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10" fontId="2" fillId="144" borderId="172" applyFont="0">
      <alignment horizontal="right"/>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0" fontId="2" fillId="144" borderId="172" applyFont="0">
      <alignment horizontal="center" wrapText="1"/>
    </xf>
    <xf numFmtId="49" fontId="2" fillId="144" borderId="172" applyFont="0"/>
    <xf numFmtId="49" fontId="2" fillId="144" borderId="172" applyFont="0"/>
    <xf numFmtId="304" fontId="2" fillId="145" borderId="172" applyFont="0"/>
    <xf numFmtId="304" fontId="2" fillId="145" borderId="172" applyFont="0"/>
    <xf numFmtId="304" fontId="2" fillId="145" borderId="172" applyFont="0"/>
    <xf numFmtId="304" fontId="2" fillId="145" borderId="172" applyFont="0"/>
    <xf numFmtId="304" fontId="2" fillId="145" borderId="172" applyFont="0"/>
    <xf numFmtId="304" fontId="2" fillId="145" borderId="172" applyFont="0"/>
    <xf numFmtId="304" fontId="2" fillId="145" borderId="172" applyFont="0"/>
    <xf numFmtId="304" fontId="2" fillId="145" borderId="172" applyFont="0"/>
    <xf numFmtId="304" fontId="2" fillId="145" borderId="172" applyFont="0"/>
    <xf numFmtId="304" fontId="2" fillId="145" borderId="172" applyFont="0"/>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9" fontId="2" fillId="145" borderId="172" applyFont="0">
      <alignment horizontal="right"/>
    </xf>
    <xf numFmtId="311" fontId="2" fillId="146" borderId="172">
      <alignment vertical="center"/>
    </xf>
    <xf numFmtId="311" fontId="2" fillId="146" borderId="172">
      <alignment vertical="center"/>
    </xf>
    <xf numFmtId="311" fontId="2" fillId="146" borderId="172">
      <alignment vertical="center"/>
    </xf>
    <xf numFmtId="311" fontId="2" fillId="146" borderId="172">
      <alignment vertical="center"/>
    </xf>
    <xf numFmtId="311" fontId="2" fillId="146" borderId="172">
      <alignment vertical="center"/>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304"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1" fontId="2" fillId="93" borderId="172" applyFont="0">
      <alignment horizontal="right"/>
    </xf>
    <xf numFmtId="304" fontId="2" fillId="93" borderId="172" applyFont="0"/>
    <xf numFmtId="304" fontId="2" fillId="93" borderId="172" applyFont="0"/>
    <xf numFmtId="304" fontId="2" fillId="93" borderId="172" applyFont="0"/>
    <xf numFmtId="304" fontId="2" fillId="93" borderId="172" applyFont="0"/>
    <xf numFmtId="304" fontId="2" fillId="93" borderId="172" applyFont="0"/>
    <xf numFmtId="304" fontId="2" fillId="93" borderId="172" applyFont="0"/>
    <xf numFmtId="304" fontId="2" fillId="93" borderId="172" applyFont="0"/>
    <xf numFmtId="304" fontId="2" fillId="93" borderId="172" applyFont="0"/>
    <xf numFmtId="304" fontId="2" fillId="93" borderId="172" applyFont="0"/>
    <xf numFmtId="304" fontId="2" fillId="93" borderId="172" applyFont="0"/>
    <xf numFmtId="260" fontId="2" fillId="93" borderId="172" applyFont="0"/>
    <xf numFmtId="260" fontId="2" fillId="93" borderId="172" applyFont="0"/>
    <xf numFmtId="260" fontId="2" fillId="93" borderId="172" applyFont="0"/>
    <xf numFmtId="260" fontId="2" fillId="93" borderId="172" applyFont="0"/>
    <xf numFmtId="260" fontId="2" fillId="93" borderId="172" applyFont="0"/>
    <xf numFmtId="260" fontId="2" fillId="93" borderId="172" applyFont="0"/>
    <xf numFmtId="260" fontId="2" fillId="93" borderId="172" applyFont="0"/>
    <xf numFmtId="260" fontId="2" fillId="93" borderId="172" applyFont="0"/>
    <xf numFmtId="260" fontId="2" fillId="93" borderId="172" applyFont="0"/>
    <xf numFmtId="260" fontId="2" fillId="93" borderId="172" applyFont="0"/>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10"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9"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331" fontId="2" fillId="93" borderId="172"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10" fontId="2" fillId="93" borderId="173" applyFont="0">
      <alignment horizontal="right"/>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0" fontId="2" fillId="93" borderId="172" applyFont="0">
      <alignment horizontal="center" wrapText="1"/>
      <protection locked="0"/>
    </xf>
    <xf numFmtId="49" fontId="2" fillId="93" borderId="172" applyFont="0"/>
    <xf numFmtId="49" fontId="2" fillId="93" borderId="172" applyFont="0"/>
    <xf numFmtId="0" fontId="318" fillId="0" borderId="174" applyNumberFormat="0" applyProtection="0">
      <alignment horizontal="left" vertical="top"/>
    </xf>
    <xf numFmtId="0" fontId="318" fillId="0" borderId="174" applyNumberFormat="0" applyProtection="0">
      <alignment horizontal="left" vertical="top"/>
    </xf>
    <xf numFmtId="0" fontId="318" fillId="0" borderId="174" applyNumberFormat="0" applyProtection="0">
      <alignment horizontal="left" vertical="top"/>
    </xf>
    <xf numFmtId="0" fontId="318" fillId="0" borderId="174" applyNumberFormat="0" applyProtection="0">
      <alignment horizontal="right" vertical="top"/>
    </xf>
    <xf numFmtId="0" fontId="318" fillId="0" borderId="174" applyNumberFormat="0" applyProtection="0">
      <alignment horizontal="right" vertical="top"/>
    </xf>
    <xf numFmtId="0" fontId="318" fillId="0" borderId="174" applyNumberFormat="0" applyProtection="0">
      <alignment horizontal="right" vertical="top"/>
    </xf>
    <xf numFmtId="0" fontId="318" fillId="0" borderId="174" applyNumberFormat="0" applyProtection="0">
      <alignment horizontal="right" vertical="top"/>
    </xf>
    <xf numFmtId="0" fontId="318" fillId="0" borderId="174" applyNumberFormat="0" applyProtection="0">
      <alignment horizontal="right" vertical="top"/>
    </xf>
    <xf numFmtId="0" fontId="315" fillId="0" borderId="174" applyNumberFormat="0" applyFill="0" applyAlignment="0" applyProtection="0"/>
    <xf numFmtId="0" fontId="315" fillId="0" borderId="174" applyNumberFormat="0" applyFill="0" applyAlignment="0" applyProtection="0"/>
    <xf numFmtId="0" fontId="315" fillId="0" borderId="174" applyNumberFormat="0" applyFill="0" applyAlignment="0" applyProtection="0"/>
    <xf numFmtId="0" fontId="315" fillId="0" borderId="174" applyNumberFormat="0" applyFill="0" applyAlignment="0" applyProtection="0"/>
    <xf numFmtId="0" fontId="315" fillId="0" borderId="174" applyNumberFormat="0" applyFill="0" applyAlignment="0" applyProtection="0"/>
    <xf numFmtId="0" fontId="314" fillId="0" borderId="170" applyNumberFormat="0" applyFont="0" applyFill="0" applyAlignment="0" applyProtection="0">
      <alignment horizontal="left" vertical="top"/>
    </xf>
    <xf numFmtId="0" fontId="314" fillId="0" borderId="170" applyNumberFormat="0" applyFont="0" applyFill="0" applyAlignment="0" applyProtection="0">
      <alignment horizontal="left" vertical="top"/>
    </xf>
    <xf numFmtId="0" fontId="314" fillId="0" borderId="170" applyNumberFormat="0" applyFont="0" applyFill="0" applyAlignment="0" applyProtection="0">
      <alignment horizontal="left" vertical="top"/>
    </xf>
    <xf numFmtId="0" fontId="314" fillId="0" borderId="170" applyNumberFormat="0" applyFont="0" applyFill="0" applyAlignment="0" applyProtection="0">
      <alignment horizontal="left" vertical="top"/>
    </xf>
    <xf numFmtId="0" fontId="314" fillId="0" borderId="170" applyNumberFormat="0" applyFont="0" applyFill="0" applyAlignment="0" applyProtection="0">
      <alignment horizontal="left" vertical="top"/>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 fillId="0" borderId="172">
      <alignment vertical="center" wrapText="1"/>
    </xf>
    <xf numFmtId="0" fontId="253" fillId="0" borderId="171" applyFill="0" applyBorder="0" applyProtection="0">
      <alignment horizontal="left" vertical="top"/>
    </xf>
    <xf numFmtId="0" fontId="183" fillId="131" borderId="183" applyNumberFormat="0" applyFont="0">
      <alignment horizontal="center" vertical="center"/>
    </xf>
    <xf numFmtId="350" fontId="45" fillId="68" borderId="179" applyNumberFormat="0" applyBorder="0" applyAlignment="0">
      <alignment horizontal="right"/>
    </xf>
    <xf numFmtId="0" fontId="329" fillId="0" borderId="169"/>
    <xf numFmtId="0" fontId="329" fillId="0" borderId="169"/>
    <xf numFmtId="0" fontId="329" fillId="0" borderId="169"/>
    <xf numFmtId="0" fontId="329" fillId="0" borderId="169"/>
    <xf numFmtId="0" fontId="329" fillId="0" borderId="169"/>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253" fontId="2" fillId="0" borderId="169">
      <alignment horizontal="left"/>
    </xf>
    <xf numFmtId="0" fontId="270" fillId="0" borderId="184" applyProtection="0">
      <alignment horizontal="center"/>
    </xf>
    <xf numFmtId="0" fontId="270" fillId="0" borderId="184" applyProtection="0">
      <alignment horizontal="center"/>
    </xf>
    <xf numFmtId="0" fontId="270" fillId="0" borderId="184" applyProtection="0">
      <alignment horizontal="center"/>
    </xf>
    <xf numFmtId="0" fontId="270" fillId="0" borderId="184" applyProtection="0">
      <alignment horizontal="center"/>
    </xf>
    <xf numFmtId="0" fontId="270" fillId="0" borderId="184" applyProtection="0">
      <alignment horizontal="center"/>
    </xf>
    <xf numFmtId="0" fontId="331" fillId="0" borderId="179" applyNumberFormat="0" applyFill="0" applyBorder="0" applyAlignment="0" applyProtection="0">
      <alignment horizontal="center"/>
      <protection locked="0"/>
    </xf>
    <xf numFmtId="37" fontId="158" fillId="150" borderId="172" applyNumberFormat="0" applyAlignment="0" applyProtection="0"/>
    <xf numFmtId="37" fontId="158" fillId="150" borderId="172" applyNumberFormat="0" applyAlignment="0" applyProtection="0"/>
    <xf numFmtId="37" fontId="158" fillId="150" borderId="172" applyNumberFormat="0" applyAlignment="0" applyProtection="0"/>
    <xf numFmtId="37" fontId="158" fillId="150" borderId="172" applyNumberFormat="0" applyAlignment="0" applyProtection="0"/>
    <xf numFmtId="37" fontId="158" fillId="150" borderId="172" applyNumberFormat="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2" fillId="0" borderId="170" applyNumberFormat="0" applyFont="0" applyFill="0" applyAlignment="0" applyProtection="0"/>
    <xf numFmtId="0" fontId="2" fillId="0" borderId="170" applyNumberFormat="0" applyFont="0" applyFill="0" applyAlignment="0" applyProtection="0"/>
    <xf numFmtId="2" fontId="231" fillId="69" borderId="172" applyBorder="0" applyAlignment="0"/>
    <xf numFmtId="165" fontId="337" fillId="69" borderId="171">
      <alignment horizontal="center"/>
    </xf>
    <xf numFmtId="0" fontId="344" fillId="0" borderId="0" applyNumberFormat="0" applyFill="0" applyBorder="0" applyAlignment="0" applyProtection="0"/>
    <xf numFmtId="0" fontId="1" fillId="0" borderId="0"/>
    <xf numFmtId="0" fontId="1" fillId="0" borderId="0"/>
  </cellStyleXfs>
  <cellXfs count="869">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5" xfId="0" applyFont="1" applyBorder="1" applyAlignment="1">
      <alignment horizontal="right" vertical="center" wrapText="1"/>
    </xf>
    <xf numFmtId="0" fontId="2" fillId="0" borderId="13" xfId="0" applyFont="1" applyBorder="1" applyAlignment="1">
      <alignment vertical="center" wrapText="1"/>
    </xf>
    <xf numFmtId="0" fontId="2" fillId="0" borderId="15" xfId="0" applyFont="1" applyBorder="1" applyAlignment="1">
      <alignment horizontal="center" vertical="center" wrapText="1"/>
    </xf>
    <xf numFmtId="0" fontId="2" fillId="0" borderId="3" xfId="0" applyFont="1" applyBorder="1" applyAlignment="1">
      <alignment vertical="center" wrapText="1"/>
    </xf>
    <xf numFmtId="191" fontId="84" fillId="0" borderId="3" xfId="0" applyNumberFormat="1" applyFont="1" applyBorder="1" applyAlignment="1" applyProtection="1">
      <alignment vertical="center" wrapText="1"/>
      <protection locked="0"/>
    </xf>
    <xf numFmtId="191" fontId="84" fillId="0" borderId="16" xfId="0" applyNumberFormat="1" applyFont="1" applyBorder="1" applyAlignment="1" applyProtection="1">
      <alignment vertical="center" wrapText="1"/>
      <protection locked="0"/>
    </xf>
    <xf numFmtId="0" fontId="2" fillId="0" borderId="0" xfId="0" applyFont="1" applyAlignment="1">
      <alignment horizontal="right"/>
    </xf>
    <xf numFmtId="0" fontId="88" fillId="0" borderId="0" xfId="0" applyFont="1"/>
    <xf numFmtId="0" fontId="46" fillId="0" borderId="0" xfId="0" applyFont="1" applyAlignment="1" applyProtection="1">
      <alignment horizontal="right"/>
      <protection locked="0"/>
    </xf>
    <xf numFmtId="0" fontId="46" fillId="0" borderId="0" xfId="0" applyFont="1" applyAlignment="1">
      <alignment horizontal="center"/>
    </xf>
    <xf numFmtId="0" fontId="84" fillId="0" borderId="15" xfId="0" applyFont="1" applyBorder="1" applyAlignment="1">
      <alignment horizontal="center" vertical="center" wrapText="1"/>
    </xf>
    <xf numFmtId="0" fontId="84" fillId="0" borderId="3" xfId="0" applyFont="1" applyBorder="1" applyAlignment="1">
      <alignment vertical="center" wrapText="1"/>
    </xf>
    <xf numFmtId="0" fontId="84" fillId="0" borderId="17" xfId="0" applyFont="1" applyBorder="1" applyAlignment="1">
      <alignment horizontal="center" vertical="center" wrapText="1"/>
    </xf>
    <xf numFmtId="0" fontId="86" fillId="0" borderId="18"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85" fillId="0" borderId="0" xfId="0" applyFont="1" applyAlignment="1">
      <alignment wrapText="1"/>
    </xf>
    <xf numFmtId="0" fontId="46" fillId="0" borderId="0" xfId="11" applyFont="1" applyAlignment="1">
      <alignment horizontal="right"/>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5" xfId="0" applyFont="1" applyBorder="1" applyAlignment="1">
      <alignment horizontal="center" vertical="center"/>
    </xf>
    <xf numFmtId="0" fontId="84" fillId="0" borderId="9" xfId="0" applyFont="1" applyBorder="1" applyAlignment="1">
      <alignment wrapText="1"/>
    </xf>
    <xf numFmtId="0" fontId="84" fillId="0" borderId="0" xfId="0" applyFont="1" applyAlignment="1">
      <alignment horizontal="center" vertical="center"/>
    </xf>
    <xf numFmtId="0" fontId="2" fillId="0" borderId="12" xfId="9" applyFont="1" applyBorder="1" applyAlignment="1" applyProtection="1">
      <alignment horizontal="center" vertical="center"/>
      <protection locked="0"/>
    </xf>
    <xf numFmtId="0" fontId="45" fillId="3" borderId="4" xfId="9" applyFont="1" applyFill="1" applyBorder="1" applyAlignment="1" applyProtection="1">
      <alignment horizontal="center" vertical="center" wrapText="1"/>
      <protection locked="0"/>
    </xf>
    <xf numFmtId="164" fontId="2" fillId="3" borderId="14" xfId="2" applyNumberFormat="1" applyFont="1" applyFill="1" applyBorder="1" applyAlignment="1" applyProtection="1">
      <alignment horizontal="center" vertical="center"/>
      <protection locked="0"/>
    </xf>
    <xf numFmtId="0" fontId="2" fillId="0" borderId="15"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6" xfId="2" applyNumberFormat="1" applyFont="1" applyFill="1" applyBorder="1" applyAlignment="1" applyProtection="1">
      <alignment vertical="top"/>
    </xf>
    <xf numFmtId="0" fontId="2" fillId="3" borderId="5" xfId="13" applyFont="1" applyFill="1" applyBorder="1" applyAlignment="1" applyProtection="1">
      <alignment vertical="center" wrapText="1"/>
      <protection locked="0"/>
    </xf>
    <xf numFmtId="191" fontId="2" fillId="3" borderId="16"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6" xfId="2" applyNumberFormat="1" applyFont="1" applyFill="1" applyBorder="1" applyAlignment="1" applyProtection="1">
      <alignment vertical="top" wrapText="1"/>
    </xf>
    <xf numFmtId="0" fontId="2" fillId="3" borderId="5" xfId="13" applyFont="1" applyFill="1" applyBorder="1" applyAlignment="1" applyProtection="1">
      <alignment horizontal="left" vertical="center" wrapText="1"/>
      <protection locked="0"/>
    </xf>
    <xf numFmtId="191" fontId="2" fillId="3" borderId="16"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5"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6"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18" xfId="13" applyFont="1" applyFill="1" applyBorder="1" applyAlignment="1" applyProtection="1">
      <alignment vertical="center" wrapText="1"/>
      <protection locked="0"/>
    </xf>
    <xf numFmtId="191" fontId="2" fillId="35" borderId="19" xfId="2" applyNumberFormat="1" applyFont="1" applyFill="1" applyBorder="1" applyAlignment="1" applyProtection="1">
      <alignment vertical="top" wrapText="1"/>
    </xf>
    <xf numFmtId="0" fontId="45" fillId="0" borderId="0" xfId="11" applyFont="1"/>
    <xf numFmtId="167" fontId="85" fillId="0" borderId="0" xfId="0" applyNumberFormat="1" applyFont="1" applyAlignment="1">
      <alignment horizontal="center"/>
    </xf>
    <xf numFmtId="167" fontId="84" fillId="0" borderId="52" xfId="0" applyNumberFormat="1" applyFont="1" applyBorder="1" applyAlignment="1">
      <alignment horizontal="center"/>
    </xf>
    <xf numFmtId="167" fontId="84" fillId="0" borderId="53" xfId="0" applyNumberFormat="1" applyFont="1" applyBorder="1" applyAlignment="1">
      <alignment horizontal="center"/>
    </xf>
    <xf numFmtId="167" fontId="84" fillId="0" borderId="54" xfId="0" applyNumberFormat="1" applyFont="1" applyBorder="1" applyAlignment="1">
      <alignment horizontal="center"/>
    </xf>
    <xf numFmtId="0" fontId="84" fillId="0" borderId="15" xfId="0" applyFont="1" applyBorder="1" applyAlignment="1">
      <alignment vertical="center"/>
    </xf>
    <xf numFmtId="0" fontId="2" fillId="3" borderId="17" xfId="9" applyFont="1" applyFill="1" applyBorder="1" applyAlignment="1" applyProtection="1">
      <alignment horizontal="left" vertical="center"/>
      <protection locked="0"/>
    </xf>
    <xf numFmtId="0" fontId="45" fillId="3" borderId="18" xfId="16" applyFont="1" applyFill="1" applyBorder="1" applyProtection="1">
      <protection locked="0"/>
    </xf>
    <xf numFmtId="191" fontId="84" fillId="35" borderId="18" xfId="0" applyNumberFormat="1" applyFont="1" applyFill="1" applyBorder="1"/>
    <xf numFmtId="0" fontId="86" fillId="0" borderId="0" xfId="0" applyFont="1" applyAlignment="1">
      <alignment horizontal="center"/>
    </xf>
    <xf numFmtId="0" fontId="84" fillId="0" borderId="12" xfId="0" applyFont="1" applyBorder="1"/>
    <xf numFmtId="0" fontId="84" fillId="0" borderId="14" xfId="0" applyFont="1" applyBorder="1"/>
    <xf numFmtId="0" fontId="84" fillId="0" borderId="16" xfId="0" applyFont="1" applyBorder="1" applyAlignment="1">
      <alignment horizontal="center" vertical="center"/>
    </xf>
    <xf numFmtId="164" fontId="2" fillId="3" borderId="15"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6" xfId="1" applyNumberFormat="1" applyFont="1" applyFill="1" applyBorder="1" applyAlignment="1" applyProtection="1">
      <alignment horizontal="center" vertical="center" wrapText="1"/>
      <protection locked="0"/>
    </xf>
    <xf numFmtId="0" fontId="2" fillId="3" borderId="15" xfId="5" applyFill="1" applyBorder="1" applyAlignment="1" applyProtection="1">
      <alignment horizontal="right" vertical="center"/>
      <protection locked="0"/>
    </xf>
    <xf numFmtId="191" fontId="84" fillId="0" borderId="16" xfId="0" applyNumberFormat="1" applyFont="1" applyBorder="1"/>
    <xf numFmtId="0" fontId="84" fillId="0" borderId="13" xfId="0" applyFont="1" applyBorder="1"/>
    <xf numFmtId="0" fontId="88" fillId="0" borderId="0" xfId="0" applyFont="1" applyAlignment="1">
      <alignment wrapText="1"/>
    </xf>
    <xf numFmtId="0" fontId="84" fillId="0" borderId="15" xfId="0" applyFont="1" applyBorder="1"/>
    <xf numFmtId="0" fontId="84" fillId="0" borderId="3" xfId="0" applyFont="1" applyBorder="1"/>
    <xf numFmtId="0" fontId="84" fillId="0" borderId="55" xfId="0" applyFont="1" applyBorder="1" applyAlignment="1">
      <alignment wrapText="1"/>
    </xf>
    <xf numFmtId="0" fontId="84" fillId="0" borderId="17" xfId="0" applyFont="1" applyBorder="1"/>
    <xf numFmtId="0" fontId="86" fillId="0" borderId="18" xfId="0" applyFont="1" applyBorder="1"/>
    <xf numFmtId="0" fontId="2" fillId="0" borderId="3" xfId="13" applyFont="1" applyBorder="1" applyAlignment="1" applyProtection="1">
      <alignment horizontal="center" vertical="center" wrapText="1"/>
      <protection locked="0"/>
    </xf>
    <xf numFmtId="0" fontId="89"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0"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18" xfId="0" applyFont="1" applyBorder="1" applyAlignment="1">
      <alignment vertical="center" wrapText="1"/>
    </xf>
    <xf numFmtId="0" fontId="84" fillId="0" borderId="3" xfId="0" applyFont="1" applyBorder="1" applyAlignment="1">
      <alignment wrapText="1"/>
    </xf>
    <xf numFmtId="0" fontId="86" fillId="35" borderId="3" xfId="0" applyFont="1" applyFill="1" applyBorder="1" applyAlignment="1">
      <alignment wrapText="1"/>
    </xf>
    <xf numFmtId="0" fontId="86" fillId="35" borderId="18" xfId="0" applyFont="1" applyFill="1" applyBorder="1" applyAlignment="1">
      <alignment wrapText="1"/>
    </xf>
    <xf numFmtId="0" fontId="84" fillId="0" borderId="12" xfId="0" applyFont="1" applyBorder="1" applyAlignment="1">
      <alignment horizontal="center" vertical="center"/>
    </xf>
    <xf numFmtId="191" fontId="84" fillId="35" borderId="14" xfId="0" applyNumberFormat="1" applyFont="1" applyFill="1" applyBorder="1" applyAlignment="1">
      <alignment horizontal="center" vertical="center"/>
    </xf>
    <xf numFmtId="191" fontId="84" fillId="0" borderId="16" xfId="0" applyNumberFormat="1" applyFont="1" applyBorder="1" applyAlignment="1">
      <alignment wrapText="1"/>
    </xf>
    <xf numFmtId="191" fontId="84" fillId="35" borderId="16" xfId="0" applyNumberFormat="1" applyFont="1" applyFill="1" applyBorder="1" applyAlignment="1">
      <alignment horizontal="center" vertical="center" wrapText="1"/>
    </xf>
    <xf numFmtId="191" fontId="84" fillId="35" borderId="19" xfId="0" applyNumberFormat="1" applyFont="1" applyFill="1" applyBorder="1" applyAlignment="1">
      <alignment horizontal="center" vertical="center" wrapText="1"/>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2" xfId="0" applyFont="1" applyBorder="1" applyAlignment="1">
      <alignment horizontal="center" vertical="center" wrapText="1"/>
    </xf>
    <xf numFmtId="0" fontId="84" fillId="0" borderId="13" xfId="0" applyFont="1" applyBorder="1" applyAlignment="1">
      <alignment horizontal="left" vertical="center" wrapText="1" indent="2"/>
    </xf>
    <xf numFmtId="0" fontId="91" fillId="0" borderId="0" xfId="11" applyFont="1"/>
    <xf numFmtId="0" fontId="92"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2" fillId="0" borderId="16" xfId="1" applyNumberFormat="1" applyFont="1" applyFill="1" applyBorder="1" applyAlignment="1" applyProtection="1">
      <alignment horizontal="center" vertical="center" wrapText="1"/>
      <protection locked="0"/>
    </xf>
    <xf numFmtId="0" fontId="3" fillId="0" borderId="49" xfId="0" applyFont="1" applyBorder="1"/>
    <xf numFmtId="0" fontId="3" fillId="0" borderId="50" xfId="0" applyFont="1" applyBorder="1"/>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vertical="center"/>
    </xf>
    <xf numFmtId="0" fontId="94" fillId="0" borderId="0" xfId="0" applyFont="1"/>
    <xf numFmtId="0" fontId="3" fillId="0" borderId="55" xfId="0" applyFont="1" applyBorder="1"/>
    <xf numFmtId="0" fontId="3" fillId="0" borderId="13" xfId="0" applyFont="1" applyBorder="1" applyAlignment="1">
      <alignment wrapText="1"/>
    </xf>
    <xf numFmtId="0" fontId="3" fillId="0" borderId="22" xfId="0" applyFont="1" applyBorder="1" applyAlignment="1">
      <alignment wrapText="1"/>
    </xf>
    <xf numFmtId="0" fontId="3" fillId="0" borderId="14" xfId="0" applyFont="1" applyBorder="1" applyAlignment="1">
      <alignment wrapText="1"/>
    </xf>
    <xf numFmtId="0" fontId="3" fillId="0" borderId="3" xfId="0" applyFont="1" applyBorder="1" applyAlignment="1">
      <alignment horizontal="center" vertical="center" wrapText="1"/>
    </xf>
    <xf numFmtId="191" fontId="3" fillId="35" borderId="18" xfId="0" applyNumberFormat="1" applyFont="1" applyFill="1" applyBorder="1"/>
    <xf numFmtId="9" fontId="3" fillId="0" borderId="16" xfId="20950" applyFont="1" applyBorder="1"/>
    <xf numFmtId="9" fontId="3" fillId="35" borderId="19" xfId="20950" applyFont="1" applyFill="1" applyBorder="1"/>
    <xf numFmtId="0" fontId="86" fillId="0" borderId="0" xfId="0" applyFont="1" applyAlignment="1">
      <alignment horizontal="center" wrapText="1"/>
    </xf>
    <xf numFmtId="167" fontId="84" fillId="0" borderId="3" xfId="0" applyNumberFormat="1" applyFont="1" applyBorder="1"/>
    <xf numFmtId="167" fontId="84" fillId="35" borderId="18" xfId="0" applyNumberFormat="1" applyFont="1" applyFill="1" applyBorder="1"/>
    <xf numFmtId="0" fontId="84" fillId="0" borderId="60" xfId="0" applyFont="1" applyBorder="1" applyAlignment="1">
      <alignment vertical="center" wrapText="1"/>
    </xf>
    <xf numFmtId="0" fontId="86" fillId="0" borderId="1" xfId="0" applyFont="1" applyBorder="1" applyAlignment="1">
      <alignment horizontal="left"/>
    </xf>
    <xf numFmtId="0" fontId="86" fillId="35" borderId="68"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3" fillId="0" borderId="0" xfId="0" applyFont="1" applyAlignment="1">
      <alignment wrapText="1"/>
    </xf>
    <xf numFmtId="0" fontId="2" fillId="0" borderId="0" xfId="0" applyFont="1" applyAlignment="1">
      <alignment wrapText="1"/>
    </xf>
    <xf numFmtId="0" fontId="96" fillId="3" borderId="70" xfId="0" applyFont="1" applyFill="1" applyBorder="1" applyAlignment="1">
      <alignment horizontal="left"/>
    </xf>
    <xf numFmtId="0" fontId="3" fillId="3" borderId="74" xfId="0" applyFont="1" applyFill="1" applyBorder="1" applyAlignment="1">
      <alignment vertical="center"/>
    </xf>
    <xf numFmtId="0" fontId="3" fillId="0" borderId="59" xfId="0" applyFont="1" applyBorder="1" applyAlignment="1">
      <alignment horizontal="center" vertical="center"/>
    </xf>
    <xf numFmtId="0" fontId="3" fillId="0" borderId="5" xfId="0" applyFont="1" applyBorder="1" applyAlignment="1">
      <alignment vertical="center"/>
    </xf>
    <xf numFmtId="169" fontId="9" fillId="36" borderId="0" xfId="20"/>
    <xf numFmtId="0" fontId="3" fillId="3" borderId="55" xfId="0" applyFont="1" applyFill="1" applyBorder="1" applyAlignment="1">
      <alignment horizontal="center" vertical="center"/>
    </xf>
    <xf numFmtId="0" fontId="3" fillId="0" borderId="76" xfId="0" applyFont="1" applyBorder="1" applyAlignment="1">
      <alignment horizontal="center" vertical="center"/>
    </xf>
    <xf numFmtId="169" fontId="9" fillId="36" borderId="20" xfId="20" applyBorder="1"/>
    <xf numFmtId="169" fontId="9" fillId="36" borderId="77" xfId="20" applyBorder="1"/>
    <xf numFmtId="169" fontId="9" fillId="36" borderId="21" xfId="20" applyBorder="1"/>
    <xf numFmtId="0" fontId="4" fillId="0" borderId="0" xfId="0" applyFont="1" applyAlignment="1">
      <alignment horizontal="center"/>
    </xf>
    <xf numFmtId="0" fontId="4" fillId="35" borderId="13" xfId="0" applyFont="1" applyFill="1" applyBorder="1" applyAlignment="1">
      <alignment horizontal="center" vertical="center" wrapText="1"/>
    </xf>
    <xf numFmtId="0" fontId="4" fillId="35" borderId="14" xfId="0" applyFont="1" applyFill="1" applyBorder="1" applyAlignment="1">
      <alignment horizontal="center" vertical="center" wrapText="1"/>
    </xf>
    <xf numFmtId="0" fontId="4" fillId="35" borderId="15" xfId="0" applyFont="1" applyFill="1" applyBorder="1" applyAlignment="1">
      <alignment horizontal="left" vertical="center" wrapText="1"/>
    </xf>
    <xf numFmtId="0" fontId="4" fillId="35" borderId="72" xfId="0" applyFont="1" applyFill="1" applyBorder="1" applyAlignment="1">
      <alignment horizontal="left" vertical="center" wrapText="1"/>
    </xf>
    <xf numFmtId="0" fontId="3" fillId="0" borderId="15" xfId="0" applyFont="1" applyBorder="1" applyAlignment="1">
      <alignment horizontal="right" vertical="center" wrapText="1"/>
    </xf>
    <xf numFmtId="0" fontId="97" fillId="0" borderId="15" xfId="0" applyFont="1" applyBorder="1" applyAlignment="1">
      <alignment horizontal="right" vertical="center" wrapText="1"/>
    </xf>
    <xf numFmtId="0" fontId="4" fillId="0" borderId="15"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97" fillId="0" borderId="0" xfId="0" applyFont="1" applyAlignment="1">
      <alignment horizontal="left" vertical="center"/>
    </xf>
    <xf numFmtId="49" fontId="98" fillId="0" borderId="17" xfId="5" applyNumberFormat="1" applyFont="1" applyBorder="1" applyAlignment="1" applyProtection="1">
      <alignment horizontal="left" vertical="center"/>
      <protection locked="0"/>
    </xf>
    <xf numFmtId="0" fontId="99" fillId="0" borderId="18" xfId="9" applyFont="1" applyBorder="1" applyAlignment="1" applyProtection="1">
      <alignment horizontal="left" vertical="center" wrapText="1"/>
      <protection locked="0"/>
    </xf>
    <xf numFmtId="0" fontId="84" fillId="0" borderId="71" xfId="0" applyFont="1" applyBorder="1" applyAlignment="1">
      <alignment vertical="center" wrapText="1"/>
    </xf>
    <xf numFmtId="14" fontId="2" fillId="3" borderId="71" xfId="8" quotePrefix="1" applyNumberFormat="1" applyFont="1" applyFill="1" applyBorder="1" applyAlignment="1" applyProtection="1">
      <alignment horizontal="left"/>
      <protection locked="0"/>
    </xf>
    <xf numFmtId="3" fontId="100" fillId="35" borderId="72" xfId="0" applyNumberFormat="1" applyFont="1" applyFill="1" applyBorder="1" applyAlignment="1">
      <alignment vertical="center" wrapText="1"/>
    </xf>
    <xf numFmtId="3" fontId="100" fillId="35" borderId="18" xfId="0" applyNumberFormat="1" applyFont="1" applyFill="1" applyBorder="1" applyAlignment="1">
      <alignment vertical="center" wrapText="1"/>
    </xf>
    <xf numFmtId="3" fontId="100" fillId="35" borderId="19" xfId="0" applyNumberFormat="1" applyFont="1" applyFill="1" applyBorder="1" applyAlignment="1">
      <alignment vertical="center" wrapText="1"/>
    </xf>
    <xf numFmtId="0" fontId="6" fillId="0" borderId="71" xfId="17" applyFill="1" applyBorder="1" applyAlignment="1" applyProtection="1"/>
    <xf numFmtId="49" fontId="84" fillId="0" borderId="71"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97" fillId="0" borderId="82" xfId="0" applyFont="1" applyBorder="1" applyAlignment="1">
      <alignment horizontal="left" vertical="center" wrapText="1"/>
    </xf>
    <xf numFmtId="10" fontId="93" fillId="0" borderId="82" xfId="20950" applyNumberFormat="1" applyFont="1" applyFill="1" applyBorder="1" applyAlignment="1">
      <alignment horizontal="left" vertical="center" wrapText="1"/>
    </xf>
    <xf numFmtId="10" fontId="3" fillId="0" borderId="82" xfId="20950" applyNumberFormat="1" applyFont="1" applyFill="1" applyBorder="1" applyAlignment="1">
      <alignment horizontal="left" vertical="center" wrapText="1"/>
    </xf>
    <xf numFmtId="10" fontId="4" fillId="35" borderId="82" xfId="0" applyNumberFormat="1" applyFont="1" applyFill="1" applyBorder="1" applyAlignment="1">
      <alignment horizontal="left" vertical="center" wrapText="1"/>
    </xf>
    <xf numFmtId="10" fontId="97" fillId="0" borderId="82" xfId="20950" applyNumberFormat="1" applyFont="1" applyFill="1" applyBorder="1" applyAlignment="1">
      <alignment horizontal="left" vertical="center" wrapText="1"/>
    </xf>
    <xf numFmtId="10" fontId="4" fillId="35" borderId="82" xfId="20950" applyNumberFormat="1" applyFont="1" applyFill="1" applyBorder="1" applyAlignment="1">
      <alignment horizontal="left" vertical="center" wrapText="1"/>
    </xf>
    <xf numFmtId="10" fontId="4" fillId="35" borderId="82" xfId="0" applyNumberFormat="1" applyFont="1" applyFill="1" applyBorder="1" applyAlignment="1">
      <alignment horizontal="center" vertical="center" wrapText="1"/>
    </xf>
    <xf numFmtId="10" fontId="99" fillId="0" borderId="18" xfId="20950" applyNumberFormat="1" applyFont="1" applyFill="1" applyBorder="1" applyAlignment="1" applyProtection="1">
      <alignment horizontal="left" vertical="center"/>
    </xf>
    <xf numFmtId="0" fontId="4" fillId="35" borderId="82" xfId="0" applyFont="1" applyFill="1" applyBorder="1" applyAlignment="1">
      <alignment horizontal="left" vertical="center" wrapText="1"/>
    </xf>
    <xf numFmtId="0" fontId="3" fillId="0" borderId="82" xfId="0" applyFont="1" applyBorder="1" applyAlignment="1">
      <alignment horizontal="left" vertical="center" wrapText="1"/>
    </xf>
    <xf numFmtId="10" fontId="4" fillId="35" borderId="72" xfId="0" applyNumberFormat="1" applyFont="1" applyFill="1" applyBorder="1" applyAlignment="1">
      <alignment horizontal="left" vertical="center" wrapText="1"/>
    </xf>
    <xf numFmtId="10" fontId="4" fillId="35" borderId="72" xfId="20950" applyNumberFormat="1" applyFont="1" applyFill="1" applyBorder="1" applyAlignment="1">
      <alignment horizontal="left" vertical="center" wrapText="1"/>
    </xf>
    <xf numFmtId="0" fontId="4" fillId="35" borderId="72" xfId="0" applyFont="1" applyFill="1" applyBorder="1" applyAlignment="1">
      <alignment horizontal="center" vertical="center" wrapText="1"/>
    </xf>
    <xf numFmtId="0" fontId="4" fillId="35" borderId="73" xfId="0" applyFont="1" applyFill="1" applyBorder="1" applyAlignment="1">
      <alignment vertical="center" wrapText="1"/>
    </xf>
    <xf numFmtId="0" fontId="4" fillId="35" borderId="81" xfId="0" applyFont="1" applyFill="1" applyBorder="1" applyAlignment="1">
      <alignment vertical="center" wrapText="1"/>
    </xf>
    <xf numFmtId="0" fontId="4" fillId="35" borderId="61" xfId="0" applyFont="1" applyFill="1" applyBorder="1" applyAlignment="1">
      <alignment vertical="center" wrapText="1"/>
    </xf>
    <xf numFmtId="0" fontId="4" fillId="35" borderId="25" xfId="0" applyFont="1" applyFill="1" applyBorder="1" applyAlignment="1">
      <alignment vertical="center" wrapText="1"/>
    </xf>
    <xf numFmtId="0" fontId="84" fillId="0" borderId="82" xfId="0" applyFont="1" applyBorder="1"/>
    <xf numFmtId="0" fontId="6" fillId="0" borderId="82" xfId="17" applyFill="1" applyBorder="1" applyAlignment="1" applyProtection="1">
      <alignment horizontal="left" vertical="center"/>
    </xf>
    <xf numFmtId="0" fontId="6" fillId="0" borderId="82" xfId="17" applyBorder="1" applyAlignment="1" applyProtection="1"/>
    <xf numFmtId="0" fontId="6" fillId="0" borderId="82" xfId="17" applyFill="1" applyBorder="1" applyAlignment="1" applyProtection="1">
      <alignment horizontal="left" vertical="center" wrapText="1"/>
    </xf>
    <xf numFmtId="0" fontId="6" fillId="0" borderId="82" xfId="17" applyFill="1" applyBorder="1" applyAlignment="1" applyProtection="1"/>
    <xf numFmtId="3" fontId="100" fillId="35" borderId="82" xfId="0" applyNumberFormat="1" applyFont="1" applyFill="1" applyBorder="1" applyAlignment="1">
      <alignment vertical="center" wrapText="1"/>
    </xf>
    <xf numFmtId="3" fontId="100" fillId="35" borderId="83" xfId="0" applyNumberFormat="1" applyFont="1" applyFill="1" applyBorder="1" applyAlignment="1">
      <alignment vertical="center" wrapText="1"/>
    </xf>
    <xf numFmtId="3" fontId="100" fillId="35" borderId="20" xfId="0" applyNumberFormat="1" applyFont="1" applyFill="1" applyBorder="1" applyAlignment="1">
      <alignment vertical="center" wrapText="1"/>
    </xf>
    <xf numFmtId="3" fontId="100" fillId="35" borderId="74" xfId="0" applyNumberFormat="1" applyFont="1" applyFill="1" applyBorder="1" applyAlignment="1">
      <alignment vertical="center" wrapText="1"/>
    </xf>
    <xf numFmtId="3" fontId="100" fillId="35" borderId="33" xfId="0" applyNumberFormat="1" applyFont="1" applyFill="1" applyBorder="1" applyAlignment="1">
      <alignment vertical="center" wrapText="1"/>
    </xf>
    <xf numFmtId="0" fontId="2" fillId="0" borderId="13" xfId="0" applyFont="1" applyBorder="1" applyAlignment="1">
      <alignment horizontal="left" vertical="center" wrapText="1" indent="1"/>
    </xf>
    <xf numFmtId="0" fontId="2" fillId="0" borderId="14"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79" xfId="20" applyFont="1" applyBorder="1"/>
    <xf numFmtId="0" fontId="2" fillId="2" borderId="15" xfId="0" applyFont="1" applyFill="1" applyBorder="1" applyAlignment="1">
      <alignment horizontal="right" vertical="center"/>
    </xf>
    <xf numFmtId="0" fontId="45" fillId="0" borderId="15" xfId="0" applyFont="1" applyBorder="1" applyAlignment="1">
      <alignment horizontal="center" vertical="center" wrapText="1"/>
    </xf>
    <xf numFmtId="0" fontId="2" fillId="2" borderId="17" xfId="0" applyFont="1" applyFill="1" applyBorder="1" applyAlignment="1">
      <alignment horizontal="right" vertical="center"/>
    </xf>
    <xf numFmtId="0" fontId="4" fillId="0" borderId="0" xfId="0" applyFont="1" applyAlignment="1">
      <alignment horizontal="center" wrapText="1"/>
    </xf>
    <xf numFmtId="0" fontId="3" fillId="3" borderId="49" xfId="0" applyFont="1" applyFill="1" applyBorder="1"/>
    <xf numFmtId="0" fontId="3" fillId="3" borderId="85" xfId="0" applyFont="1" applyFill="1" applyBorder="1" applyAlignment="1">
      <alignment wrapText="1"/>
    </xf>
    <xf numFmtId="0" fontId="3" fillId="3" borderId="86" xfId="0" applyFont="1" applyFill="1" applyBorder="1"/>
    <xf numFmtId="0" fontId="4" fillId="3" borderId="67" xfId="0" applyFont="1" applyFill="1" applyBorder="1" applyAlignment="1">
      <alignment horizontal="center" wrapText="1"/>
    </xf>
    <xf numFmtId="0" fontId="3" fillId="0" borderId="82" xfId="0" applyFont="1" applyBorder="1" applyAlignment="1">
      <alignment horizontal="center"/>
    </xf>
    <xf numFmtId="0" fontId="3" fillId="3" borderId="55"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79" xfId="0" applyFont="1" applyFill="1" applyBorder="1" applyAlignment="1">
      <alignment horizontal="center" vertical="center" wrapText="1"/>
    </xf>
    <xf numFmtId="0" fontId="3" fillId="0" borderId="15" xfId="0" applyFont="1" applyBorder="1"/>
    <xf numFmtId="0" fontId="3" fillId="0" borderId="82" xfId="0" applyFont="1" applyBorder="1" applyAlignment="1">
      <alignment wrapText="1"/>
    </xf>
    <xf numFmtId="0" fontId="96" fillId="0" borderId="82" xfId="0" applyFont="1" applyBorder="1" applyAlignment="1">
      <alignment horizontal="left" wrapText="1" indent="2"/>
    </xf>
    <xf numFmtId="0" fontId="4" fillId="0" borderId="15" xfId="0" applyFont="1" applyBorder="1"/>
    <xf numFmtId="0" fontId="4" fillId="0" borderId="82" xfId="0" applyFont="1" applyBorder="1" applyAlignment="1">
      <alignment wrapText="1"/>
    </xf>
    <xf numFmtId="0" fontId="106" fillId="3" borderId="55" xfId="0" applyFont="1" applyFill="1" applyBorder="1" applyAlignment="1">
      <alignment horizontal="left"/>
    </xf>
    <xf numFmtId="0" fontId="106"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79" xfId="7" applyNumberFormat="1" applyFont="1" applyFill="1" applyBorder="1"/>
    <xf numFmtId="0" fontId="96" fillId="0" borderId="82"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79" xfId="0" applyFont="1" applyFill="1" applyBorder="1"/>
    <xf numFmtId="0" fontId="4" fillId="0" borderId="17" xfId="0" applyFont="1" applyBorder="1"/>
    <xf numFmtId="0" fontId="4" fillId="0" borderId="18" xfId="0" applyFont="1" applyBorder="1" applyAlignment="1">
      <alignment wrapText="1"/>
    </xf>
    <xf numFmtId="10" fontId="4" fillId="0" borderId="19" xfId="20950" applyNumberFormat="1" applyFont="1" applyBorder="1"/>
    <xf numFmtId="0" fontId="2" fillId="2" borderId="76" xfId="0" applyFont="1" applyFill="1" applyBorder="1" applyAlignment="1">
      <alignment horizontal="right" vertical="center"/>
    </xf>
    <xf numFmtId="0" fontId="2" fillId="0" borderId="80" xfId="0" applyFont="1" applyBorder="1" applyAlignment="1">
      <alignment vertical="center" wrapText="1"/>
    </xf>
    <xf numFmtId="0" fontId="107" fillId="0" borderId="0" xfId="11" applyFont="1"/>
    <xf numFmtId="0" fontId="109" fillId="0" borderId="0" xfId="11" applyFont="1"/>
    <xf numFmtId="0" fontId="108" fillId="0" borderId="0" xfId="0" applyFont="1"/>
    <xf numFmtId="0" fontId="110" fillId="0" borderId="60" xfId="0" applyFont="1" applyBorder="1" applyAlignment="1">
      <alignment horizontal="left" vertical="center" wrapText="1"/>
    </xf>
    <xf numFmtId="0" fontId="6" fillId="0" borderId="97" xfId="17" applyBorder="1" applyAlignment="1" applyProtection="1"/>
    <xf numFmtId="0" fontId="108" fillId="0" borderId="0" xfId="0" applyFont="1" applyAlignment="1">
      <alignment horizontal="left" vertical="top" wrapText="1"/>
    </xf>
    <xf numFmtId="191" fontId="2" fillId="3" borderId="72" xfId="2" applyNumberFormat="1" applyFont="1" applyFill="1" applyBorder="1" applyAlignment="1" applyProtection="1">
      <alignment vertical="top" wrapText="1"/>
      <protection locked="0"/>
    </xf>
    <xf numFmtId="0" fontId="121" fillId="3" borderId="103" xfId="0" applyFont="1" applyFill="1" applyBorder="1" applyAlignment="1">
      <alignment horizontal="left" vertical="center" wrapText="1"/>
    </xf>
    <xf numFmtId="0" fontId="119" fillId="0" borderId="103" xfId="0" applyFont="1" applyBorder="1" applyAlignment="1">
      <alignment horizontal="left" vertical="center" wrapText="1"/>
    </xf>
    <xf numFmtId="0" fontId="121" fillId="0" borderId="103" xfId="0" applyFont="1" applyBorder="1" applyAlignment="1">
      <alignment horizontal="left" vertical="center" wrapText="1"/>
    </xf>
    <xf numFmtId="0" fontId="121" fillId="0" borderId="103" xfId="0" applyFont="1" applyBorder="1" applyAlignment="1">
      <alignment vertical="center" wrapText="1"/>
    </xf>
    <xf numFmtId="0" fontId="122" fillId="0" borderId="103" xfId="0" applyFont="1" applyBorder="1" applyAlignment="1">
      <alignment horizontal="left" vertical="center" wrapText="1" indent="1"/>
    </xf>
    <xf numFmtId="0" fontId="122" fillId="3" borderId="103" xfId="0" applyFont="1" applyFill="1" applyBorder="1" applyAlignment="1">
      <alignment horizontal="left" vertical="center" wrapText="1" indent="1"/>
    </xf>
    <xf numFmtId="0" fontId="121" fillId="3" borderId="104" xfId="0" applyFont="1" applyFill="1" applyBorder="1" applyAlignment="1">
      <alignment horizontal="left" vertical="center" wrapText="1"/>
    </xf>
    <xf numFmtId="0" fontId="121" fillId="3" borderId="105" xfId="0" applyFont="1" applyFill="1" applyBorder="1" applyAlignment="1">
      <alignment horizontal="left" vertical="center" wrapText="1"/>
    </xf>
    <xf numFmtId="0" fontId="120" fillId="3" borderId="103" xfId="0" applyFont="1" applyFill="1" applyBorder="1" applyAlignment="1">
      <alignment horizontal="left" vertical="center" wrapText="1" indent="1"/>
    </xf>
    <xf numFmtId="191" fontId="91" fillId="0" borderId="0" xfId="0" applyNumberFormat="1" applyFont="1" applyAlignment="1">
      <alignment horizontal="right"/>
    </xf>
    <xf numFmtId="0" fontId="120" fillId="3" borderId="104" xfId="0" applyFont="1" applyFill="1" applyBorder="1" applyAlignment="1">
      <alignment horizontal="left" vertical="center" wrapText="1" indent="1"/>
    </xf>
    <xf numFmtId="167" fontId="87" fillId="0" borderId="52" xfId="0" applyNumberFormat="1" applyFont="1" applyBorder="1" applyAlignment="1">
      <alignment horizontal="center"/>
    </xf>
    <xf numFmtId="167" fontId="46" fillId="0" borderId="52" xfId="0" applyNumberFormat="1" applyFont="1" applyBorder="1" applyAlignment="1">
      <alignment horizontal="center"/>
    </xf>
    <xf numFmtId="0" fontId="111" fillId="0" borderId="106" xfId="0" applyFont="1" applyBorder="1"/>
    <xf numFmtId="49" fontId="113" fillId="0" borderId="106" xfId="5" applyNumberFormat="1" applyFont="1" applyBorder="1" applyAlignment="1" applyProtection="1">
      <alignment horizontal="right" vertical="center"/>
      <protection locked="0"/>
    </xf>
    <xf numFmtId="0" fontId="112" fillId="3" borderId="106" xfId="13" applyFont="1" applyFill="1" applyBorder="1" applyAlignment="1" applyProtection="1">
      <alignment horizontal="left" vertical="center" wrapText="1"/>
      <protection locked="0"/>
    </xf>
    <xf numFmtId="49" fontId="112" fillId="3" borderId="106" xfId="5" applyNumberFormat="1" applyFont="1" applyFill="1" applyBorder="1" applyAlignment="1" applyProtection="1">
      <alignment horizontal="right" vertical="center"/>
      <protection locked="0"/>
    </xf>
    <xf numFmtId="0" fontId="112" fillId="0" borderId="106" xfId="13" applyFont="1" applyBorder="1" applyAlignment="1" applyProtection="1">
      <alignment horizontal="left" vertical="center" wrapText="1"/>
      <protection locked="0"/>
    </xf>
    <xf numFmtId="49" fontId="112" fillId="0" borderId="106" xfId="5" applyNumberFormat="1" applyFont="1" applyBorder="1" applyAlignment="1" applyProtection="1">
      <alignment horizontal="right" vertical="center"/>
      <protection locked="0"/>
    </xf>
    <xf numFmtId="0" fontId="114" fillId="0" borderId="106" xfId="13" applyFont="1" applyBorder="1" applyAlignment="1" applyProtection="1">
      <alignment horizontal="left" vertical="center" wrapText="1"/>
      <protection locked="0"/>
    </xf>
    <xf numFmtId="0" fontId="111" fillId="0" borderId="106" xfId="0" applyFont="1" applyBorder="1" applyAlignment="1">
      <alignment horizontal="center" vertical="center" wrapText="1"/>
    </xf>
    <xf numFmtId="14" fontId="108" fillId="0" borderId="0" xfId="0" applyNumberFormat="1" applyFont="1"/>
    <xf numFmtId="43" fontId="93" fillId="0" borderId="0" xfId="7" applyFont="1"/>
    <xf numFmtId="0" fontId="108" fillId="0" borderId="0" xfId="0" applyFont="1" applyAlignment="1">
      <alignment wrapText="1"/>
    </xf>
    <xf numFmtId="0" fontId="107" fillId="0" borderId="106" xfId="0" applyFont="1" applyBorder="1"/>
    <xf numFmtId="0" fontId="107" fillId="0" borderId="106" xfId="0" applyFont="1" applyBorder="1" applyAlignment="1">
      <alignment horizontal="left" indent="8"/>
    </xf>
    <xf numFmtId="0" fontId="107" fillId="0" borderId="106" xfId="0" applyFont="1" applyBorder="1" applyAlignment="1">
      <alignment wrapText="1"/>
    </xf>
    <xf numFmtId="0" fontId="111" fillId="0" borderId="0" xfId="0" applyFont="1"/>
    <xf numFmtId="0" fontId="110" fillId="0" borderId="106" xfId="0" applyFont="1" applyBorder="1"/>
    <xf numFmtId="49" fontId="113" fillId="0" borderId="106" xfId="5" applyNumberFormat="1" applyFont="1" applyBorder="1" applyAlignment="1" applyProtection="1">
      <alignment horizontal="right" vertical="center" wrapText="1"/>
      <protection locked="0"/>
    </xf>
    <xf numFmtId="49" fontId="112" fillId="3" borderId="106" xfId="5" applyNumberFormat="1" applyFont="1" applyFill="1" applyBorder="1" applyAlignment="1" applyProtection="1">
      <alignment horizontal="right" vertical="center" wrapText="1"/>
      <protection locked="0"/>
    </xf>
    <xf numFmtId="49" fontId="112" fillId="0" borderId="106" xfId="5" applyNumberFormat="1" applyFont="1" applyBorder="1" applyAlignment="1" applyProtection="1">
      <alignment horizontal="right" vertical="center" wrapText="1"/>
      <protection locked="0"/>
    </xf>
    <xf numFmtId="0" fontId="107" fillId="0" borderId="106" xfId="0" applyFont="1" applyBorder="1" applyAlignment="1">
      <alignment horizontal="center" vertical="center" wrapText="1"/>
    </xf>
    <xf numFmtId="0" fontId="107" fillId="0" borderId="110" xfId="0" applyFont="1" applyBorder="1" applyAlignment="1">
      <alignment horizontal="center" vertical="center" wrapText="1"/>
    </xf>
    <xf numFmtId="0" fontId="107" fillId="0" borderId="106" xfId="0" applyFont="1" applyBorder="1" applyAlignment="1">
      <alignment horizontal="center" vertical="center"/>
    </xf>
    <xf numFmtId="0" fontId="107" fillId="0" borderId="0" xfId="0" applyFont="1"/>
    <xf numFmtId="0" fontId="107" fillId="0" borderId="0" xfId="0" applyFont="1" applyAlignment="1">
      <alignment wrapText="1"/>
    </xf>
    <xf numFmtId="14" fontId="107" fillId="0" borderId="0" xfId="0" applyNumberFormat="1" applyFont="1"/>
    <xf numFmtId="0" fontId="108" fillId="0" borderId="0" xfId="0" applyFont="1" applyAlignment="1">
      <alignment horizontal="left"/>
    </xf>
    <xf numFmtId="0" fontId="107" fillId="0" borderId="106" xfId="0" applyFont="1" applyBorder="1" applyAlignment="1">
      <alignment horizontal="left" vertical="center" wrapText="1"/>
    </xf>
    <xf numFmtId="0" fontId="110" fillId="0" borderId="106" xfId="0" applyFont="1" applyBorder="1" applyAlignment="1">
      <alignment horizontal="left" wrapText="1" indent="1"/>
    </xf>
    <xf numFmtId="0" fontId="110" fillId="0" borderId="106" xfId="0" applyFont="1" applyBorder="1" applyAlignment="1">
      <alignment horizontal="left" vertical="center" indent="1"/>
    </xf>
    <xf numFmtId="0" fontId="108" fillId="0" borderId="106" xfId="0" applyFont="1" applyBorder="1"/>
    <xf numFmtId="0" fontId="107" fillId="0" borderId="106" xfId="0" applyFont="1" applyBorder="1" applyAlignment="1">
      <alignment horizontal="left" wrapText="1" indent="1"/>
    </xf>
    <xf numFmtId="0" fontId="107" fillId="0" borderId="106" xfId="0" applyFont="1" applyBorder="1" applyAlignment="1">
      <alignment horizontal="left" indent="1"/>
    </xf>
    <xf numFmtId="0" fontId="107" fillId="0" borderId="106" xfId="0" applyFont="1" applyBorder="1" applyAlignment="1">
      <alignment horizontal="left" wrapText="1" indent="4"/>
    </xf>
    <xf numFmtId="0" fontId="110" fillId="0" borderId="106" xfId="0" applyFont="1" applyBorder="1" applyAlignment="1">
      <alignment horizontal="left" indent="1"/>
    </xf>
    <xf numFmtId="0" fontId="108" fillId="77" borderId="106" xfId="0" applyFont="1" applyFill="1" applyBorder="1"/>
    <xf numFmtId="0" fontId="111" fillId="0" borderId="5" xfId="0" applyFont="1" applyBorder="1"/>
    <xf numFmtId="0" fontId="108" fillId="0" borderId="106" xfId="0" applyFont="1" applyBorder="1" applyAlignment="1">
      <alignment horizontal="left" wrapText="1" indent="2"/>
    </xf>
    <xf numFmtId="0" fontId="108" fillId="0" borderId="106" xfId="0" applyFont="1" applyBorder="1" applyAlignment="1">
      <alignment horizontal="left" wrapText="1"/>
    </xf>
    <xf numFmtId="0" fontId="107" fillId="0" borderId="0" xfId="0" applyFont="1" applyAlignment="1">
      <alignment horizontal="center" vertical="center"/>
    </xf>
    <xf numFmtId="0" fontId="107" fillId="0" borderId="5" xfId="0" applyFont="1" applyBorder="1" applyAlignment="1">
      <alignment horizontal="center" vertical="center" wrapText="1"/>
    </xf>
    <xf numFmtId="0" fontId="107" fillId="0" borderId="5" xfId="0" applyFont="1" applyBorder="1" applyAlignment="1">
      <alignment wrapText="1"/>
    </xf>
    <xf numFmtId="0" fontId="107" fillId="0" borderId="0" xfId="0" applyFont="1" applyAlignment="1">
      <alignment horizontal="center" vertical="center" wrapText="1"/>
    </xf>
    <xf numFmtId="0" fontId="107" fillId="0" borderId="89" xfId="0" applyFont="1" applyBorder="1" applyAlignment="1">
      <alignment horizontal="center" vertical="center" wrapText="1"/>
    </xf>
    <xf numFmtId="0" fontId="107" fillId="0" borderId="109" xfId="0" applyFont="1" applyBorder="1" applyAlignment="1">
      <alignment horizontal="center" vertical="center" wrapText="1"/>
    </xf>
    <xf numFmtId="0" fontId="107" fillId="0" borderId="90" xfId="0" applyFont="1" applyBorder="1" applyAlignment="1">
      <alignment horizontal="center" vertical="center" wrapText="1"/>
    </xf>
    <xf numFmtId="0" fontId="107" fillId="0" borderId="67" xfId="0" applyFont="1" applyBorder="1" applyAlignment="1">
      <alignment horizontal="center" vertical="center" wrapText="1"/>
    </xf>
    <xf numFmtId="0" fontId="107" fillId="0" borderId="72" xfId="0" applyFont="1" applyBorder="1" applyAlignment="1">
      <alignment horizontal="center" vertical="center" wrapText="1"/>
    </xf>
    <xf numFmtId="0" fontId="107" fillId="0" borderId="0" xfId="0" applyFont="1" applyAlignment="1">
      <alignment horizontal="left"/>
    </xf>
    <xf numFmtId="0" fontId="110" fillId="0" borderId="106" xfId="0" applyFont="1" applyBorder="1" applyAlignment="1">
      <alignment horizontal="left" vertical="center" wrapText="1"/>
    </xf>
    <xf numFmtId="0" fontId="112" fillId="0" borderId="0" xfId="0" applyFont="1"/>
    <xf numFmtId="0" fontId="91" fillId="0" borderId="0" xfId="0" applyFont="1" applyAlignment="1">
      <alignment wrapText="1"/>
    </xf>
    <xf numFmtId="0" fontId="110" fillId="0" borderId="106" xfId="0" applyFont="1" applyBorder="1" applyAlignment="1">
      <alignment horizontal="center" vertical="center" wrapText="1"/>
    </xf>
    <xf numFmtId="0" fontId="112" fillId="0" borderId="0" xfId="0" applyFont="1" applyAlignment="1">
      <alignment horizontal="center" vertical="center"/>
    </xf>
    <xf numFmtId="0" fontId="128" fillId="0" borderId="0" xfId="0" applyFont="1"/>
    <xf numFmtId="0" fontId="110" fillId="0" borderId="106" xfId="0" applyFont="1" applyBorder="1" applyAlignment="1">
      <alignment vertical="center" wrapText="1" readingOrder="1"/>
    </xf>
    <xf numFmtId="0" fontId="107" fillId="0" borderId="102" xfId="0" applyFont="1" applyBorder="1" applyAlignment="1">
      <alignment vertical="center" wrapText="1" readingOrder="1"/>
    </xf>
    <xf numFmtId="0" fontId="107" fillId="0" borderId="101" xfId="0" applyFont="1" applyBorder="1" applyAlignment="1">
      <alignment vertical="center" wrapText="1" readingOrder="1"/>
    </xf>
    <xf numFmtId="0" fontId="107" fillId="0" borderId="100" xfId="0" applyFont="1" applyBorder="1" applyAlignment="1">
      <alignment vertical="center" wrapText="1" readingOrder="1"/>
    </xf>
    <xf numFmtId="0" fontId="128" fillId="0" borderId="5" xfId="0" applyFont="1" applyBorder="1"/>
    <xf numFmtId="167" fontId="129" fillId="79" borderId="51" xfId="0" applyNumberFormat="1" applyFont="1" applyFill="1" applyBorder="1" applyAlignment="1">
      <alignment horizontal="center"/>
    </xf>
    <xf numFmtId="0" fontId="93" fillId="0" borderId="0" xfId="11" applyFont="1"/>
    <xf numFmtId="0" fontId="93" fillId="0" borderId="0" xfId="0" applyFont="1"/>
    <xf numFmtId="14" fontId="3" fillId="0" borderId="0" xfId="0" applyNumberFormat="1" applyFont="1"/>
    <xf numFmtId="0" fontId="130" fillId="0" borderId="0" xfId="11" applyFont="1"/>
    <xf numFmtId="0" fontId="131" fillId="0" borderId="0" xfId="0" applyFont="1"/>
    <xf numFmtId="0" fontId="132" fillId="80" borderId="13" xfId="0" applyFont="1" applyFill="1" applyBorder="1" applyAlignment="1">
      <alignment horizontal="center" vertical="center"/>
    </xf>
    <xf numFmtId="0" fontId="132" fillId="80" borderId="14" xfId="0" applyFont="1" applyFill="1" applyBorder="1" applyAlignment="1">
      <alignment horizontal="center" vertical="center"/>
    </xf>
    <xf numFmtId="0" fontId="132" fillId="81" borderId="106" xfId="0" applyFont="1" applyFill="1" applyBorder="1" applyAlignment="1">
      <alignment horizontal="left" vertical="center"/>
    </xf>
    <xf numFmtId="192" fontId="132" fillId="81" borderId="72" xfId="7" applyNumberFormat="1" applyFont="1" applyFill="1" applyBorder="1" applyAlignment="1">
      <alignment horizontal="left" vertical="center"/>
    </xf>
    <xf numFmtId="49" fontId="134" fillId="0" borderId="106" xfId="0" applyNumberFormat="1" applyFont="1" applyBorder="1" applyAlignment="1">
      <alignment horizontal="left" vertical="center"/>
    </xf>
    <xf numFmtId="192" fontId="134" fillId="0" borderId="72" xfId="7" applyNumberFormat="1" applyFont="1" applyFill="1" applyBorder="1" applyAlignment="1">
      <alignment horizontal="left" vertical="center"/>
    </xf>
    <xf numFmtId="0" fontId="134" fillId="0" borderId="106" xfId="0" applyFont="1" applyBorder="1" applyAlignment="1">
      <alignment horizontal="left" vertical="center"/>
    </xf>
    <xf numFmtId="0" fontId="132" fillId="0" borderId="106" xfId="0" applyFont="1" applyBorder="1" applyAlignment="1">
      <alignment horizontal="left" vertical="center"/>
    </xf>
    <xf numFmtId="10" fontId="93" fillId="0" borderId="72" xfId="0" applyNumberFormat="1" applyFont="1" applyBorder="1" applyAlignment="1">
      <alignment horizontal="right" vertical="center" wrapText="1"/>
    </xf>
    <xf numFmtId="0" fontId="136" fillId="82" borderId="18" xfId="0" applyFont="1" applyFill="1" applyBorder="1" applyAlignment="1">
      <alignment horizontal="left" vertical="center"/>
    </xf>
    <xf numFmtId="10" fontId="130" fillId="83" borderId="19" xfId="0" applyNumberFormat="1" applyFont="1" applyFill="1" applyBorder="1" applyAlignment="1">
      <alignment horizontal="right" vertical="center" wrapText="1"/>
    </xf>
    <xf numFmtId="0" fontId="137" fillId="0" borderId="0" xfId="0" applyFont="1" applyAlignment="1">
      <alignment vertical="top" wrapText="1"/>
    </xf>
    <xf numFmtId="0" fontId="139" fillId="0" borderId="0" xfId="0" applyFont="1" applyAlignment="1">
      <alignment vertical="top"/>
    </xf>
    <xf numFmtId="0" fontId="139" fillId="0" borderId="0" xfId="0" applyFont="1" applyAlignment="1">
      <alignment vertical="top" wrapText="1"/>
    </xf>
    <xf numFmtId="0" fontId="0" fillId="0" borderId="1" xfId="0" applyBorder="1"/>
    <xf numFmtId="0" fontId="3" fillId="84" borderId="106" xfId="0" applyFont="1" applyFill="1" applyBorder="1" applyAlignment="1">
      <alignment horizontal="center" vertical="center" wrapText="1"/>
    </xf>
    <xf numFmtId="0" fontId="4" fillId="83" borderId="106" xfId="0" applyFont="1" applyFill="1" applyBorder="1" applyAlignment="1">
      <alignment vertical="center" wrapText="1"/>
    </xf>
    <xf numFmtId="192" fontId="4" fillId="83" borderId="106" xfId="7" applyNumberFormat="1" applyFont="1" applyFill="1" applyBorder="1" applyAlignment="1">
      <alignment vertical="center"/>
    </xf>
    <xf numFmtId="192" fontId="4" fillId="83" borderId="72" xfId="7" applyNumberFormat="1" applyFont="1" applyFill="1" applyBorder="1" applyAlignment="1">
      <alignment vertical="center"/>
    </xf>
    <xf numFmtId="0" fontId="134" fillId="81" borderId="106" xfId="0" applyFont="1" applyFill="1" applyBorder="1" applyAlignment="1">
      <alignment horizontal="left" vertical="center" wrapText="1" indent="3"/>
    </xf>
    <xf numFmtId="192" fontId="4" fillId="35" borderId="106" xfId="7" applyNumberFormat="1" applyFont="1" applyFill="1" applyBorder="1" applyAlignment="1">
      <alignment vertical="center"/>
    </xf>
    <xf numFmtId="0" fontId="140" fillId="81" borderId="106" xfId="0" applyFont="1" applyFill="1" applyBorder="1" applyAlignment="1">
      <alignment horizontal="left" vertical="center" wrapText="1" indent="5"/>
    </xf>
    <xf numFmtId="0" fontId="141" fillId="80" borderId="106" xfId="0" applyFont="1" applyFill="1" applyBorder="1" applyAlignment="1">
      <alignment horizontal="left" vertical="center" wrapText="1" indent="1"/>
    </xf>
    <xf numFmtId="192" fontId="141" fillId="80" borderId="106" xfId="7" applyNumberFormat="1" applyFont="1" applyFill="1" applyBorder="1" applyAlignment="1">
      <alignment vertical="center"/>
    </xf>
    <xf numFmtId="192" fontId="141" fillId="82" borderId="72" xfId="7" applyNumberFormat="1" applyFont="1" applyFill="1" applyBorder="1" applyAlignment="1">
      <alignment vertical="center"/>
    </xf>
    <xf numFmtId="192" fontId="142" fillId="81" borderId="106" xfId="7" applyNumberFormat="1" applyFont="1" applyFill="1" applyBorder="1" applyAlignment="1">
      <alignment vertical="center"/>
    </xf>
    <xf numFmtId="192" fontId="142" fillId="82" borderId="72" xfId="7" applyNumberFormat="1" applyFont="1" applyFill="1" applyBorder="1" applyAlignment="1">
      <alignment vertical="center"/>
    </xf>
    <xf numFmtId="192" fontId="142" fillId="81" borderId="18" xfId="7" applyNumberFormat="1" applyFont="1" applyFill="1" applyBorder="1" applyAlignment="1">
      <alignment vertical="center"/>
    </xf>
    <xf numFmtId="192" fontId="142" fillId="82" borderId="19" xfId="7" applyNumberFormat="1" applyFont="1" applyFill="1" applyBorder="1" applyAlignment="1">
      <alignment vertical="center"/>
    </xf>
    <xf numFmtId="169" fontId="9" fillId="36" borderId="79" xfId="20" applyBorder="1"/>
    <xf numFmtId="0" fontId="91" fillId="0" borderId="166" xfId="0" applyFont="1" applyBorder="1" applyAlignment="1">
      <alignment horizontal="center" vertical="center" wrapText="1"/>
    </xf>
    <xf numFmtId="0" fontId="91" fillId="0" borderId="0" xfId="0" applyFont="1"/>
    <xf numFmtId="0" fontId="346" fillId="0" borderId="0" xfId="0" applyFont="1"/>
    <xf numFmtId="14" fontId="91" fillId="0" borderId="0" xfId="0" applyNumberFormat="1" applyFont="1"/>
    <xf numFmtId="0" fontId="346" fillId="0" borderId="0" xfId="0" applyFont="1" applyAlignment="1">
      <alignment horizontal="center"/>
    </xf>
    <xf numFmtId="0" fontId="346" fillId="0" borderId="0" xfId="0" applyFont="1" applyAlignment="1">
      <alignment horizontal="left" vertical="center"/>
    </xf>
    <xf numFmtId="0" fontId="6" fillId="0" borderId="172" xfId="17" applyFill="1" applyBorder="1" applyAlignment="1" applyProtection="1"/>
    <xf numFmtId="49" fontId="84" fillId="0" borderId="172" xfId="0" applyNumberFormat="1" applyFont="1" applyBorder="1" applyAlignment="1">
      <alignment horizontal="right"/>
    </xf>
    <xf numFmtId="0" fontId="84" fillId="0" borderId="172" xfId="0" applyFont="1" applyBorder="1"/>
    <xf numFmtId="0" fontId="351" fillId="3" borderId="0" xfId="37364" applyFont="1" applyFill="1" applyAlignment="1" applyProtection="1">
      <alignment vertical="center"/>
      <protection locked="0"/>
    </xf>
    <xf numFmtId="0" fontId="128" fillId="3" borderId="172" xfId="5" applyFont="1" applyFill="1" applyBorder="1" applyAlignment="1" applyProtection="1">
      <alignment vertical="center" wrapText="1"/>
      <protection locked="0"/>
    </xf>
    <xf numFmtId="0" fontId="128" fillId="0" borderId="172" xfId="37365" applyFont="1" applyBorder="1" applyAlignment="1" applyProtection="1">
      <alignment horizontal="center" vertical="center" wrapText="1"/>
      <protection locked="0"/>
    </xf>
    <xf numFmtId="3" fontId="128" fillId="3" borderId="172" xfId="1" applyNumberFormat="1" applyFont="1" applyFill="1" applyBorder="1" applyAlignment="1" applyProtection="1">
      <alignment horizontal="center" vertical="center" wrapText="1"/>
      <protection locked="0"/>
    </xf>
    <xf numFmtId="9" fontId="128" fillId="3" borderId="172" xfId="15" applyNumberFormat="1" applyFont="1" applyFill="1" applyBorder="1" applyAlignment="1" applyProtection="1">
      <alignment horizontal="center" vertical="center" wrapText="1"/>
      <protection locked="0"/>
    </xf>
    <xf numFmtId="0" fontId="128" fillId="3" borderId="172" xfId="37365" applyFont="1" applyFill="1" applyBorder="1" applyAlignment="1" applyProtection="1">
      <alignment horizontal="center" vertical="center" wrapText="1"/>
      <protection locked="0"/>
    </xf>
    <xf numFmtId="0" fontId="351" fillId="3" borderId="172" xfId="37365" applyFont="1" applyFill="1" applyBorder="1" applyProtection="1">
      <protection locked="0"/>
    </xf>
    <xf numFmtId="3" fontId="128" fillId="151" borderId="172" xfId="5" applyNumberFormat="1" applyFont="1" applyFill="1" applyBorder="1"/>
    <xf numFmtId="0" fontId="352" fillId="3" borderId="172" xfId="37365" applyFont="1" applyFill="1" applyBorder="1" applyAlignment="1" applyProtection="1">
      <alignment horizontal="right"/>
      <protection locked="0"/>
    </xf>
    <xf numFmtId="359" fontId="128" fillId="151" borderId="172" xfId="5" applyNumberFormat="1" applyFont="1" applyFill="1" applyBorder="1" applyProtection="1">
      <protection locked="0"/>
    </xf>
    <xf numFmtId="164" fontId="128" fillId="151" borderId="172" xfId="1" applyNumberFormat="1" applyFont="1" applyFill="1" applyBorder="1" applyAlignment="1" applyProtection="1"/>
    <xf numFmtId="0" fontId="128" fillId="3" borderId="172" xfId="37365" applyFont="1" applyFill="1" applyBorder="1" applyAlignment="1" applyProtection="1">
      <alignment horizontal="left" vertical="center"/>
      <protection locked="0"/>
    </xf>
    <xf numFmtId="3" fontId="128" fillId="3" borderId="172" xfId="5" applyNumberFormat="1" applyFont="1" applyFill="1" applyBorder="1" applyProtection="1">
      <protection locked="0"/>
    </xf>
    <xf numFmtId="0" fontId="128" fillId="3" borderId="172" xfId="5" applyFont="1" applyFill="1" applyBorder="1" applyProtection="1">
      <protection locked="0"/>
    </xf>
    <xf numFmtId="0" fontId="353" fillId="3" borderId="172" xfId="37365" applyFont="1" applyFill="1" applyBorder="1" applyAlignment="1" applyProtection="1">
      <alignment horizontal="right"/>
      <protection locked="0"/>
    </xf>
    <xf numFmtId="0" fontId="128" fillId="0" borderId="172" xfId="37365" applyFont="1" applyBorder="1" applyAlignment="1" applyProtection="1">
      <alignment horizontal="left" vertical="center"/>
      <protection locked="0"/>
    </xf>
    <xf numFmtId="0" fontId="351" fillId="3" borderId="172" xfId="16" applyFont="1" applyFill="1" applyBorder="1" applyProtection="1">
      <protection locked="0"/>
    </xf>
    <xf numFmtId="3" fontId="351" fillId="75" borderId="172" xfId="16" applyNumberFormat="1" applyFont="1" applyFill="1" applyBorder="1"/>
    <xf numFmtId="0" fontId="356" fillId="0" borderId="0" xfId="37364" applyFont="1" applyAlignment="1" applyProtection="1">
      <alignment vertical="center"/>
      <protection locked="0"/>
    </xf>
    <xf numFmtId="0" fontId="128" fillId="0" borderId="172" xfId="37365" applyFont="1" applyBorder="1" applyAlignment="1" applyProtection="1">
      <alignment horizontal="center" vertical="top" wrapText="1"/>
      <protection locked="0"/>
    </xf>
    <xf numFmtId="0" fontId="351" fillId="3" borderId="172" xfId="37365" applyFont="1" applyFill="1" applyBorder="1" applyAlignment="1" applyProtection="1">
      <alignment wrapText="1"/>
      <protection locked="0"/>
    </xf>
    <xf numFmtId="3" fontId="128" fillId="0" borderId="172" xfId="5" applyNumberFormat="1" applyFont="1" applyBorder="1"/>
    <xf numFmtId="0" fontId="117" fillId="75" borderId="83" xfId="20952" applyFont="1" applyFill="1" applyBorder="1">
      <alignment vertical="center"/>
    </xf>
    <xf numFmtId="0" fontId="117" fillId="75" borderId="84" xfId="20952" applyFont="1" applyFill="1" applyBorder="1">
      <alignment vertical="center"/>
    </xf>
    <xf numFmtId="0" fontId="117" fillId="75" borderId="81" xfId="20952" applyFont="1" applyFill="1" applyBorder="1">
      <alignment vertical="center"/>
    </xf>
    <xf numFmtId="164" fontId="117" fillId="75" borderId="81" xfId="7" applyNumberFormat="1" applyFont="1" applyFill="1" applyBorder="1" applyAlignment="1">
      <alignment horizontal="right" vertical="center"/>
    </xf>
    <xf numFmtId="0" fontId="117" fillId="76" borderId="84" xfId="20952" applyFont="1" applyFill="1" applyBorder="1">
      <alignment vertical="center"/>
    </xf>
    <xf numFmtId="0" fontId="117" fillId="3" borderId="84" xfId="20952" applyFont="1" applyFill="1" applyBorder="1">
      <alignment vertical="center"/>
    </xf>
    <xf numFmtId="0" fontId="91" fillId="69" borderId="80" xfId="20952" applyFont="1" applyFill="1" applyBorder="1" applyAlignment="1">
      <alignment horizontal="center" vertical="center"/>
    </xf>
    <xf numFmtId="0" fontId="91" fillId="69" borderId="81" xfId="20952" applyFont="1" applyFill="1" applyBorder="1" applyAlignment="1">
      <alignment horizontal="left" vertical="center" wrapText="1"/>
    </xf>
    <xf numFmtId="164" fontId="91" fillId="0" borderId="82" xfId="7" applyNumberFormat="1" applyFont="1" applyFill="1" applyBorder="1" applyAlignment="1" applyProtection="1">
      <alignment horizontal="right" vertical="center"/>
      <protection locked="0"/>
    </xf>
    <xf numFmtId="0" fontId="117" fillId="76" borderId="82" xfId="20952" applyFont="1" applyFill="1" applyBorder="1" applyAlignment="1">
      <alignment horizontal="center" vertical="center"/>
    </xf>
    <xf numFmtId="0" fontId="117" fillId="76" borderId="84" xfId="20952" applyFont="1" applyFill="1" applyBorder="1" applyAlignment="1">
      <alignment vertical="top" wrapText="1"/>
    </xf>
    <xf numFmtId="0" fontId="91" fillId="69" borderId="84" xfId="20952" applyFont="1" applyFill="1" applyBorder="1" applyAlignment="1">
      <alignment vertical="center" wrapText="1"/>
    </xf>
    <xf numFmtId="0" fontId="91" fillId="69" borderId="81" xfId="20952" applyFont="1" applyFill="1" applyBorder="1" applyAlignment="1">
      <alignment horizontal="left" vertical="center"/>
    </xf>
    <xf numFmtId="0" fontId="91" fillId="3" borderId="80" xfId="20952" applyFont="1" applyFill="1" applyBorder="1" applyAlignment="1">
      <alignment horizontal="center" vertical="center"/>
    </xf>
    <xf numFmtId="164" fontId="91" fillId="76" borderId="82" xfId="7" applyNumberFormat="1" applyFont="1" applyFill="1" applyBorder="1" applyAlignment="1" applyProtection="1">
      <alignment horizontal="right" vertical="center"/>
      <protection locked="0"/>
    </xf>
    <xf numFmtId="164" fontId="91" fillId="3" borderId="82" xfId="7" applyNumberFormat="1" applyFont="1" applyFill="1" applyBorder="1" applyAlignment="1" applyProtection="1">
      <alignment horizontal="right" vertical="center"/>
      <protection locked="0"/>
    </xf>
    <xf numFmtId="0" fontId="91" fillId="69" borderId="82" xfId="20952" applyFont="1" applyFill="1" applyBorder="1" applyAlignment="1">
      <alignment horizontal="center" vertical="center"/>
    </xf>
    <xf numFmtId="0" fontId="346" fillId="0" borderId="0" xfId="0" applyFont="1" applyAlignment="1">
      <alignment wrapText="1"/>
    </xf>
    <xf numFmtId="0" fontId="103" fillId="69" borderId="179" xfId="20952" applyFont="1" applyFill="1" applyBorder="1" applyAlignment="1" applyProtection="1">
      <alignment horizontal="center" vertical="center"/>
      <protection locked="0"/>
    </xf>
    <xf numFmtId="0" fontId="104" fillId="76" borderId="172" xfId="20952" applyFont="1" applyFill="1" applyBorder="1" applyAlignment="1" applyProtection="1">
      <alignment horizontal="center" vertical="center"/>
      <protection locked="0"/>
    </xf>
    <xf numFmtId="164" fontId="346" fillId="0" borderId="0" xfId="0" applyNumberFormat="1" applyFont="1"/>
    <xf numFmtId="0" fontId="121" fillId="0" borderId="186" xfId="0" applyFont="1" applyBorder="1" applyAlignment="1">
      <alignment horizontal="justify" vertical="center" wrapText="1"/>
    </xf>
    <xf numFmtId="0" fontId="120" fillId="0" borderId="186" xfId="0" applyFont="1" applyBorder="1" applyAlignment="1">
      <alignment horizontal="left" vertical="center" wrapText="1" indent="1"/>
    </xf>
    <xf numFmtId="0" fontId="119" fillId="0" borderId="186" xfId="0" applyFont="1" applyBorder="1" applyAlignment="1">
      <alignment horizontal="justify" vertical="center" wrapText="1"/>
    </xf>
    <xf numFmtId="0" fontId="121" fillId="3" borderId="186" xfId="0" applyFont="1" applyFill="1" applyBorder="1" applyAlignment="1">
      <alignment horizontal="justify" vertical="center" wrapText="1"/>
    </xf>
    <xf numFmtId="0" fontId="122" fillId="0" borderId="186" xfId="0" applyFont="1" applyBorder="1" applyAlignment="1">
      <alignment horizontal="left" vertical="center" wrapText="1" indent="1"/>
    </xf>
    <xf numFmtId="0" fontId="121" fillId="0" borderId="186" xfId="0" applyFont="1" applyBorder="1" applyAlignment="1">
      <alignment horizontal="left" vertical="center" wrapText="1"/>
    </xf>
    <xf numFmtId="0" fontId="119" fillId="0" borderId="186" xfId="0" applyFont="1" applyBorder="1" applyAlignment="1">
      <alignment vertical="center" wrapText="1"/>
    </xf>
    <xf numFmtId="0" fontId="120" fillId="0" borderId="186" xfId="0" applyFont="1" applyBorder="1" applyAlignment="1">
      <alignment horizontal="left" vertical="center" wrapText="1"/>
    </xf>
    <xf numFmtId="0" fontId="121" fillId="0" borderId="186" xfId="0" applyFont="1" applyBorder="1" applyAlignment="1">
      <alignment vertical="center" wrapText="1"/>
    </xf>
    <xf numFmtId="164" fontId="0" fillId="0" borderId="0" xfId="0" applyNumberFormat="1"/>
    <xf numFmtId="164" fontId="100" fillId="0" borderId="82" xfId="7" applyNumberFormat="1" applyFont="1" applyBorder="1" applyAlignment="1">
      <alignment vertical="center" wrapText="1"/>
    </xf>
    <xf numFmtId="164" fontId="100" fillId="0" borderId="83" xfId="7" applyNumberFormat="1" applyFont="1" applyBorder="1" applyAlignment="1">
      <alignment vertical="center" wrapText="1"/>
    </xf>
    <xf numFmtId="164" fontId="100" fillId="0" borderId="74" xfId="7" applyNumberFormat="1" applyFont="1" applyBorder="1" applyAlignment="1">
      <alignment vertical="center" wrapText="1"/>
    </xf>
    <xf numFmtId="43" fontId="88" fillId="0" borderId="0" xfId="7" applyFont="1"/>
    <xf numFmtId="191" fontId="85" fillId="0" borderId="0" xfId="0" applyNumberFormat="1" applyFont="1"/>
    <xf numFmtId="43" fontId="85" fillId="0" borderId="0" xfId="7" applyFont="1"/>
    <xf numFmtId="0" fontId="2" fillId="0" borderId="76" xfId="0" applyFont="1" applyBorder="1" applyAlignment="1">
      <alignment vertical="center"/>
    </xf>
    <xf numFmtId="0" fontId="2" fillId="0" borderId="169" xfId="0" applyFont="1" applyBorder="1" applyAlignment="1">
      <alignment wrapText="1"/>
    </xf>
    <xf numFmtId="43" fontId="85" fillId="0" borderId="0" xfId="0" applyNumberFormat="1" applyFont="1"/>
    <xf numFmtId="191" fontId="84" fillId="0" borderId="0" xfId="0" applyNumberFormat="1" applyFont="1"/>
    <xf numFmtId="43" fontId="84" fillId="0" borderId="0" xfId="7" applyFont="1"/>
    <xf numFmtId="10" fontId="3" fillId="0" borderId="0" xfId="0" applyNumberFormat="1" applyFont="1" applyAlignment="1">
      <alignment horizontal="left" vertical="center"/>
    </xf>
    <xf numFmtId="43" fontId="3" fillId="0" borderId="0" xfId="7" applyFont="1"/>
    <xf numFmtId="43" fontId="91" fillId="0" borderId="0" xfId="7" applyFont="1"/>
    <xf numFmtId="43" fontId="3" fillId="0" borderId="0" xfId="7" applyFont="1" applyAlignment="1">
      <alignment horizontal="center" vertical="center"/>
    </xf>
    <xf numFmtId="43" fontId="3" fillId="0" borderId="0" xfId="7" applyFont="1" applyAlignment="1">
      <alignment horizontal="left" vertical="center"/>
    </xf>
    <xf numFmtId="191" fontId="3" fillId="0" borderId="0" xfId="0" applyNumberFormat="1" applyFont="1"/>
    <xf numFmtId="164" fontId="3" fillId="0" borderId="188" xfId="7" applyNumberFormat="1" applyFont="1" applyBorder="1" applyAlignment="1">
      <alignment vertical="center"/>
    </xf>
    <xf numFmtId="164" fontId="3" fillId="0" borderId="189" xfId="7" applyNumberFormat="1" applyFont="1" applyBorder="1" applyAlignment="1">
      <alignment vertical="center"/>
    </xf>
    <xf numFmtId="164" fontId="3" fillId="0" borderId="169" xfId="7" applyNumberFormat="1" applyFont="1" applyBorder="1" applyAlignment="1">
      <alignment vertical="center"/>
    </xf>
    <xf numFmtId="164" fontId="3" fillId="0" borderId="78" xfId="7" applyNumberFormat="1" applyFont="1" applyBorder="1" applyAlignment="1">
      <alignment vertical="center"/>
    </xf>
    <xf numFmtId="165" fontId="3" fillId="0" borderId="190" xfId="20950" applyNumberFormat="1" applyFont="1" applyBorder="1" applyAlignment="1">
      <alignment vertical="center"/>
    </xf>
    <xf numFmtId="3" fontId="84" fillId="0" borderId="0" xfId="0" applyNumberFormat="1" applyFont="1"/>
    <xf numFmtId="3" fontId="0" fillId="0" borderId="0" xfId="0" applyNumberFormat="1"/>
    <xf numFmtId="164" fontId="108" fillId="0" borderId="106" xfId="7" applyNumberFormat="1" applyFont="1" applyBorder="1"/>
    <xf numFmtId="164" fontId="111" fillId="0" borderId="106" xfId="7" applyNumberFormat="1" applyFont="1" applyBorder="1"/>
    <xf numFmtId="164" fontId="108" fillId="0" borderId="0" xfId="0" applyNumberFormat="1" applyFont="1"/>
    <xf numFmtId="164" fontId="107" fillId="0" borderId="106" xfId="7" applyNumberFormat="1" applyFont="1" applyBorder="1"/>
    <xf numFmtId="164" fontId="107" fillId="35" borderId="106" xfId="7" applyNumberFormat="1" applyFont="1" applyFill="1" applyBorder="1"/>
    <xf numFmtId="164" fontId="110" fillId="0" borderId="106" xfId="7" applyNumberFormat="1" applyFont="1" applyBorder="1"/>
    <xf numFmtId="43" fontId="107" fillId="0" borderId="0" xfId="0" applyNumberFormat="1" applyFont="1"/>
    <xf numFmtId="164" fontId="107" fillId="0" borderId="0" xfId="0" applyNumberFormat="1" applyFont="1"/>
    <xf numFmtId="43" fontId="112" fillId="0" borderId="0" xfId="7" applyFont="1"/>
    <xf numFmtId="43" fontId="128" fillId="0" borderId="0" xfId="0" applyNumberFormat="1" applyFont="1"/>
    <xf numFmtId="10" fontId="85" fillId="0" borderId="0" xfId="0" applyNumberFormat="1" applyFont="1"/>
    <xf numFmtId="192" fontId="0" fillId="0" borderId="0" xfId="0" applyNumberFormat="1"/>
    <xf numFmtId="191" fontId="346" fillId="0" borderId="0" xfId="0" applyNumberFormat="1" applyFont="1"/>
    <xf numFmtId="0" fontId="345" fillId="0" borderId="0" xfId="0" applyFont="1"/>
    <xf numFmtId="192" fontId="345" fillId="0" borderId="0" xfId="0" applyNumberFormat="1" applyFont="1"/>
    <xf numFmtId="43" fontId="3" fillId="0" borderId="187" xfId="7" applyFont="1" applyFill="1" applyBorder="1" applyAlignment="1">
      <alignment vertical="center" wrapText="1"/>
    </xf>
    <xf numFmtId="164" fontId="3" fillId="0" borderId="75" xfId="7" applyNumberFormat="1" applyFont="1" applyBorder="1" applyAlignment="1">
      <alignment vertical="center"/>
    </xf>
    <xf numFmtId="164" fontId="3" fillId="0" borderId="56" xfId="7" applyNumberFormat="1" applyFont="1" applyBorder="1" applyAlignment="1">
      <alignment vertical="center"/>
    </xf>
    <xf numFmtId="164" fontId="3" fillId="3" borderId="74" xfId="7" applyNumberFormat="1" applyFont="1" applyFill="1" applyBorder="1" applyAlignment="1">
      <alignment vertical="center"/>
    </xf>
    <xf numFmtId="164" fontId="3" fillId="76" borderId="186" xfId="7" applyNumberFormat="1" applyFont="1" applyFill="1" applyBorder="1" applyAlignment="1">
      <alignment vertical="center"/>
    </xf>
    <xf numFmtId="164" fontId="3" fillId="76" borderId="185" xfId="7" applyNumberFormat="1" applyFont="1" applyFill="1" applyBorder="1" applyAlignment="1">
      <alignment vertical="center"/>
    </xf>
    <xf numFmtId="0" fontId="2" fillId="0" borderId="186" xfId="0" applyFont="1" applyBorder="1" applyAlignment="1">
      <alignment wrapText="1"/>
    </xf>
    <xf numFmtId="0" fontId="358" fillId="0" borderId="0" xfId="0" applyFont="1" applyAlignment="1">
      <alignment horizontal="justify"/>
    </xf>
    <xf numFmtId="10" fontId="91" fillId="2" borderId="186" xfId="20950" applyNumberFormat="1" applyFont="1" applyFill="1" applyBorder="1" applyAlignment="1" applyProtection="1">
      <alignment vertical="center"/>
      <protection locked="0"/>
    </xf>
    <xf numFmtId="10" fontId="359" fillId="2" borderId="186" xfId="20950" applyNumberFormat="1" applyFont="1" applyFill="1" applyBorder="1" applyAlignment="1" applyProtection="1">
      <alignment vertical="center"/>
      <protection locked="0"/>
    </xf>
    <xf numFmtId="10" fontId="359" fillId="2" borderId="187" xfId="20950" applyNumberFormat="1" applyFont="1" applyFill="1" applyBorder="1" applyAlignment="1" applyProtection="1">
      <alignment vertical="center"/>
      <protection locked="0"/>
    </xf>
    <xf numFmtId="10" fontId="91" fillId="2" borderId="187" xfId="20950" applyNumberFormat="1" applyFont="1" applyFill="1" applyBorder="1" applyAlignment="1" applyProtection="1">
      <alignment vertical="center"/>
      <protection locked="0"/>
    </xf>
    <xf numFmtId="191" fontId="91" fillId="2" borderId="186" xfId="0" applyNumberFormat="1" applyFont="1" applyFill="1" applyBorder="1" applyAlignment="1" applyProtection="1">
      <alignment vertical="center"/>
      <protection locked="0"/>
    </xf>
    <xf numFmtId="191" fontId="91" fillId="2" borderId="187" xfId="0" applyNumberFormat="1" applyFont="1" applyFill="1" applyBorder="1" applyAlignment="1" applyProtection="1">
      <alignment vertical="center"/>
      <protection locked="0"/>
    </xf>
    <xf numFmtId="191" fontId="359" fillId="2" borderId="186" xfId="0" applyNumberFormat="1" applyFont="1" applyFill="1" applyBorder="1" applyAlignment="1" applyProtection="1">
      <alignment vertical="center"/>
      <protection locked="0"/>
    </xf>
    <xf numFmtId="191" fontId="359" fillId="2" borderId="187" xfId="0" applyNumberFormat="1" applyFont="1" applyFill="1" applyBorder="1" applyAlignment="1" applyProtection="1">
      <alignment vertical="center"/>
      <protection locked="0"/>
    </xf>
    <xf numFmtId="191" fontId="91" fillId="2" borderId="179" xfId="0" applyNumberFormat="1" applyFont="1" applyFill="1" applyBorder="1" applyAlignment="1" applyProtection="1">
      <alignment vertical="center"/>
      <protection locked="0"/>
    </xf>
    <xf numFmtId="191" fontId="359" fillId="2" borderId="179" xfId="0" applyNumberFormat="1" applyFont="1" applyFill="1" applyBorder="1" applyAlignment="1" applyProtection="1">
      <alignment vertical="center"/>
      <protection locked="0"/>
    </xf>
    <xf numFmtId="191" fontId="359" fillId="2" borderId="78" xfId="0" applyNumberFormat="1" applyFont="1" applyFill="1" applyBorder="1" applyAlignment="1" applyProtection="1">
      <alignment vertical="center"/>
      <protection locked="0"/>
    </xf>
    <xf numFmtId="10" fontId="91" fillId="2" borderId="185" xfId="20950" applyNumberFormat="1" applyFont="1" applyFill="1" applyBorder="1" applyAlignment="1" applyProtection="1">
      <alignment vertical="center"/>
      <protection locked="0"/>
    </xf>
    <xf numFmtId="10" fontId="359" fillId="2" borderId="185" xfId="20950" applyNumberFormat="1" applyFont="1" applyFill="1" applyBorder="1" applyAlignment="1" applyProtection="1">
      <alignment vertical="center"/>
      <protection locked="0"/>
    </xf>
    <xf numFmtId="10" fontId="359" fillId="2" borderId="192" xfId="20950" applyNumberFormat="1" applyFont="1" applyFill="1" applyBorder="1" applyAlignment="1" applyProtection="1">
      <alignment vertical="center"/>
      <protection locked="0"/>
    </xf>
    <xf numFmtId="191" fontId="93" fillId="0" borderId="186" xfId="0" applyNumberFormat="1" applyFont="1" applyBorder="1" applyAlignment="1" applyProtection="1">
      <alignment vertical="center" wrapText="1"/>
      <protection locked="0"/>
    </xf>
    <xf numFmtId="191" fontId="3" fillId="0" borderId="186" xfId="0" applyNumberFormat="1" applyFont="1" applyBorder="1" applyAlignment="1" applyProtection="1">
      <alignment vertical="center" wrapText="1"/>
      <protection locked="0"/>
    </xf>
    <xf numFmtId="191" fontId="3" fillId="0" borderId="187" xfId="0" applyNumberFormat="1" applyFont="1" applyBorder="1" applyAlignment="1" applyProtection="1">
      <alignment vertical="center" wrapText="1"/>
      <protection locked="0"/>
    </xf>
    <xf numFmtId="191" fontId="93" fillId="0" borderId="186" xfId="0" applyNumberFormat="1" applyFont="1" applyBorder="1" applyAlignment="1" applyProtection="1">
      <alignment horizontal="right" vertical="center" wrapText="1"/>
      <protection locked="0"/>
    </xf>
    <xf numFmtId="10" fontId="3" fillId="0" borderId="186" xfId="20950" applyNumberFormat="1" applyFont="1" applyFill="1" applyBorder="1" applyAlignment="1" applyProtection="1">
      <alignment horizontal="right" vertical="center" wrapText="1"/>
      <protection locked="0"/>
    </xf>
    <xf numFmtId="10" fontId="3" fillId="0" borderId="186" xfId="20950" applyNumberFormat="1" applyFont="1" applyBorder="1" applyAlignment="1" applyProtection="1">
      <alignment vertical="center" wrapText="1"/>
      <protection locked="0"/>
    </xf>
    <xf numFmtId="10" fontId="3" fillId="0" borderId="187" xfId="20950" applyNumberFormat="1" applyFont="1" applyBorder="1" applyAlignment="1" applyProtection="1">
      <alignment vertical="center" wrapText="1"/>
      <protection locked="0"/>
    </xf>
    <xf numFmtId="10" fontId="85" fillId="0" borderId="0" xfId="7" applyNumberFormat="1" applyFont="1"/>
    <xf numFmtId="164" fontId="0" fillId="0" borderId="186" xfId="7" applyNumberFormat="1" applyFont="1" applyBorder="1"/>
    <xf numFmtId="164" fontId="3" fillId="0" borderId="72" xfId="7" applyNumberFormat="1" applyFont="1" applyBorder="1" applyAlignment="1">
      <alignment horizontal="right" vertical="center" wrapText="1"/>
    </xf>
    <xf numFmtId="164" fontId="3" fillId="0" borderId="19" xfId="7" applyNumberFormat="1" applyFont="1" applyBorder="1" applyAlignment="1">
      <alignment horizontal="right" vertical="center" wrapText="1"/>
    </xf>
    <xf numFmtId="191" fontId="88" fillId="0" borderId="0" xfId="0" applyNumberFormat="1" applyFont="1"/>
    <xf numFmtId="43" fontId="108" fillId="0" borderId="0" xfId="0" applyNumberFormat="1" applyFont="1"/>
    <xf numFmtId="43" fontId="107" fillId="0" borderId="0" xfId="0" applyNumberFormat="1" applyFont="1" applyAlignment="1">
      <alignment horizontal="left"/>
    </xf>
    <xf numFmtId="43" fontId="112" fillId="0" borderId="0" xfId="0" applyNumberFormat="1" applyFont="1"/>
    <xf numFmtId="169" fontId="85" fillId="0" borderId="0" xfId="7" applyNumberFormat="1" applyFont="1"/>
    <xf numFmtId="10" fontId="3" fillId="0" borderId="0" xfId="7" applyNumberFormat="1" applyFont="1" applyAlignment="1">
      <alignment horizontal="left" vertical="center"/>
    </xf>
    <xf numFmtId="10" fontId="345" fillId="0" borderId="0" xfId="7" applyNumberFormat="1" applyFont="1" applyFill="1"/>
    <xf numFmtId="169" fontId="3" fillId="0" borderId="0" xfId="7" applyNumberFormat="1" applyFont="1"/>
    <xf numFmtId="165" fontId="3" fillId="0" borderId="0" xfId="7" applyNumberFormat="1" applyFont="1"/>
    <xf numFmtId="10" fontId="128" fillId="0" borderId="0" xfId="0" applyNumberFormat="1" applyFont="1"/>
    <xf numFmtId="9" fontId="128" fillId="0" borderId="0" xfId="0" applyNumberFormat="1" applyFont="1"/>
    <xf numFmtId="191" fontId="91" fillId="0" borderId="0" xfId="0" applyNumberFormat="1" applyFont="1"/>
    <xf numFmtId="360" fontId="102" fillId="76" borderId="172" xfId="20950" applyNumberFormat="1" applyFont="1" applyFill="1" applyBorder="1" applyAlignment="1" applyProtection="1">
      <alignment horizontal="right" vertical="center"/>
    </xf>
    <xf numFmtId="191" fontId="84" fillId="35" borderId="47" xfId="0" applyNumberFormat="1" applyFont="1" applyFill="1" applyBorder="1" applyAlignment="1">
      <alignment vertical="center"/>
    </xf>
    <xf numFmtId="0" fontId="88" fillId="0" borderId="0" xfId="0" applyFont="1" applyAlignment="1">
      <alignment vertical="center"/>
    </xf>
    <xf numFmtId="0" fontId="45" fillId="3" borderId="19" xfId="16" applyFont="1" applyFill="1" applyBorder="1" applyAlignment="1" applyProtection="1">
      <alignment vertical="center"/>
      <protection locked="0"/>
    </xf>
    <xf numFmtId="191" fontId="84" fillId="35" borderId="17" xfId="0" applyNumberFormat="1" applyFont="1" applyFill="1" applyBorder="1" applyAlignment="1">
      <alignment vertical="center"/>
    </xf>
    <xf numFmtId="191" fontId="84" fillId="35" borderId="18" xfId="0" applyNumberFormat="1" applyFont="1" applyFill="1" applyBorder="1" applyAlignment="1">
      <alignment vertical="center"/>
    </xf>
    <xf numFmtId="191" fontId="84" fillId="35" borderId="19" xfId="0" applyNumberFormat="1" applyFont="1" applyFill="1" applyBorder="1" applyAlignment="1">
      <alignment vertical="center"/>
    </xf>
    <xf numFmtId="191" fontId="84" fillId="35" borderId="48" xfId="0" applyNumberFormat="1" applyFont="1" applyFill="1" applyBorder="1" applyAlignment="1">
      <alignment vertical="center"/>
    </xf>
    <xf numFmtId="0" fontId="110" fillId="0" borderId="106" xfId="0" applyFont="1" applyBorder="1" applyAlignment="1">
      <alignment vertical="center"/>
    </xf>
    <xf numFmtId="0" fontId="107" fillId="0" borderId="0" xfId="0" applyFont="1" applyAlignment="1">
      <alignment vertical="center"/>
    </xf>
    <xf numFmtId="0" fontId="107" fillId="0" borderId="106" xfId="0" applyFont="1" applyBorder="1" applyAlignment="1">
      <alignment vertical="center"/>
    </xf>
    <xf numFmtId="0" fontId="107" fillId="0" borderId="106" xfId="0" applyFont="1" applyBorder="1" applyAlignment="1">
      <alignment horizontal="left" vertical="center"/>
    </xf>
    <xf numFmtId="0" fontId="107" fillId="0" borderId="59" xfId="0" applyFont="1" applyBorder="1" applyAlignment="1">
      <alignment vertical="center"/>
    </xf>
    <xf numFmtId="0" fontId="110" fillId="0" borderId="56" xfId="0" applyFont="1" applyBorder="1" applyAlignment="1">
      <alignment vertical="center"/>
    </xf>
    <xf numFmtId="164" fontId="107" fillId="0" borderId="0" xfId="0" applyNumberFormat="1" applyFont="1" applyAlignment="1">
      <alignment vertical="center"/>
    </xf>
    <xf numFmtId="0" fontId="107" fillId="0" borderId="15" xfId="0" applyFont="1" applyBorder="1" applyAlignment="1">
      <alignment horizontal="left" vertical="center"/>
    </xf>
    <xf numFmtId="0" fontId="107" fillId="0" borderId="72" xfId="0" applyFont="1" applyBorder="1" applyAlignment="1">
      <alignment horizontal="left" vertical="center"/>
    </xf>
    <xf numFmtId="49" fontId="107" fillId="0" borderId="15" xfId="0" applyNumberFormat="1" applyFont="1" applyBorder="1" applyAlignment="1">
      <alignment horizontal="left" vertical="center"/>
    </xf>
    <xf numFmtId="49" fontId="107" fillId="0" borderId="72" xfId="0" applyNumberFormat="1" applyFont="1" applyBorder="1" applyAlignment="1">
      <alignment horizontal="left" vertical="center"/>
    </xf>
    <xf numFmtId="49" fontId="107" fillId="0" borderId="15" xfId="0" applyNumberFormat="1" applyFont="1" applyBorder="1" applyAlignment="1">
      <alignment horizontal="left" vertical="center" wrapText="1"/>
    </xf>
    <xf numFmtId="49" fontId="107" fillId="0" borderId="72" xfId="0" applyNumberFormat="1" applyFont="1" applyBorder="1" applyAlignment="1">
      <alignment horizontal="left" vertical="center" wrapText="1"/>
    </xf>
    <xf numFmtId="0" fontId="107" fillId="0" borderId="15" xfId="0" applyFont="1" applyBorder="1" applyAlignment="1">
      <alignment horizontal="left" vertical="center" wrapText="1"/>
    </xf>
    <xf numFmtId="0" fontId="107" fillId="0" borderId="17" xfId="0" applyFont="1" applyBorder="1" applyAlignment="1">
      <alignment horizontal="left" vertical="center" wrapText="1"/>
    </xf>
    <xf numFmtId="49" fontId="107" fillId="0" borderId="19" xfId="0" applyNumberFormat="1" applyFont="1" applyBorder="1" applyAlignment="1">
      <alignment horizontal="left" vertical="center" wrapText="1"/>
    </xf>
    <xf numFmtId="0" fontId="128" fillId="0" borderId="106" xfId="0" applyFont="1" applyBorder="1" applyAlignment="1">
      <alignment horizontal="left" vertical="center"/>
    </xf>
    <xf numFmtId="0" fontId="128" fillId="0" borderId="0" xfId="0" applyFont="1" applyAlignment="1">
      <alignment vertical="center"/>
    </xf>
    <xf numFmtId="0" fontId="107" fillId="0" borderId="101" xfId="0" applyFont="1" applyBorder="1" applyAlignment="1">
      <alignment horizontal="left" vertical="center" wrapText="1" readingOrder="1"/>
    </xf>
    <xf numFmtId="0" fontId="128" fillId="0" borderId="110" xfId="0" applyFont="1" applyBorder="1" applyAlignment="1">
      <alignment horizontal="left" vertical="center"/>
    </xf>
    <xf numFmtId="0" fontId="112" fillId="0" borderId="179" xfId="0" applyFont="1" applyBorder="1" applyAlignment="1">
      <alignment vertical="center"/>
    </xf>
    <xf numFmtId="9" fontId="112" fillId="0" borderId="179" xfId="20950" applyFont="1" applyBorder="1" applyAlignment="1">
      <alignment vertical="center"/>
    </xf>
    <xf numFmtId="164" fontId="0" fillId="0" borderId="186" xfId="7" applyNumberFormat="1" applyFont="1" applyBorder="1" applyAlignment="1">
      <alignment vertical="center"/>
    </xf>
    <xf numFmtId="164" fontId="0" fillId="0" borderId="185" xfId="7" applyNumberFormat="1" applyFont="1" applyBorder="1"/>
    <xf numFmtId="0" fontId="91" fillId="0" borderId="186" xfId="0" applyFont="1" applyBorder="1" applyAlignment="1">
      <alignment horizontal="center" vertical="center" wrapText="1"/>
    </xf>
    <xf numFmtId="0" fontId="91" fillId="0" borderId="187" xfId="0" applyFont="1" applyBorder="1" applyAlignment="1">
      <alignment horizontal="center" vertical="center" wrapText="1"/>
    </xf>
    <xf numFmtId="0" fontId="347" fillId="0" borderId="186" xfId="0" applyFont="1" applyBorder="1" applyAlignment="1">
      <alignment horizontal="center" vertical="center"/>
    </xf>
    <xf numFmtId="0" fontId="346" fillId="0" borderId="196" xfId="0" applyFont="1" applyBorder="1" applyAlignment="1">
      <alignment horizontal="center"/>
    </xf>
    <xf numFmtId="0" fontId="117" fillId="3" borderId="186" xfId="20954" applyFont="1" applyFill="1" applyBorder="1" applyAlignment="1">
      <alignment horizontal="left" vertical="center" wrapText="1"/>
    </xf>
    <xf numFmtId="164" fontId="346" fillId="35" borderId="186" xfId="7" applyNumberFormat="1" applyFont="1" applyFill="1" applyBorder="1"/>
    <xf numFmtId="164" fontId="346" fillId="35" borderId="187" xfId="7" applyNumberFormat="1" applyFont="1" applyFill="1" applyBorder="1"/>
    <xf numFmtId="0" fontId="91" fillId="0" borderId="186" xfId="20954" applyFont="1" applyBorder="1" applyAlignment="1">
      <alignment horizontal="left" vertical="center" wrapText="1" indent="1"/>
    </xf>
    <xf numFmtId="0" fontId="348" fillId="3" borderId="186" xfId="0" applyFont="1" applyFill="1" applyBorder="1" applyAlignment="1">
      <alignment horizontal="left" vertical="center" wrapText="1"/>
    </xf>
    <xf numFmtId="0" fontId="91" fillId="3" borderId="186" xfId="20954" applyFont="1" applyFill="1" applyBorder="1" applyAlignment="1">
      <alignment horizontal="left" vertical="center" wrapText="1" indent="1"/>
    </xf>
    <xf numFmtId="0" fontId="117" fillId="0" borderId="186" xfId="0" applyFont="1" applyBorder="1" applyAlignment="1">
      <alignment horizontal="left" vertical="center" wrapText="1"/>
    </xf>
    <xf numFmtId="0" fontId="348" fillId="0" borderId="186" xfId="0" applyFont="1" applyBorder="1" applyAlignment="1">
      <alignment horizontal="left" vertical="center" wrapText="1"/>
    </xf>
    <xf numFmtId="0" fontId="348" fillId="0" borderId="186" xfId="0" applyFont="1" applyBorder="1" applyAlignment="1">
      <alignment vertical="center" wrapText="1"/>
    </xf>
    <xf numFmtId="164" fontId="346" fillId="35" borderId="186" xfId="7" applyNumberFormat="1" applyFont="1" applyFill="1" applyBorder="1" applyAlignment="1">
      <alignment vertical="center"/>
    </xf>
    <xf numFmtId="164" fontId="346" fillId="35" borderId="187" xfId="7" applyNumberFormat="1" applyFont="1" applyFill="1" applyBorder="1" applyAlignment="1">
      <alignment vertical="center"/>
    </xf>
    <xf numFmtId="0" fontId="349" fillId="0" borderId="186" xfId="0" applyFont="1" applyBorder="1" applyAlignment="1">
      <alignment horizontal="left" vertical="center" wrapText="1" indent="1"/>
    </xf>
    <xf numFmtId="0" fontId="349" fillId="3" borderId="186" xfId="0" applyFont="1" applyFill="1" applyBorder="1" applyAlignment="1">
      <alignment horizontal="left" vertical="center" wrapText="1" indent="1"/>
    </xf>
    <xf numFmtId="0" fontId="349" fillId="0" borderId="186" xfId="20954" applyFont="1" applyBorder="1" applyAlignment="1">
      <alignment horizontal="left" vertical="center" wrapText="1" indent="1"/>
    </xf>
    <xf numFmtId="0" fontId="348" fillId="0" borderId="186" xfId="20954" applyFont="1" applyBorder="1" applyAlignment="1">
      <alignment horizontal="center" vertical="center" wrapText="1"/>
    </xf>
    <xf numFmtId="0" fontId="91" fillId="3" borderId="186" xfId="0" applyFont="1" applyFill="1" applyBorder="1" applyAlignment="1">
      <alignment horizontal="left" vertical="center" wrapText="1" indent="1"/>
    </xf>
    <xf numFmtId="0" fontId="91" fillId="0" borderId="186" xfId="0" applyFont="1" applyBorder="1" applyAlignment="1">
      <alignment horizontal="left" vertical="center" wrapText="1" indent="1"/>
    </xf>
    <xf numFmtId="0" fontId="348" fillId="0" borderId="186" xfId="20954" applyFont="1" applyBorder="1" applyAlignment="1">
      <alignment horizontal="left" vertical="center" wrapText="1"/>
    </xf>
    <xf numFmtId="0" fontId="348" fillId="3" borderId="186" xfId="20954" applyFont="1" applyFill="1" applyBorder="1" applyAlignment="1">
      <alignment horizontal="left" vertical="center" wrapText="1"/>
    </xf>
    <xf numFmtId="0" fontId="350" fillId="0" borderId="0" xfId="0" applyFont="1" applyAlignment="1">
      <alignment horizontal="justify"/>
    </xf>
    <xf numFmtId="0" fontId="346" fillId="0" borderId="191" xfId="0" applyFont="1" applyBorder="1" applyAlignment="1">
      <alignment horizontal="center"/>
    </xf>
    <xf numFmtId="0" fontId="348" fillId="0" borderId="185" xfId="0" applyFont="1" applyBorder="1" applyAlignment="1">
      <alignment horizontal="left" vertical="center" wrapText="1"/>
    </xf>
    <xf numFmtId="164" fontId="346" fillId="35" borderId="185" xfId="7" applyNumberFormat="1" applyFont="1" applyFill="1" applyBorder="1"/>
    <xf numFmtId="164" fontId="346" fillId="35" borderId="192" xfId="7" applyNumberFormat="1" applyFont="1" applyFill="1" applyBorder="1"/>
    <xf numFmtId="0" fontId="2" fillId="0" borderId="186" xfId="0" applyFont="1" applyBorder="1" applyAlignment="1">
      <alignment horizontal="center" vertical="center" wrapText="1"/>
    </xf>
    <xf numFmtId="0" fontId="2" fillId="0" borderId="187" xfId="0" applyFont="1" applyBorder="1" applyAlignment="1">
      <alignment horizontal="center" vertical="center" wrapText="1"/>
    </xf>
    <xf numFmtId="0" fontId="0" fillId="0" borderId="196" xfId="0" applyBorder="1" applyAlignment="1">
      <alignment horizontal="center" vertical="center"/>
    </xf>
    <xf numFmtId="164" fontId="106" fillId="35" borderId="186" xfId="7" applyNumberFormat="1" applyFont="1" applyFill="1" applyBorder="1"/>
    <xf numFmtId="164" fontId="106" fillId="35" borderId="187" xfId="7" applyNumberFormat="1" applyFont="1" applyFill="1" applyBorder="1"/>
    <xf numFmtId="0" fontId="0" fillId="0" borderId="191" xfId="0" applyBorder="1" applyAlignment="1">
      <alignment horizontal="center" vertical="center"/>
    </xf>
    <xf numFmtId="0" fontId="121" fillId="3" borderId="185" xfId="0" applyFont="1" applyFill="1" applyBorder="1" applyAlignment="1">
      <alignment vertical="center" wrapText="1"/>
    </xf>
    <xf numFmtId="164" fontId="106" fillId="35" borderId="185" xfId="7" applyNumberFormat="1" applyFont="1" applyFill="1" applyBorder="1"/>
    <xf numFmtId="164" fontId="106" fillId="35" borderId="192" xfId="7" applyNumberFormat="1" applyFont="1" applyFill="1" applyBorder="1"/>
    <xf numFmtId="191" fontId="91" fillId="0" borderId="186" xfId="0" applyNumberFormat="1" applyFont="1" applyBorder="1" applyAlignment="1">
      <alignment horizontal="right"/>
    </xf>
    <xf numFmtId="164" fontId="91" fillId="0" borderId="186" xfId="7" applyNumberFormat="1" applyFont="1" applyFill="1" applyBorder="1" applyAlignment="1">
      <alignment horizontal="right"/>
    </xf>
    <xf numFmtId="3" fontId="0" fillId="0" borderId="186" xfId="0" applyNumberFormat="1" applyBorder="1" applyAlignment="1">
      <alignment vertical="center" wrapText="1"/>
    </xf>
    <xf numFmtId="0" fontId="84" fillId="0" borderId="196" xfId="0" applyFont="1" applyBorder="1" applyAlignment="1">
      <alignment horizontal="center"/>
    </xf>
    <xf numFmtId="0" fontId="45" fillId="0" borderId="173" xfId="0" applyFont="1" applyBorder="1" applyAlignment="1">
      <alignment vertical="center" wrapText="1"/>
    </xf>
    <xf numFmtId="191" fontId="2" fillId="35" borderId="186" xfId="0" applyNumberFormat="1" applyFont="1" applyFill="1" applyBorder="1" applyAlignment="1">
      <alignment horizontal="right"/>
    </xf>
    <xf numFmtId="191" fontId="2" fillId="35" borderId="187" xfId="0" applyNumberFormat="1" applyFont="1" applyFill="1" applyBorder="1" applyAlignment="1">
      <alignment horizontal="right"/>
    </xf>
    <xf numFmtId="0" fontId="2" fillId="0" borderId="173" xfId="0" applyFont="1" applyBorder="1" applyAlignment="1">
      <alignment horizontal="left" vertical="center" wrapText="1" indent="4"/>
    </xf>
    <xf numFmtId="0" fontId="2" fillId="0" borderId="186" xfId="0" applyFont="1" applyBorder="1" applyAlignment="1" applyProtection="1">
      <alignment horizontal="left" vertical="center" indent="11"/>
      <protection locked="0"/>
    </xf>
    <xf numFmtId="0" fontId="46" fillId="0" borderId="186" xfId="0" applyFont="1" applyBorder="1" applyAlignment="1" applyProtection="1">
      <alignment horizontal="left" vertical="center" indent="17"/>
      <protection locked="0"/>
    </xf>
    <xf numFmtId="0" fontId="86" fillId="0" borderId="186" xfId="0" applyFont="1" applyBorder="1" applyAlignment="1">
      <alignment vertical="center"/>
    </xf>
    <xf numFmtId="0" fontId="45" fillId="0" borderId="186" xfId="0" applyFont="1" applyBorder="1" applyAlignment="1">
      <alignment vertical="center" wrapText="1"/>
    </xf>
    <xf numFmtId="0" fontId="2" fillId="0" borderId="173" xfId="0" applyFont="1" applyBorder="1" applyAlignment="1">
      <alignment horizontal="left" vertical="center" wrapText="1"/>
    </xf>
    <xf numFmtId="191" fontId="91" fillId="35" borderId="186" xfId="0" applyNumberFormat="1" applyFont="1" applyFill="1" applyBorder="1" applyAlignment="1">
      <alignment horizontal="right"/>
    </xf>
    <xf numFmtId="0" fontId="84" fillId="0" borderId="191" xfId="0" applyFont="1" applyBorder="1" applyAlignment="1">
      <alignment horizontal="center"/>
    </xf>
    <xf numFmtId="0" fontId="45" fillId="0" borderId="198" xfId="0" applyFont="1" applyBorder="1" applyAlignment="1">
      <alignment vertical="center" wrapText="1"/>
    </xf>
    <xf numFmtId="191" fontId="91" fillId="0" borderId="185" xfId="0" applyNumberFormat="1" applyFont="1" applyBorder="1" applyAlignment="1">
      <alignment horizontal="right"/>
    </xf>
    <xf numFmtId="191" fontId="2" fillId="35" borderId="185" xfId="0" applyNumberFormat="1" applyFont="1" applyFill="1" applyBorder="1" applyAlignment="1">
      <alignment horizontal="right"/>
    </xf>
    <xf numFmtId="191" fontId="2" fillId="35" borderId="192" xfId="0" applyNumberFormat="1" applyFont="1" applyFill="1" applyBorder="1" applyAlignment="1">
      <alignment horizontal="right"/>
    </xf>
    <xf numFmtId="0" fontId="2" fillId="0" borderId="193" xfId="0" applyFont="1" applyBorder="1"/>
    <xf numFmtId="0" fontId="45" fillId="0" borderId="195" xfId="0" applyFont="1" applyBorder="1" applyAlignment="1">
      <alignment horizontal="center" vertical="center" wrapText="1"/>
    </xf>
    <xf numFmtId="0" fontId="45" fillId="0" borderId="189" xfId="0" applyFont="1" applyBorder="1" applyAlignment="1">
      <alignment horizontal="center" vertical="center" wrapText="1"/>
    </xf>
    <xf numFmtId="0" fontId="2" fillId="0" borderId="196" xfId="0" applyFont="1" applyBorder="1" applyAlignment="1">
      <alignment vertical="center"/>
    </xf>
    <xf numFmtId="0" fontId="84" fillId="0" borderId="187" xfId="0" applyFont="1" applyBorder="1"/>
    <xf numFmtId="0" fontId="2" fillId="0" borderId="168" xfId="0" applyFont="1" applyBorder="1" applyAlignment="1">
      <alignment wrapText="1"/>
    </xf>
    <xf numFmtId="0" fontId="84" fillId="0" borderId="74" xfId="0" applyFont="1" applyBorder="1"/>
    <xf numFmtId="0" fontId="45" fillId="0" borderId="186" xfId="0" applyFont="1" applyBorder="1" applyAlignment="1">
      <alignment horizontal="center" vertical="center" wrapText="1"/>
    </xf>
    <xf numFmtId="0" fontId="45" fillId="0" borderId="187" xfId="0" applyFont="1" applyBorder="1" applyAlignment="1">
      <alignment horizontal="center" vertical="center" wrapText="1"/>
    </xf>
    <xf numFmtId="0" fontId="2" fillId="0" borderId="187" xfId="0" applyFont="1" applyBorder="1"/>
    <xf numFmtId="0" fontId="2" fillId="0" borderId="74" xfId="0" applyFont="1" applyBorder="1"/>
    <xf numFmtId="0" fontId="2" fillId="0" borderId="74" xfId="0" applyFont="1" applyBorder="1" applyAlignment="1">
      <alignment wrapText="1"/>
    </xf>
    <xf numFmtId="10" fontId="3" fillId="0" borderId="187" xfId="20950" applyNumberFormat="1" applyFont="1" applyBorder="1"/>
    <xf numFmtId="0" fontId="2" fillId="0" borderId="191" xfId="0" applyFont="1" applyBorder="1"/>
    <xf numFmtId="0" fontId="2" fillId="0" borderId="199" xfId="0" applyFont="1" applyBorder="1" applyAlignment="1">
      <alignment wrapText="1"/>
    </xf>
    <xf numFmtId="10" fontId="3" fillId="0" borderId="192" xfId="20950" applyNumberFormat="1" applyFont="1" applyBorder="1"/>
    <xf numFmtId="43" fontId="3" fillId="0" borderId="186" xfId="7" applyFont="1" applyFill="1" applyBorder="1" applyAlignment="1">
      <alignment vertical="center" wrapText="1"/>
    </xf>
    <xf numFmtId="43" fontId="3" fillId="0" borderId="186" xfId="7" applyFont="1" applyBorder="1" applyAlignment="1">
      <alignment vertical="center"/>
    </xf>
    <xf numFmtId="43" fontId="3" fillId="0" borderId="187" xfId="7" applyFont="1" applyBorder="1" applyAlignment="1">
      <alignment vertical="center"/>
    </xf>
    <xf numFmtId="167" fontId="4" fillId="35" borderId="185" xfId="0" applyNumberFormat="1" applyFont="1" applyFill="1" applyBorder="1" applyAlignment="1">
      <alignment horizontal="center" vertical="center"/>
    </xf>
    <xf numFmtId="0" fontId="2" fillId="0" borderId="193" xfId="11" applyBorder="1" applyAlignment="1">
      <alignment vertical="center"/>
    </xf>
    <xf numFmtId="0" fontId="2" fillId="0" borderId="195" xfId="11" applyBorder="1" applyAlignment="1">
      <alignment vertical="center"/>
    </xf>
    <xf numFmtId="0" fontId="45" fillId="0" borderId="195" xfId="11" applyFont="1" applyBorder="1" applyAlignment="1">
      <alignment horizontal="center" vertical="center"/>
    </xf>
    <xf numFmtId="0" fontId="45" fillId="0" borderId="189" xfId="11" applyFont="1" applyBorder="1" applyAlignment="1">
      <alignment horizontal="center" vertical="center"/>
    </xf>
    <xf numFmtId="0" fontId="84" fillId="0" borderId="196" xfId="0" applyFont="1" applyBorder="1"/>
    <xf numFmtId="0" fontId="86" fillId="0" borderId="186" xfId="0" applyFont="1" applyBorder="1" applyAlignment="1">
      <alignment horizontal="center" vertical="center" wrapText="1"/>
    </xf>
    <xf numFmtId="0" fontId="86" fillId="0" borderId="187" xfId="0" applyFont="1" applyBorder="1" applyAlignment="1">
      <alignment horizontal="center" vertical="center" wrapText="1"/>
    </xf>
    <xf numFmtId="0" fontId="0" fillId="0" borderId="196" xfId="0" applyBorder="1" applyAlignment="1">
      <alignment horizontal="center"/>
    </xf>
    <xf numFmtId="0" fontId="119" fillId="3" borderId="186" xfId="20954" applyFont="1" applyFill="1" applyBorder="1" applyAlignment="1">
      <alignment horizontal="left" vertical="center" wrapText="1"/>
    </xf>
    <xf numFmtId="0" fontId="120" fillId="0" borderId="186" xfId="20954" applyFont="1" applyBorder="1" applyAlignment="1">
      <alignment horizontal="left" vertical="center" wrapText="1" indent="1"/>
    </xf>
    <xf numFmtId="0" fontId="120" fillId="3" borderId="186" xfId="20954" applyFont="1" applyFill="1" applyBorder="1" applyAlignment="1">
      <alignment horizontal="left" vertical="center" wrapText="1" indent="1"/>
    </xf>
    <xf numFmtId="0" fontId="122" fillId="0" borderId="186" xfId="20954" applyFont="1" applyBorder="1" applyAlignment="1">
      <alignment horizontal="left" vertical="center" wrapText="1" indent="1"/>
    </xf>
    <xf numFmtId="0" fontId="84" fillId="0" borderId="191" xfId="0" applyFont="1" applyBorder="1"/>
    <xf numFmtId="191" fontId="86" fillId="35" borderId="185" xfId="0" applyNumberFormat="1" applyFont="1" applyFill="1" applyBorder="1" applyAlignment="1">
      <alignment horizontal="left" vertical="center" wrapText="1"/>
    </xf>
    <xf numFmtId="167" fontId="4" fillId="35" borderId="192" xfId="0" applyNumberFormat="1" applyFont="1" applyFill="1" applyBorder="1" applyAlignment="1">
      <alignment horizontal="center" vertical="center"/>
    </xf>
    <xf numFmtId="164" fontId="347" fillId="0" borderId="200" xfId="7" applyNumberFormat="1" applyFont="1" applyBorder="1" applyAlignment="1">
      <alignment horizontal="center" vertical="center"/>
    </xf>
    <xf numFmtId="164" fontId="346" fillId="0" borderId="9" xfId="7" applyNumberFormat="1" applyFont="1" applyBorder="1" applyAlignment="1">
      <alignment horizontal="center" vertical="center"/>
    </xf>
    <xf numFmtId="164" fontId="347" fillId="0" borderId="9" xfId="7" applyNumberFormat="1" applyFont="1" applyBorder="1" applyAlignment="1">
      <alignment horizontal="center" vertical="center"/>
    </xf>
    <xf numFmtId="164" fontId="129" fillId="0" borderId="9" xfId="7" applyNumberFormat="1" applyFont="1" applyBorder="1" applyAlignment="1">
      <alignment horizontal="center" vertical="center"/>
    </xf>
    <xf numFmtId="164" fontId="360" fillId="0" borderId="9" xfId="7" applyNumberFormat="1" applyFont="1" applyBorder="1" applyAlignment="1">
      <alignment horizontal="center" vertical="center"/>
    </xf>
    <xf numFmtId="164" fontId="346" fillId="0" borderId="10" xfId="7" applyNumberFormat="1" applyFont="1" applyBorder="1" applyAlignment="1">
      <alignment horizontal="center" vertical="center"/>
    </xf>
    <xf numFmtId="164" fontId="347" fillId="0" borderId="201" xfId="7" applyNumberFormat="1" applyFont="1" applyBorder="1" applyAlignment="1">
      <alignment horizontal="center" vertical="center"/>
    </xf>
    <xf numFmtId="164" fontId="347" fillId="0" borderId="11" xfId="7" applyNumberFormat="1" applyFont="1" applyBorder="1" applyAlignment="1">
      <alignment horizontal="center" vertical="center"/>
    </xf>
    <xf numFmtId="164" fontId="347" fillId="0" borderId="10" xfId="7" applyNumberFormat="1" applyFont="1" applyBorder="1" applyAlignment="1">
      <alignment horizontal="center" vertical="center"/>
    </xf>
    <xf numFmtId="164" fontId="129" fillId="0" borderId="10" xfId="7" applyNumberFormat="1" applyFont="1" applyBorder="1" applyAlignment="1">
      <alignment horizontal="center" vertical="center"/>
    </xf>
    <xf numFmtId="164" fontId="346" fillId="0" borderId="186" xfId="7" applyNumberFormat="1" applyFont="1" applyBorder="1" applyAlignment="1">
      <alignment horizontal="center" vertical="center"/>
    </xf>
    <xf numFmtId="164" fontId="347" fillId="0" borderId="186" xfId="7" applyNumberFormat="1" applyFont="1" applyBorder="1" applyAlignment="1">
      <alignment horizontal="center" vertical="center"/>
    </xf>
    <xf numFmtId="164" fontId="347" fillId="0" borderId="186" xfId="7" applyNumberFormat="1" applyFont="1" applyBorder="1" applyAlignment="1">
      <alignment horizontal="center"/>
    </xf>
    <xf numFmtId="164" fontId="346" fillId="0" borderId="186" xfId="7" applyNumberFormat="1" applyFont="1" applyBorder="1" applyAlignment="1">
      <alignment horizontal="center"/>
    </xf>
    <xf numFmtId="164" fontId="347" fillId="0" borderId="185" xfId="7" applyNumberFormat="1" applyFont="1" applyBorder="1" applyAlignment="1">
      <alignment horizontal="center" vertical="center"/>
    </xf>
    <xf numFmtId="0" fontId="84" fillId="0" borderId="197" xfId="0" applyFont="1" applyBorder="1" applyAlignment="1">
      <alignment horizontal="center" vertical="center" wrapText="1"/>
    </xf>
    <xf numFmtId="0" fontId="86" fillId="0" borderId="194" xfId="0" applyFont="1" applyBorder="1" applyAlignment="1">
      <alignment horizontal="center" vertical="center" wrapText="1"/>
    </xf>
    <xf numFmtId="0" fontId="84" fillId="0" borderId="202" xfId="0" applyFont="1" applyBorder="1" applyAlignment="1">
      <alignment horizontal="center" vertical="center" wrapText="1"/>
    </xf>
    <xf numFmtId="0" fontId="84" fillId="0" borderId="203" xfId="0" applyFont="1" applyBorder="1" applyAlignment="1">
      <alignment horizontal="center" vertical="center" wrapText="1"/>
    </xf>
    <xf numFmtId="167" fontId="84" fillId="0" borderId="204" xfId="0" applyNumberFormat="1" applyFont="1" applyBorder="1" applyAlignment="1">
      <alignment horizontal="center"/>
    </xf>
    <xf numFmtId="167" fontId="86" fillId="0" borderId="205" xfId="0" applyNumberFormat="1" applyFont="1" applyBorder="1" applyAlignment="1">
      <alignment horizontal="center"/>
    </xf>
    <xf numFmtId="0" fontId="123" fillId="0" borderId="186" xfId="20954" applyFont="1" applyBorder="1" applyAlignment="1">
      <alignment horizontal="center" vertical="center" wrapText="1"/>
    </xf>
    <xf numFmtId="0" fontId="120" fillId="3" borderId="186" xfId="0" applyFont="1" applyFill="1" applyBorder="1" applyAlignment="1">
      <alignment horizontal="left" vertical="center" wrapText="1" indent="1"/>
    </xf>
    <xf numFmtId="167" fontId="84" fillId="0" borderId="187" xfId="0" applyNumberFormat="1" applyFont="1" applyBorder="1" applyAlignment="1">
      <alignment horizontal="center"/>
    </xf>
    <xf numFmtId="167" fontId="86" fillId="0" borderId="187" xfId="0" applyNumberFormat="1" applyFont="1" applyBorder="1" applyAlignment="1">
      <alignment horizontal="center"/>
    </xf>
    <xf numFmtId="0" fontId="121" fillId="0" borderId="186" xfId="20954" applyFont="1" applyBorder="1" applyAlignment="1">
      <alignment horizontal="left" vertical="center" wrapText="1"/>
    </xf>
    <xf numFmtId="0" fontId="121" fillId="3" borderId="186" xfId="0" applyFont="1" applyFill="1" applyBorder="1" applyAlignment="1">
      <alignment horizontal="left" vertical="center" wrapText="1"/>
    </xf>
    <xf numFmtId="0" fontId="121" fillId="3" borderId="186" xfId="20954" applyFont="1" applyFill="1" applyBorder="1" applyAlignment="1">
      <alignment horizontal="left" vertical="center" wrapText="1"/>
    </xf>
    <xf numFmtId="0" fontId="122" fillId="3" borderId="186" xfId="0" applyFont="1" applyFill="1" applyBorder="1" applyAlignment="1">
      <alignment horizontal="left" vertical="center" wrapText="1" indent="1"/>
    </xf>
    <xf numFmtId="0" fontId="124" fillId="0" borderId="186" xfId="0" applyFont="1" applyBorder="1" applyAlignment="1">
      <alignment horizontal="justify"/>
    </xf>
    <xf numFmtId="0" fontId="0" fillId="0" borderId="191" xfId="0" applyBorder="1" applyAlignment="1">
      <alignment horizontal="center"/>
    </xf>
    <xf numFmtId="0" fontId="121" fillId="0" borderId="185" xfId="0" applyFont="1" applyBorder="1" applyAlignment="1">
      <alignment horizontal="left" vertical="center" wrapText="1"/>
    </xf>
    <xf numFmtId="0" fontId="84" fillId="0" borderId="192" xfId="0" applyFont="1" applyBorder="1"/>
    <xf numFmtId="191" fontId="3" fillId="0" borderId="186" xfId="0" applyNumberFormat="1" applyFont="1" applyBorder="1"/>
    <xf numFmtId="191" fontId="3" fillId="0" borderId="168" xfId="0" applyNumberFormat="1" applyFont="1" applyBorder="1"/>
    <xf numFmtId="191" fontId="3" fillId="0" borderId="196" xfId="0" applyNumberFormat="1" applyFont="1" applyBorder="1"/>
    <xf numFmtId="191" fontId="3" fillId="0" borderId="187" xfId="0" applyNumberFormat="1" applyFont="1" applyBorder="1"/>
    <xf numFmtId="191" fontId="3" fillId="0" borderId="74" xfId="0" applyNumberFormat="1" applyFont="1" applyBorder="1" applyAlignment="1">
      <alignment wrapText="1"/>
    </xf>
    <xf numFmtId="191" fontId="3" fillId="0" borderId="74" xfId="0" applyNumberFormat="1" applyFont="1" applyBorder="1"/>
    <xf numFmtId="164" fontId="9" fillId="36" borderId="0" xfId="7" applyNumberFormat="1" applyFont="1" applyFill="1" applyBorder="1"/>
    <xf numFmtId="164" fontId="3" fillId="3" borderId="174" xfId="7" applyNumberFormat="1" applyFont="1" applyFill="1" applyBorder="1" applyAlignment="1">
      <alignment vertical="center"/>
    </xf>
    <xf numFmtId="164" fontId="3" fillId="0" borderId="186" xfId="7" applyNumberFormat="1" applyFont="1" applyBorder="1" applyAlignment="1">
      <alignment vertical="center"/>
    </xf>
    <xf numFmtId="164" fontId="3" fillId="0" borderId="168" xfId="7" applyNumberFormat="1" applyFont="1" applyBorder="1" applyAlignment="1">
      <alignment vertical="center"/>
    </xf>
    <xf numFmtId="164" fontId="3" fillId="0" borderId="187" xfId="7" applyNumberFormat="1" applyFont="1" applyBorder="1" applyAlignment="1">
      <alignment vertical="center"/>
    </xf>
    <xf numFmtId="164" fontId="3" fillId="76" borderId="187" xfId="7" applyNumberFormat="1" applyFont="1" applyFill="1" applyBorder="1" applyAlignment="1">
      <alignment vertical="center"/>
    </xf>
    <xf numFmtId="0" fontId="96" fillId="3" borderId="170" xfId="0" applyFont="1" applyFill="1" applyBorder="1" applyAlignment="1">
      <alignment horizontal="left"/>
    </xf>
    <xf numFmtId="0" fontId="4" fillId="3" borderId="209" xfId="0" applyFont="1" applyFill="1" applyBorder="1" applyAlignment="1">
      <alignment vertical="center"/>
    </xf>
    <xf numFmtId="0" fontId="3" fillId="3" borderId="174" xfId="0" applyFont="1" applyFill="1" applyBorder="1" applyAlignment="1">
      <alignment vertical="center"/>
    </xf>
    <xf numFmtId="0" fontId="3" fillId="0" borderId="196" xfId="0" applyFont="1" applyBorder="1" applyAlignment="1">
      <alignment horizontal="center" vertical="center"/>
    </xf>
    <xf numFmtId="0" fontId="3" fillId="0" borderId="186" xfId="0" applyFont="1" applyBorder="1" applyAlignment="1">
      <alignment vertical="center"/>
    </xf>
    <xf numFmtId="0" fontId="4" fillId="0" borderId="186" xfId="0" applyFont="1" applyBorder="1" applyAlignment="1">
      <alignment vertical="center"/>
    </xf>
    <xf numFmtId="0" fontId="3" fillId="0" borderId="191" xfId="0" applyFont="1" applyBorder="1" applyAlignment="1">
      <alignment horizontal="center" vertical="center"/>
    </xf>
    <xf numFmtId="0" fontId="4" fillId="0" borderId="185" xfId="0" applyFont="1" applyBorder="1" applyAlignment="1">
      <alignment vertical="center"/>
    </xf>
    <xf numFmtId="164" fontId="3" fillId="76" borderId="192" xfId="7" applyNumberFormat="1" applyFont="1" applyFill="1" applyBorder="1" applyAlignment="1">
      <alignment vertical="center"/>
    </xf>
    <xf numFmtId="0" fontId="3" fillId="3" borderId="0" xfId="0" applyFont="1" applyFill="1" applyAlignment="1">
      <alignment vertical="center"/>
    </xf>
    <xf numFmtId="0" fontId="3" fillId="0" borderId="193" xfId="0" applyFont="1" applyBorder="1" applyAlignment="1">
      <alignment horizontal="center" vertical="center"/>
    </xf>
    <xf numFmtId="0" fontId="3" fillId="0" borderId="195" xfId="0" applyFont="1" applyBorder="1" applyAlignment="1">
      <alignment vertical="center"/>
    </xf>
    <xf numFmtId="169" fontId="9" fillId="36" borderId="207" xfId="20" applyBorder="1"/>
    <xf numFmtId="0" fontId="3" fillId="0" borderId="179" xfId="0" applyFont="1" applyBorder="1" applyAlignment="1">
      <alignment vertical="center"/>
    </xf>
    <xf numFmtId="169" fontId="9" fillId="36" borderId="199" xfId="20" applyBorder="1"/>
    <xf numFmtId="169" fontId="9" fillId="36" borderId="210" xfId="20" applyBorder="1"/>
    <xf numFmtId="169" fontId="9" fillId="36" borderId="198" xfId="20" applyBorder="1"/>
    <xf numFmtId="0" fontId="3" fillId="0" borderId="211" xfId="0" applyFont="1" applyBorder="1" applyAlignment="1">
      <alignment horizontal="center" vertical="center"/>
    </xf>
    <xf numFmtId="0" fontId="3" fillId="0" borderId="212" xfId="0" applyFont="1" applyBorder="1" applyAlignment="1">
      <alignment vertical="center"/>
    </xf>
    <xf numFmtId="169" fontId="9" fillId="36" borderId="213" xfId="20" applyBorder="1"/>
    <xf numFmtId="165" fontId="3" fillId="0" borderId="214" xfId="20950" applyNumberFormat="1" applyFont="1" applyBorder="1" applyAlignment="1">
      <alignment vertical="center"/>
    </xf>
    <xf numFmtId="164" fontId="3" fillId="0" borderId="186" xfId="7" applyNumberFormat="1" applyFont="1" applyBorder="1"/>
    <xf numFmtId="164" fontId="3" fillId="0" borderId="187" xfId="7" applyNumberFormat="1" applyFont="1" applyBorder="1"/>
    <xf numFmtId="169" fontId="9" fillId="36" borderId="186" xfId="20" applyBorder="1"/>
    <xf numFmtId="164" fontId="3" fillId="0" borderId="186" xfId="7" applyNumberFormat="1" applyFont="1" applyFill="1" applyBorder="1" applyAlignment="1">
      <alignment vertical="center"/>
    </xf>
    <xf numFmtId="164" fontId="4" fillId="0" borderId="187" xfId="7" applyNumberFormat="1" applyFont="1" applyBorder="1"/>
    <xf numFmtId="164" fontId="3" fillId="0" borderId="186" xfId="7" applyNumberFormat="1" applyFont="1" applyFill="1" applyBorder="1"/>
    <xf numFmtId="164" fontId="110" fillId="0" borderId="186" xfId="7" applyNumberFormat="1" applyFont="1" applyBorder="1"/>
    <xf numFmtId="164" fontId="111" fillId="0" borderId="186" xfId="7" applyNumberFormat="1" applyFont="1" applyBorder="1"/>
    <xf numFmtId="164" fontId="108" fillId="0" borderId="186" xfId="7" applyNumberFormat="1" applyFont="1" applyBorder="1"/>
    <xf numFmtId="164" fontId="107" fillId="0" borderId="186" xfId="7" applyNumberFormat="1" applyFont="1" applyBorder="1"/>
    <xf numFmtId="164" fontId="110" fillId="0" borderId="186" xfId="7" applyNumberFormat="1" applyFont="1" applyFill="1" applyBorder="1"/>
    <xf numFmtId="43" fontId="110" fillId="0" borderId="186" xfId="7" applyFont="1" applyFill="1" applyBorder="1" applyAlignment="1">
      <alignment vertical="center"/>
    </xf>
    <xf numFmtId="43" fontId="110" fillId="0" borderId="186" xfId="7" applyFont="1" applyBorder="1" applyAlignment="1">
      <alignment vertical="center"/>
    </xf>
    <xf numFmtId="43" fontId="107" fillId="0" borderId="186" xfId="7" applyFont="1" applyBorder="1" applyAlignment="1">
      <alignment horizontal="left" vertical="top"/>
    </xf>
    <xf numFmtId="43" fontId="107" fillId="0" borderId="186" xfId="7" applyFont="1" applyFill="1" applyBorder="1" applyAlignment="1">
      <alignment horizontal="left" vertical="top"/>
    </xf>
    <xf numFmtId="43" fontId="110" fillId="0" borderId="186" xfId="7" applyFont="1" applyFill="1" applyBorder="1" applyAlignment="1">
      <alignment horizontal="left" vertical="top"/>
    </xf>
    <xf numFmtId="43" fontId="110" fillId="0" borderId="186" xfId="7" applyFont="1" applyBorder="1" applyAlignment="1">
      <alignment horizontal="left" vertical="top"/>
    </xf>
    <xf numFmtId="43" fontId="107" fillId="0" borderId="186" xfId="7" applyFont="1" applyFill="1" applyBorder="1" applyAlignment="1">
      <alignment horizontal="left" vertical="center"/>
    </xf>
    <xf numFmtId="43" fontId="107" fillId="0" borderId="186" xfId="7" applyFont="1" applyFill="1" applyBorder="1" applyAlignment="1">
      <alignment vertical="center"/>
    </xf>
    <xf numFmtId="43" fontId="107" fillId="0" borderId="186" xfId="7" applyFont="1" applyBorder="1" applyAlignment="1">
      <alignment vertical="center"/>
    </xf>
    <xf numFmtId="0" fontId="107" fillId="0" borderId="186" xfId="0" applyFont="1" applyBorder="1" applyAlignment="1">
      <alignment vertical="center"/>
    </xf>
    <xf numFmtId="0" fontId="107" fillId="0" borderId="186" xfId="0" applyFont="1" applyBorder="1" applyAlignment="1">
      <alignment horizontal="left" vertical="center"/>
    </xf>
    <xf numFmtId="43" fontId="110" fillId="151" borderId="186" xfId="7" applyFont="1" applyFill="1" applyBorder="1" applyAlignment="1">
      <alignment vertical="center"/>
    </xf>
    <xf numFmtId="43" fontId="110" fillId="0" borderId="59" xfId="7" applyFont="1" applyBorder="1" applyAlignment="1">
      <alignment vertical="center"/>
    </xf>
    <xf numFmtId="43" fontId="107" fillId="0" borderId="187" xfId="7" applyFont="1" applyBorder="1" applyAlignment="1">
      <alignment vertical="center"/>
    </xf>
    <xf numFmtId="43" fontId="107" fillId="0" borderId="196" xfId="7" applyFont="1" applyBorder="1" applyAlignment="1">
      <alignment horizontal="left" vertical="center"/>
    </xf>
    <xf numFmtId="43" fontId="107" fillId="0" borderId="196" xfId="7" applyFont="1" applyFill="1" applyBorder="1" applyAlignment="1">
      <alignment horizontal="left" vertical="center"/>
    </xf>
    <xf numFmtId="43" fontId="107" fillId="78" borderId="196" xfId="7" applyFont="1" applyFill="1" applyBorder="1" applyAlignment="1">
      <alignment vertical="center"/>
    </xf>
    <xf numFmtId="43" fontId="107" fillId="78" borderId="186" xfId="7" applyFont="1" applyFill="1" applyBorder="1" applyAlignment="1">
      <alignment vertical="center"/>
    </xf>
    <xf numFmtId="43" fontId="107" fillId="78" borderId="187" xfId="7" applyFont="1" applyFill="1" applyBorder="1" applyAlignment="1">
      <alignment vertical="center"/>
    </xf>
    <xf numFmtId="43" fontId="107" fillId="0" borderId="196" xfId="7" applyFont="1" applyBorder="1" applyAlignment="1">
      <alignment horizontal="left" vertical="center" wrapText="1"/>
    </xf>
    <xf numFmtId="43" fontId="107" fillId="0" borderId="191" xfId="7" applyFont="1" applyBorder="1" applyAlignment="1">
      <alignment horizontal="left" vertical="center" wrapText="1"/>
    </xf>
    <xf numFmtId="43" fontId="107" fillId="0" borderId="185" xfId="7" applyFont="1" applyBorder="1" applyAlignment="1">
      <alignment vertical="center"/>
    </xf>
    <xf numFmtId="43" fontId="107" fillId="0" borderId="192" xfId="7" applyFont="1" applyBorder="1" applyAlignment="1">
      <alignment vertical="center"/>
    </xf>
    <xf numFmtId="43" fontId="107" fillId="0" borderId="186" xfId="7" applyFont="1" applyBorder="1" applyAlignment="1">
      <alignment horizontal="left" vertical="center" wrapText="1"/>
    </xf>
    <xf numFmtId="43" fontId="107" fillId="0" borderId="186" xfId="7" applyFont="1" applyBorder="1"/>
    <xf numFmtId="43" fontId="107" fillId="0" borderId="186" xfId="7" applyFont="1" applyFill="1" applyBorder="1"/>
    <xf numFmtId="43" fontId="107" fillId="0" borderId="186" xfId="7" applyFont="1" applyFill="1" applyBorder="1" applyAlignment="1">
      <alignment horizontal="left" vertical="center" wrapText="1"/>
    </xf>
    <xf numFmtId="43" fontId="107" fillId="0" borderId="186" xfId="7" applyFont="1" applyFill="1" applyBorder="1" applyAlignment="1">
      <alignment horizontal="center" vertical="center" wrapText="1"/>
    </xf>
    <xf numFmtId="43" fontId="107" fillId="0" borderId="186" xfId="7" applyFont="1" applyBorder="1" applyAlignment="1">
      <alignment horizontal="center" vertical="center" wrapText="1"/>
    </xf>
    <xf numFmtId="43" fontId="107" fillId="0" borderId="186" xfId="7" applyFont="1" applyBorder="1" applyAlignment="1">
      <alignment horizontal="center" vertical="center"/>
    </xf>
    <xf numFmtId="43" fontId="107" fillId="0" borderId="186" xfId="7" applyFont="1" applyFill="1" applyBorder="1" applyAlignment="1">
      <alignment horizontal="center" vertical="center"/>
    </xf>
    <xf numFmtId="43" fontId="110" fillId="0" borderId="186" xfId="7" applyFont="1" applyBorder="1" applyAlignment="1">
      <alignment horizontal="left" vertical="center" wrapText="1"/>
    </xf>
    <xf numFmtId="43" fontId="112" fillId="0" borderId="186" xfId="7" applyFont="1" applyBorder="1" applyAlignment="1">
      <alignment vertical="center"/>
    </xf>
    <xf numFmtId="0" fontId="112" fillId="0" borderId="186" xfId="0" applyFont="1" applyBorder="1" applyAlignment="1">
      <alignment vertical="center"/>
    </xf>
    <xf numFmtId="9" fontId="112" fillId="0" borderId="186" xfId="20950" applyFont="1" applyBorder="1" applyAlignment="1">
      <alignment vertical="center"/>
    </xf>
    <xf numFmtId="1" fontId="0" fillId="0" borderId="0" xfId="0" applyNumberFormat="1" applyAlignment="1">
      <alignment vertical="center"/>
    </xf>
    <xf numFmtId="304" fontId="112" fillId="0" borderId="186" xfId="0" applyNumberFormat="1" applyFont="1" applyBorder="1" applyAlignment="1">
      <alignment vertical="center"/>
    </xf>
    <xf numFmtId="0" fontId="113" fillId="0" borderId="89" xfId="0" applyFont="1" applyBorder="1" applyAlignment="1">
      <alignment horizontal="center" vertical="center"/>
    </xf>
    <xf numFmtId="0" fontId="113" fillId="0" borderId="91" xfId="0" applyFont="1" applyBorder="1" applyAlignment="1">
      <alignment horizontal="center" vertical="center"/>
    </xf>
    <xf numFmtId="0" fontId="113" fillId="0" borderId="75" xfId="0" applyFont="1" applyBorder="1" applyAlignment="1">
      <alignment horizontal="center" vertical="center"/>
    </xf>
    <xf numFmtId="0" fontId="113" fillId="0" borderId="67" xfId="0" applyFont="1" applyBorder="1" applyAlignment="1">
      <alignment horizontal="center" vertical="center"/>
    </xf>
    <xf numFmtId="0" fontId="112" fillId="0" borderId="106" xfId="0" applyFont="1" applyBorder="1" applyAlignment="1">
      <alignment horizontal="center" vertical="center" wrapText="1"/>
    </xf>
    <xf numFmtId="0" fontId="112" fillId="0" borderId="110" xfId="0" applyFont="1" applyBorder="1" applyAlignment="1">
      <alignment horizontal="center" vertical="center" wrapText="1"/>
    </xf>
    <xf numFmtId="0" fontId="90" fillId="0" borderId="58" xfId="0" applyFont="1" applyBorder="1" applyAlignment="1">
      <alignment horizontal="left" wrapText="1"/>
    </xf>
    <xf numFmtId="0" fontId="90" fillId="0" borderId="57" xfId="0" applyFont="1" applyBorder="1" applyAlignment="1">
      <alignment horizontal="left" wrapText="1"/>
    </xf>
    <xf numFmtId="0" fontId="90" fillId="0" borderId="112" xfId="0" applyFont="1" applyBorder="1" applyAlignment="1">
      <alignment horizontal="center" vertical="center"/>
    </xf>
    <xf numFmtId="0" fontId="90" fillId="0" borderId="26" xfId="0" applyFont="1" applyBorder="1" applyAlignment="1">
      <alignment horizontal="center" vertical="center"/>
    </xf>
    <xf numFmtId="0" fontId="90" fillId="0" borderId="113" xfId="0" applyFont="1" applyBorder="1" applyAlignment="1">
      <alignment horizontal="center" vertical="center"/>
    </xf>
    <xf numFmtId="164" fontId="346" fillId="0" borderId="168" xfId="7" applyNumberFormat="1" applyFont="1" applyBorder="1" applyAlignment="1">
      <alignment horizontal="center"/>
    </xf>
    <xf numFmtId="164" fontId="346" fillId="0" borderId="174" xfId="7" applyNumberFormat="1" applyFont="1" applyBorder="1" applyAlignment="1">
      <alignment horizontal="center"/>
    </xf>
    <xf numFmtId="164" fontId="346" fillId="0" borderId="74" xfId="7" applyNumberFormat="1" applyFont="1" applyBorder="1" applyAlignment="1">
      <alignment horizontal="center"/>
    </xf>
    <xf numFmtId="0" fontId="346" fillId="0" borderId="193" xfId="0" applyFont="1" applyBorder="1" applyAlignment="1">
      <alignment horizontal="center" vertical="center"/>
    </xf>
    <xf numFmtId="0" fontId="346" fillId="0" borderId="196" xfId="0" applyFont="1" applyBorder="1" applyAlignment="1">
      <alignment horizontal="center" vertical="center"/>
    </xf>
    <xf numFmtId="0" fontId="347" fillId="0" borderId="194" xfId="0" applyFont="1" applyBorder="1" applyAlignment="1">
      <alignment horizontal="center" vertical="center"/>
    </xf>
    <xf numFmtId="0" fontId="347" fillId="0" borderId="5" xfId="0" applyFont="1" applyBorder="1" applyAlignment="1">
      <alignment horizontal="center" vertical="center"/>
    </xf>
    <xf numFmtId="0" fontId="117" fillId="0" borderId="195" xfId="0" applyFont="1" applyBorder="1" applyAlignment="1">
      <alignment horizontal="center" vertical="center"/>
    </xf>
    <xf numFmtId="0" fontId="117" fillId="0" borderId="189" xfId="0" applyFont="1" applyBorder="1" applyAlignment="1">
      <alignment horizontal="center" vertical="center"/>
    </xf>
    <xf numFmtId="0" fontId="346" fillId="0" borderId="168" xfId="0" applyFont="1" applyBorder="1" applyAlignment="1">
      <alignment horizontal="center"/>
    </xf>
    <xf numFmtId="0" fontId="346" fillId="0" borderId="174" xfId="0" applyFont="1" applyBorder="1" applyAlignment="1">
      <alignment horizontal="center"/>
    </xf>
    <xf numFmtId="0" fontId="346" fillId="0" borderId="74" xfId="0" applyFont="1" applyBorder="1" applyAlignment="1">
      <alignment horizontal="center"/>
    </xf>
    <xf numFmtId="0" fontId="0" fillId="0" borderId="197" xfId="0" applyBorder="1" applyAlignment="1">
      <alignment horizontal="center" vertical="center"/>
    </xf>
    <xf numFmtId="0" fontId="0" fillId="0" borderId="59" xfId="0" applyBorder="1" applyAlignment="1">
      <alignment horizontal="center" vertical="center"/>
    </xf>
    <xf numFmtId="0" fontId="116" fillId="0" borderId="194" xfId="0" applyFont="1" applyBorder="1" applyAlignment="1">
      <alignment horizontal="center" vertical="center" wrapText="1"/>
    </xf>
    <xf numFmtId="0" fontId="116" fillId="0" borderId="5" xfId="0" applyFont="1" applyBorder="1" applyAlignment="1">
      <alignment horizontal="center" vertical="center" wrapText="1"/>
    </xf>
    <xf numFmtId="0" fontId="84" fillId="0" borderId="193" xfId="0" applyFont="1" applyBorder="1" applyAlignment="1">
      <alignment horizontal="center" vertical="center"/>
    </xf>
    <xf numFmtId="0" fontId="84" fillId="0" borderId="196" xfId="0" applyFont="1" applyBorder="1" applyAlignment="1">
      <alignment horizontal="center" vertical="center"/>
    </xf>
    <xf numFmtId="0" fontId="84" fillId="0" borderId="195" xfId="0" applyFont="1" applyBorder="1" applyAlignment="1">
      <alignment horizontal="center" vertical="center" wrapText="1"/>
    </xf>
    <xf numFmtId="0" fontId="84" fillId="0" borderId="186" xfId="0" applyFont="1" applyBorder="1" applyAlignment="1">
      <alignment horizontal="center" vertical="center" wrapText="1"/>
    </xf>
    <xf numFmtId="0" fontId="45" fillId="0" borderId="195" xfId="0" applyFont="1" applyBorder="1" applyAlignment="1">
      <alignment horizontal="center" vertical="center"/>
    </xf>
    <xf numFmtId="0" fontId="45" fillId="0" borderId="189" xfId="0" applyFont="1" applyBorder="1" applyAlignment="1">
      <alignment horizontal="center" vertical="center"/>
    </xf>
    <xf numFmtId="0" fontId="45" fillId="0" borderId="186" xfId="0" applyFont="1" applyBorder="1" applyAlignment="1">
      <alignment horizontal="center" vertical="center" wrapText="1"/>
    </xf>
    <xf numFmtId="0" fontId="45" fillId="0" borderId="187" xfId="0" applyFont="1" applyBorder="1" applyAlignment="1">
      <alignment horizontal="center" vertical="center" wrapText="1"/>
    </xf>
    <xf numFmtId="0" fontId="86" fillId="0" borderId="186" xfId="0" applyFont="1" applyBorder="1" applyAlignment="1">
      <alignment horizontal="center" vertical="center" wrapText="1"/>
    </xf>
    <xf numFmtId="0" fontId="45" fillId="0" borderId="186" xfId="11" applyFont="1" applyBorder="1" applyAlignment="1">
      <alignment horizontal="center" vertical="center" wrapText="1"/>
    </xf>
    <xf numFmtId="0" fontId="45" fillId="0" borderId="187" xfId="11" applyFont="1" applyBorder="1" applyAlignment="1">
      <alignment horizontal="center" vertical="center" wrapText="1"/>
    </xf>
    <xf numFmtId="0" fontId="45" fillId="0" borderId="62" xfId="11" applyFont="1" applyBorder="1" applyAlignment="1">
      <alignment horizontal="center" vertical="center" wrapText="1"/>
    </xf>
    <xf numFmtId="0" fontId="45" fillId="0" borderId="0" xfId="11" applyFont="1" applyAlignment="1">
      <alignment horizontal="center" vertical="center" wrapText="1"/>
    </xf>
    <xf numFmtId="0" fontId="3" fillId="84" borderId="5" xfId="0" applyFont="1" applyFill="1" applyBorder="1" applyAlignment="1">
      <alignment horizontal="center" vertical="center" wrapText="1"/>
    </xf>
    <xf numFmtId="0" fontId="3" fillId="84" borderId="106" xfId="0" applyFont="1" applyFill="1" applyBorder="1" applyAlignment="1">
      <alignment horizontal="center" vertical="center" wrapText="1"/>
    </xf>
    <xf numFmtId="0" fontId="3" fillId="84" borderId="5" xfId="11" applyFont="1" applyFill="1" applyBorder="1" applyAlignment="1">
      <alignment horizontal="center" vertical="top"/>
    </xf>
    <xf numFmtId="0" fontId="4" fillId="83" borderId="56" xfId="0" applyFont="1" applyFill="1" applyBorder="1" applyAlignment="1">
      <alignment horizontal="center" vertical="center" wrapText="1"/>
    </xf>
    <xf numFmtId="0" fontId="4" fillId="83" borderId="72" xfId="0" applyFont="1" applyFill="1" applyBorder="1" applyAlignment="1">
      <alignment horizontal="center" vertical="center" wrapText="1"/>
    </xf>
    <xf numFmtId="9" fontId="3" fillId="0" borderId="6" xfId="0" applyNumberFormat="1" applyFont="1" applyBorder="1" applyAlignment="1">
      <alignment horizontal="center" vertical="center"/>
    </xf>
    <xf numFmtId="9" fontId="3" fillId="0" borderId="8" xfId="0" applyNumberFormat="1" applyFont="1" applyBorder="1" applyAlignment="1">
      <alignment horizontal="center" vertical="center"/>
    </xf>
    <xf numFmtId="0" fontId="95" fillId="3" borderId="63" xfId="13" applyFont="1" applyFill="1" applyBorder="1" applyAlignment="1" applyProtection="1">
      <alignment horizontal="center" vertical="center" wrapText="1"/>
      <protection locked="0"/>
    </xf>
    <xf numFmtId="0" fontId="95" fillId="3" borderId="56"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164" fontId="45" fillId="3" borderId="61" xfId="1" applyNumberFormat="1" applyFont="1" applyFill="1" applyBorder="1" applyAlignment="1" applyProtection="1">
      <alignment horizontal="center"/>
      <protection locked="0"/>
    </xf>
    <xf numFmtId="164" fontId="45" fillId="3" borderId="23" xfId="1" applyNumberFormat="1" applyFont="1" applyFill="1" applyBorder="1" applyAlignment="1" applyProtection="1">
      <alignment horizontal="center"/>
      <protection locked="0"/>
    </xf>
    <xf numFmtId="164" fontId="45" fillId="3" borderId="24" xfId="1" applyNumberFormat="1" applyFont="1" applyFill="1" applyBorder="1" applyAlignment="1" applyProtection="1">
      <alignment horizontal="center"/>
      <protection locked="0"/>
    </xf>
    <xf numFmtId="164" fontId="45" fillId="0" borderId="12" xfId="1" applyNumberFormat="1" applyFont="1" applyFill="1" applyBorder="1" applyAlignment="1" applyProtection="1">
      <alignment horizontal="center"/>
      <protection locked="0"/>
    </xf>
    <xf numFmtId="164" fontId="45" fillId="0" borderId="13"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0" fontId="86" fillId="0" borderId="46" xfId="0" applyFont="1" applyBorder="1" applyAlignment="1">
      <alignment horizontal="center" vertical="center" wrapText="1"/>
    </xf>
    <xf numFmtId="0" fontId="86" fillId="0" borderId="47" xfId="0" applyFont="1" applyBorder="1" applyAlignment="1">
      <alignment horizontal="center" vertical="center" wrapText="1"/>
    </xf>
    <xf numFmtId="164" fontId="45" fillId="0" borderId="64" xfId="1" applyNumberFormat="1" applyFont="1" applyFill="1" applyBorder="1" applyAlignment="1" applyProtection="1">
      <alignment horizontal="center" vertical="center" wrapText="1"/>
      <protection locked="0"/>
    </xf>
    <xf numFmtId="164" fontId="45" fillId="0" borderId="65" xfId="1" applyNumberFormat="1" applyFont="1" applyFill="1" applyBorder="1" applyAlignment="1" applyProtection="1">
      <alignment horizontal="center" vertical="center" wrapText="1"/>
      <protection locked="0"/>
    </xf>
    <xf numFmtId="0" fontId="3" fillId="0" borderId="63" xfId="0" applyFont="1" applyBorder="1" applyAlignment="1">
      <alignment horizontal="center" vertical="center" wrapText="1"/>
    </xf>
    <xf numFmtId="0" fontId="3" fillId="0" borderId="56" xfId="0" applyFont="1" applyBorder="1" applyAlignment="1">
      <alignment horizontal="center" vertical="center" wrapText="1"/>
    </xf>
    <xf numFmtId="0" fontId="86" fillId="0" borderId="66" xfId="0" applyFont="1" applyBorder="1" applyAlignment="1">
      <alignment horizontal="center"/>
    </xf>
    <xf numFmtId="0" fontId="86" fillId="0" borderId="67" xfId="0" applyFont="1" applyBorder="1" applyAlignment="1">
      <alignment horizontal="center"/>
    </xf>
    <xf numFmtId="0" fontId="3" fillId="0" borderId="6" xfId="0" applyFont="1" applyBorder="1" applyAlignment="1">
      <alignment horizontal="center" wrapText="1"/>
    </xf>
    <xf numFmtId="0" fontId="3" fillId="0" borderId="8" xfId="0" applyFont="1" applyBorder="1" applyAlignment="1">
      <alignment horizontal="center" wrapText="1"/>
    </xf>
    <xf numFmtId="0" fontId="96" fillId="0" borderId="206" xfId="0" applyFont="1" applyBorder="1" applyAlignment="1">
      <alignment horizontal="left" vertical="center"/>
    </xf>
    <xf numFmtId="0" fontId="96" fillId="0" borderId="207" xfId="0" applyFont="1" applyBorder="1" applyAlignment="1">
      <alignment horizontal="left" vertical="center"/>
    </xf>
    <xf numFmtId="0" fontId="3" fillId="0" borderId="207" xfId="0" applyFont="1" applyBorder="1" applyAlignment="1">
      <alignment horizontal="center" vertical="center" wrapText="1"/>
    </xf>
    <xf numFmtId="0" fontId="3" fillId="0" borderId="208" xfId="0" applyFont="1" applyBorder="1" applyAlignment="1">
      <alignment horizontal="center" vertical="center" wrapText="1"/>
    </xf>
    <xf numFmtId="0" fontId="3" fillId="0" borderId="202" xfId="0" applyFont="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vertical="center" wrapText="1"/>
    </xf>
    <xf numFmtId="0" fontId="3" fillId="0" borderId="72" xfId="0" applyFont="1" applyBorder="1" applyAlignment="1">
      <alignment horizontal="center" vertical="center" wrapText="1"/>
    </xf>
    <xf numFmtId="0" fontId="110" fillId="0" borderId="87" xfId="0" applyFont="1" applyBorder="1" applyAlignment="1">
      <alignment horizontal="left" vertical="center" wrapText="1"/>
    </xf>
    <xf numFmtId="0" fontId="110" fillId="0" borderId="88" xfId="0" applyFont="1" applyBorder="1" applyAlignment="1">
      <alignment horizontal="left" vertical="center" wrapText="1"/>
    </xf>
    <xf numFmtId="0" fontId="110" fillId="0" borderId="92" xfId="0" applyFont="1" applyBorder="1" applyAlignment="1">
      <alignment horizontal="left" vertical="center" wrapText="1"/>
    </xf>
    <xf numFmtId="0" fontId="110" fillId="0" borderId="93" xfId="0" applyFont="1" applyBorder="1" applyAlignment="1">
      <alignment horizontal="left" vertical="center" wrapText="1"/>
    </xf>
    <xf numFmtId="0" fontId="110" fillId="0" borderId="95" xfId="0" applyFont="1" applyBorder="1" applyAlignment="1">
      <alignment horizontal="left" vertical="center" wrapText="1"/>
    </xf>
    <xf numFmtId="0" fontId="110" fillId="0" borderId="96" xfId="0" applyFont="1" applyBorder="1" applyAlignment="1">
      <alignment horizontal="left" vertical="center" wrapText="1"/>
    </xf>
    <xf numFmtId="0" fontId="111" fillId="0" borderId="89" xfId="0" applyFont="1" applyBorder="1" applyAlignment="1">
      <alignment horizontal="center" vertical="center" wrapText="1"/>
    </xf>
    <xf numFmtId="0" fontId="111" fillId="0" borderId="90" xfId="0" applyFont="1" applyBorder="1" applyAlignment="1">
      <alignment horizontal="center" vertical="center" wrapText="1"/>
    </xf>
    <xf numFmtId="0" fontId="111" fillId="0" borderId="91" xfId="0" applyFont="1" applyBorder="1" applyAlignment="1">
      <alignment horizontal="center" vertical="center" wrapText="1"/>
    </xf>
    <xf numFmtId="0" fontId="111" fillId="0" borderId="75" xfId="0" applyFont="1" applyBorder="1" applyAlignment="1">
      <alignment horizontal="center" vertical="center" wrapText="1"/>
    </xf>
    <xf numFmtId="0" fontId="111" fillId="0" borderId="94" xfId="0" applyFont="1" applyBorder="1" applyAlignment="1">
      <alignment horizontal="center" vertical="center" wrapText="1"/>
    </xf>
    <xf numFmtId="0" fontId="111" fillId="0" borderId="67" xfId="0" applyFont="1" applyBorder="1" applyAlignment="1">
      <alignment horizontal="center" vertical="center" wrapText="1"/>
    </xf>
    <xf numFmtId="0" fontId="107" fillId="0" borderId="110" xfId="0" applyFont="1" applyBorder="1" applyAlignment="1">
      <alignment horizontal="center" vertical="center" wrapText="1"/>
    </xf>
    <xf numFmtId="0" fontId="107" fillId="0" borderId="5" xfId="0" applyFont="1" applyBorder="1" applyAlignment="1">
      <alignment horizontal="center" vertical="center" wrapText="1"/>
    </xf>
    <xf numFmtId="0" fontId="107" fillId="0" borderId="106" xfId="0" applyFont="1" applyBorder="1" applyAlignment="1">
      <alignment horizontal="center" vertical="center" wrapText="1"/>
    </xf>
    <xf numFmtId="0" fontId="115" fillId="0" borderId="106" xfId="0" applyFont="1" applyBorder="1" applyAlignment="1">
      <alignment horizontal="center" vertical="center"/>
    </xf>
    <xf numFmtId="0" fontId="115" fillId="0" borderId="89" xfId="0" applyFont="1" applyBorder="1" applyAlignment="1">
      <alignment horizontal="center" vertical="center"/>
    </xf>
    <xf numFmtId="0" fontId="115" fillId="0" borderId="91" xfId="0" applyFont="1" applyBorder="1" applyAlignment="1">
      <alignment horizontal="center" vertical="center"/>
    </xf>
    <xf numFmtId="0" fontId="115" fillId="0" borderId="75" xfId="0" applyFont="1" applyBorder="1" applyAlignment="1">
      <alignment horizontal="center" vertical="center"/>
    </xf>
    <xf numFmtId="0" fontId="115" fillId="0" borderId="67" xfId="0" applyFont="1" applyBorder="1" applyAlignment="1">
      <alignment horizontal="center" vertical="center"/>
    </xf>
    <xf numFmtId="0" fontId="111" fillId="0" borderId="106" xfId="0" applyFont="1" applyBorder="1" applyAlignment="1">
      <alignment horizontal="center" vertical="center" wrapText="1"/>
    </xf>
    <xf numFmtId="0" fontId="107" fillId="0" borderId="109" xfId="0" applyFont="1" applyBorder="1" applyAlignment="1">
      <alignment horizontal="center" vertical="center" wrapText="1"/>
    </xf>
    <xf numFmtId="0" fontId="110" fillId="0" borderId="89" xfId="0" applyFont="1" applyBorder="1" applyAlignment="1">
      <alignment horizontal="center" vertical="center" wrapText="1"/>
    </xf>
    <xf numFmtId="0" fontId="110" fillId="0" borderId="91" xfId="0" applyFont="1" applyBorder="1" applyAlignment="1">
      <alignment horizontal="center" vertical="center" wrapText="1"/>
    </xf>
    <xf numFmtId="0" fontId="110" fillId="0" borderId="62" xfId="0" applyFont="1" applyBorder="1" applyAlignment="1">
      <alignment horizontal="center" vertical="center" wrapText="1"/>
    </xf>
    <xf numFmtId="0" fontId="110" fillId="0" borderId="60" xfId="0" applyFont="1" applyBorder="1" applyAlignment="1">
      <alignment horizontal="center" vertical="center" wrapText="1"/>
    </xf>
    <xf numFmtId="0" fontId="110" fillId="0" borderId="75" xfId="0" applyFont="1" applyBorder="1" applyAlignment="1">
      <alignment horizontal="center" vertical="center" wrapText="1"/>
    </xf>
    <xf numFmtId="0" fontId="110" fillId="0" borderId="67" xfId="0" applyFont="1" applyBorder="1" applyAlignment="1">
      <alignment horizontal="center" vertical="center" wrapText="1"/>
    </xf>
    <xf numFmtId="0" fontId="107" fillId="0" borderId="107" xfId="0" applyFont="1" applyBorder="1" applyAlignment="1">
      <alignment horizontal="center" vertical="center" wrapText="1"/>
    </xf>
    <xf numFmtId="0" fontId="107" fillId="0" borderId="108" xfId="0" applyFont="1" applyBorder="1" applyAlignment="1">
      <alignment horizontal="center" vertical="center" wrapText="1"/>
    </xf>
    <xf numFmtId="0" fontId="110" fillId="0" borderId="68" xfId="0" applyFont="1" applyBorder="1" applyAlignment="1">
      <alignment horizontal="center" vertical="center" wrapText="1"/>
    </xf>
    <xf numFmtId="0" fontId="110" fillId="0" borderId="5" xfId="0" applyFont="1" applyBorder="1" applyAlignment="1">
      <alignment horizontal="center" vertical="center" wrapText="1"/>
    </xf>
    <xf numFmtId="0" fontId="107" fillId="0" borderId="68" xfId="0" applyFont="1" applyBorder="1" applyAlignment="1">
      <alignment horizontal="center" vertical="center" wrapText="1"/>
    </xf>
    <xf numFmtId="0" fontId="107" fillId="0" borderId="67" xfId="0" applyFont="1" applyBorder="1" applyAlignment="1">
      <alignment horizontal="center" vertical="center" wrapText="1"/>
    </xf>
    <xf numFmtId="0" fontId="110" fillId="0" borderId="49" xfId="0" applyFont="1" applyBorder="1" applyAlignment="1">
      <alignment horizontal="left" vertical="top" wrapText="1"/>
    </xf>
    <xf numFmtId="0" fontId="110" fillId="0" borderId="69" xfId="0" applyFont="1" applyBorder="1" applyAlignment="1">
      <alignment horizontal="left" vertical="top" wrapText="1"/>
    </xf>
    <xf numFmtId="0" fontId="110" fillId="0" borderId="55" xfId="0" applyFont="1" applyBorder="1" applyAlignment="1">
      <alignment horizontal="left" vertical="top" wrapText="1"/>
    </xf>
    <xf numFmtId="0" fontId="110" fillId="0" borderId="79" xfId="0" applyFont="1" applyBorder="1" applyAlignment="1">
      <alignment horizontal="left" vertical="top" wrapText="1"/>
    </xf>
    <xf numFmtId="0" fontId="110" fillId="0" borderId="86" xfId="0" applyFont="1" applyBorder="1" applyAlignment="1">
      <alignment horizontal="left" vertical="top" wrapText="1"/>
    </xf>
    <xf numFmtId="0" fontId="110" fillId="0" borderId="111" xfId="0" applyFont="1" applyBorder="1" applyAlignment="1">
      <alignment horizontal="left" vertical="top" wrapText="1"/>
    </xf>
    <xf numFmtId="0" fontId="110" fillId="0" borderId="76" xfId="0" applyFont="1" applyBorder="1" applyAlignment="1">
      <alignment horizontal="center" vertical="center" wrapText="1"/>
    </xf>
    <xf numFmtId="0" fontId="110" fillId="0" borderId="59" xfId="0" applyFont="1" applyBorder="1" applyAlignment="1">
      <alignment horizontal="center" vertical="center" wrapText="1"/>
    </xf>
    <xf numFmtId="0" fontId="107" fillId="0" borderId="56" xfId="0" applyFont="1" applyBorder="1" applyAlignment="1">
      <alignment horizontal="center" vertical="center" wrapText="1"/>
    </xf>
    <xf numFmtId="0" fontId="107" fillId="0" borderId="61" xfId="0" applyFont="1" applyBorder="1" applyAlignment="1">
      <alignment horizontal="center" vertical="center" wrapText="1"/>
    </xf>
    <xf numFmtId="0" fontId="107" fillId="0" borderId="23" xfId="0" applyFont="1" applyBorder="1" applyAlignment="1">
      <alignment horizontal="center" vertical="center" wrapText="1"/>
    </xf>
    <xf numFmtId="0" fontId="107" fillId="0" borderId="24" xfId="0" applyFont="1" applyBorder="1" applyAlignment="1">
      <alignment horizontal="center" vertical="center" wrapText="1"/>
    </xf>
    <xf numFmtId="0" fontId="107" fillId="0" borderId="89" xfId="0" applyFont="1" applyBorder="1" applyAlignment="1">
      <alignment horizontal="center" vertical="top" wrapText="1"/>
    </xf>
    <xf numFmtId="0" fontId="107" fillId="0" borderId="90" xfId="0" applyFont="1" applyBorder="1" applyAlignment="1">
      <alignment horizontal="center" vertical="top" wrapText="1"/>
    </xf>
    <xf numFmtId="0" fontId="107" fillId="0" borderId="108" xfId="0" applyFont="1" applyBorder="1" applyAlignment="1">
      <alignment horizontal="center" vertical="top" wrapText="1"/>
    </xf>
    <xf numFmtId="0" fontId="107" fillId="0" borderId="109" xfId="0" applyFont="1" applyBorder="1" applyAlignment="1">
      <alignment horizontal="center" vertical="top" wrapText="1"/>
    </xf>
    <xf numFmtId="0" fontId="127" fillId="0" borderId="98" xfId="0" applyFont="1" applyBorder="1" applyAlignment="1">
      <alignment horizontal="left" vertical="top" wrapText="1"/>
    </xf>
    <xf numFmtId="0" fontId="127" fillId="0" borderId="99" xfId="0" applyFont="1" applyBorder="1" applyAlignment="1">
      <alignment horizontal="left" vertical="top"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fs\pshbgeo\Financial%20Management%20Department\External%20and%20NBG%20Reporting%20Unit\NBG_REPORTING\Monthly\2026\06\&#4313;&#4309;&#4304;&#4320;&#4322;&#4304;&#4314;&#4323;&#4320;&#4312;\working\PG1-BBB-I-QQ-20260630-%20&#4321;&#4304;&#4315;&#4323;&#4328;&#4304;&#4317;%20%20&#4304;&#4334;&#4304;&#4314;&#4312;.xlsx" TargetMode="External"/><Relationship Id="rId1" Type="http://schemas.openxmlformats.org/officeDocument/2006/relationships/externalLinkPath" Target="working/PG1-BBB-I-QQ-20260630-%20&#4321;&#4304;&#4315;&#4323;&#4328;&#4304;&#4317;%20%20&#4304;&#4334;&#4304;&#4314;&#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ing "/>
      <sheetName val="FSF-SOFP"/>
      <sheetName val="FSF-SOPL"/>
      <sheetName val="Risk Weighted Risk Exposures"/>
      <sheetName val="Capital Requirements"/>
      <sheetName val="CCR-CVA"/>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sheetData sheetId="1"/>
      <sheetData sheetId="2"/>
      <sheetData sheetId="3">
        <row r="30">
          <cell r="Q30">
            <v>58322094.5141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topLeftCell="A9" zoomScale="80" zoomScaleNormal="80" workbookViewId="0">
      <selection activeCell="B42" sqref="B42"/>
    </sheetView>
  </sheetViews>
  <sheetFormatPr defaultColWidth="9.21875" defaultRowHeight="13.8"/>
  <cols>
    <col min="1" max="1" width="10.21875" style="4" customWidth="1"/>
    <col min="2" max="2" width="138.33203125" style="5" bestFit="1" customWidth="1"/>
    <col min="3" max="3" width="39.44140625" style="5" customWidth="1"/>
    <col min="4" max="6" width="9.21875" style="5"/>
    <col min="7" max="7" width="25" style="5" customWidth="1"/>
    <col min="8" max="16384" width="9.21875" style="5"/>
  </cols>
  <sheetData>
    <row r="1" spans="1:3">
      <c r="A1" s="82"/>
      <c r="B1" s="87" t="s">
        <v>209</v>
      </c>
      <c r="C1" s="82"/>
    </row>
    <row r="2" spans="1:3">
      <c r="A2" s="88">
        <v>1</v>
      </c>
      <c r="B2" s="175" t="s">
        <v>210</v>
      </c>
      <c r="C2" s="31" t="s">
        <v>752</v>
      </c>
    </row>
    <row r="3" spans="1:3">
      <c r="A3" s="88">
        <v>2</v>
      </c>
      <c r="B3" s="176" t="s">
        <v>206</v>
      </c>
      <c r="C3" s="31" t="s">
        <v>753</v>
      </c>
    </row>
    <row r="4" spans="1:3">
      <c r="A4" s="88">
        <v>3</v>
      </c>
      <c r="B4" s="177" t="s">
        <v>211</v>
      </c>
      <c r="C4" s="31" t="s">
        <v>754</v>
      </c>
    </row>
    <row r="5" spans="1:3">
      <c r="A5" s="89">
        <v>4</v>
      </c>
      <c r="B5" s="178" t="s">
        <v>207</v>
      </c>
      <c r="C5" s="31" t="s">
        <v>755</v>
      </c>
    </row>
    <row r="6" spans="1:3" s="90" customFormat="1" ht="45.75" customHeight="1">
      <c r="A6" s="748" t="s">
        <v>283</v>
      </c>
      <c r="B6" s="749"/>
      <c r="C6" s="749"/>
    </row>
    <row r="7" spans="1:3">
      <c r="A7" s="91" t="s">
        <v>29</v>
      </c>
      <c r="B7" s="87" t="s">
        <v>208</v>
      </c>
    </row>
    <row r="8" spans="1:3">
      <c r="A8" s="82">
        <v>1</v>
      </c>
      <c r="B8" s="117" t="s">
        <v>20</v>
      </c>
    </row>
    <row r="9" spans="1:3">
      <c r="A9" s="82">
        <v>2</v>
      </c>
      <c r="B9" s="118" t="s">
        <v>21</v>
      </c>
    </row>
    <row r="10" spans="1:3">
      <c r="A10" s="82">
        <v>3</v>
      </c>
      <c r="B10" s="118" t="s">
        <v>22</v>
      </c>
    </row>
    <row r="11" spans="1:3">
      <c r="A11" s="82">
        <v>4</v>
      </c>
      <c r="B11" s="118" t="s">
        <v>23</v>
      </c>
    </row>
    <row r="12" spans="1:3">
      <c r="A12" s="82">
        <v>5</v>
      </c>
      <c r="B12" s="118" t="s">
        <v>24</v>
      </c>
    </row>
    <row r="13" spans="1:3">
      <c r="A13" s="82">
        <v>6</v>
      </c>
      <c r="B13" s="119" t="s">
        <v>218</v>
      </c>
    </row>
    <row r="14" spans="1:3">
      <c r="A14" s="82">
        <v>7</v>
      </c>
      <c r="B14" s="118" t="s">
        <v>212</v>
      </c>
    </row>
    <row r="15" spans="1:3">
      <c r="A15" s="82">
        <v>8</v>
      </c>
      <c r="B15" s="118" t="s">
        <v>213</v>
      </c>
    </row>
    <row r="16" spans="1:3">
      <c r="A16" s="82">
        <v>9</v>
      </c>
      <c r="B16" s="118" t="s">
        <v>25</v>
      </c>
    </row>
    <row r="17" spans="1:2">
      <c r="A17" s="174" t="s">
        <v>282</v>
      </c>
      <c r="B17" s="173" t="s">
        <v>269</v>
      </c>
    </row>
    <row r="18" spans="1:2">
      <c r="A18" s="174" t="s">
        <v>711</v>
      </c>
      <c r="B18" s="365" t="s">
        <v>713</v>
      </c>
    </row>
    <row r="19" spans="1:2">
      <c r="A19" s="366" t="s">
        <v>712</v>
      </c>
      <c r="B19" s="365" t="s">
        <v>714</v>
      </c>
    </row>
    <row r="20" spans="1:2">
      <c r="A20" s="82">
        <v>10</v>
      </c>
      <c r="B20" s="118" t="s">
        <v>26</v>
      </c>
    </row>
    <row r="21" spans="1:2">
      <c r="A21" s="82">
        <v>11</v>
      </c>
      <c r="B21" s="119" t="s">
        <v>214</v>
      </c>
    </row>
    <row r="22" spans="1:2">
      <c r="A22" s="82">
        <v>12</v>
      </c>
      <c r="B22" s="119" t="s">
        <v>27</v>
      </c>
    </row>
    <row r="23" spans="1:2">
      <c r="A23" s="197">
        <v>13</v>
      </c>
      <c r="B23" s="198" t="s">
        <v>215</v>
      </c>
    </row>
    <row r="24" spans="1:2">
      <c r="A24" s="197">
        <v>14</v>
      </c>
      <c r="B24" s="199" t="s">
        <v>240</v>
      </c>
    </row>
    <row r="25" spans="1:2">
      <c r="A25" s="197">
        <v>15</v>
      </c>
      <c r="B25" s="200" t="s">
        <v>28</v>
      </c>
    </row>
    <row r="26" spans="1:2">
      <c r="A26" s="197">
        <v>15.1</v>
      </c>
      <c r="B26" s="201" t="s">
        <v>296</v>
      </c>
    </row>
    <row r="27" spans="1:2">
      <c r="A27" s="367">
        <v>15.2</v>
      </c>
      <c r="B27" s="365" t="s">
        <v>716</v>
      </c>
    </row>
    <row r="28" spans="1:2">
      <c r="A28" s="197">
        <v>16</v>
      </c>
      <c r="B28" s="201" t="s">
        <v>337</v>
      </c>
    </row>
    <row r="29" spans="1:2">
      <c r="A29" s="197">
        <v>17</v>
      </c>
      <c r="B29" s="201" t="s">
        <v>378</v>
      </c>
    </row>
    <row r="30" spans="1:2">
      <c r="A30" s="197">
        <v>18</v>
      </c>
      <c r="B30" s="201" t="s">
        <v>666</v>
      </c>
    </row>
    <row r="31" spans="1:2">
      <c r="A31" s="197">
        <v>19</v>
      </c>
      <c r="B31" s="201" t="s">
        <v>667</v>
      </c>
    </row>
    <row r="32" spans="1:2">
      <c r="A32" s="197">
        <v>20</v>
      </c>
      <c r="B32" s="248" t="s">
        <v>668</v>
      </c>
    </row>
    <row r="33" spans="1:2">
      <c r="A33" s="197">
        <v>21</v>
      </c>
      <c r="B33" s="201" t="s">
        <v>494</v>
      </c>
    </row>
    <row r="34" spans="1:2">
      <c r="A34" s="197">
        <v>22</v>
      </c>
      <c r="B34" s="201" t="s">
        <v>669</v>
      </c>
    </row>
    <row r="35" spans="1:2">
      <c r="A35" s="197">
        <v>23</v>
      </c>
      <c r="B35" s="201" t="s">
        <v>670</v>
      </c>
    </row>
    <row r="36" spans="1:2">
      <c r="A36" s="197">
        <v>24</v>
      </c>
      <c r="B36" s="201" t="s">
        <v>671</v>
      </c>
    </row>
    <row r="37" spans="1:2">
      <c r="A37" s="197">
        <v>25</v>
      </c>
      <c r="B37" s="201" t="s">
        <v>379</v>
      </c>
    </row>
    <row r="38" spans="1:2">
      <c r="A38" s="197">
        <v>26</v>
      </c>
      <c r="B38" s="201"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scale="46" orientation="portrait" horizontalDpi="300" verticalDpi="300" r:id="rId1"/>
  <headerFooter>
    <oddFooter>&amp;C_x000D_&amp;1#&amp;"Aptos"&amp;10&amp;K000000 C4 - EXTERNAL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6"/>
  <sheetViews>
    <sheetView zoomScale="80" zoomScaleNormal="80" workbookViewId="0">
      <pane xSplit="1" ySplit="5" topLeftCell="B27" activePane="bottomRight" state="frozen"/>
      <selection activeCell="B42" sqref="B42"/>
      <selection pane="topRight" activeCell="B42" sqref="B42"/>
      <selection pane="bottomLeft" activeCell="B42" sqref="B42"/>
      <selection pane="bottomRight" activeCell="C45" sqref="C45:C47"/>
    </sheetView>
  </sheetViews>
  <sheetFormatPr defaultColWidth="9.21875" defaultRowHeight="13.2"/>
  <cols>
    <col min="1" max="1" width="9.5546875" style="4" bestFit="1" customWidth="1"/>
    <col min="2" max="2" width="132.44140625" style="4" customWidth="1"/>
    <col min="3" max="3" width="18.44140625" style="4" customWidth="1"/>
    <col min="4" max="4" width="11.77734375" style="4" customWidth="1"/>
    <col min="5" max="16384" width="9.21875" style="4"/>
  </cols>
  <sheetData>
    <row r="1" spans="1:4">
      <c r="A1" s="2" t="s">
        <v>30</v>
      </c>
      <c r="B1" s="3" t="str">
        <f>'Info '!C2</f>
        <v xml:space="preserve">PASHA Bank Georgia JSC </v>
      </c>
    </row>
    <row r="2" spans="1:4" s="2" customFormat="1" ht="15.75" customHeight="1">
      <c r="A2" s="2" t="s">
        <v>31</v>
      </c>
      <c r="B2" s="209">
        <f>'1. key ratios '!B2</f>
        <v>46203</v>
      </c>
    </row>
    <row r="3" spans="1:4" s="2" customFormat="1" ht="15.75" customHeight="1"/>
    <row r="4" spans="1:4" ht="13.8" thickBot="1">
      <c r="A4" s="4" t="s">
        <v>143</v>
      </c>
      <c r="B4" s="70" t="s">
        <v>142</v>
      </c>
    </row>
    <row r="5" spans="1:4">
      <c r="A5" s="36" t="s">
        <v>6</v>
      </c>
      <c r="B5" s="37"/>
      <c r="C5" s="38" t="s">
        <v>35</v>
      </c>
    </row>
    <row r="6" spans="1:4">
      <c r="A6" s="39">
        <v>1</v>
      </c>
      <c r="B6" s="40" t="s">
        <v>141</v>
      </c>
      <c r="C6" s="41">
        <f>SUM(C7:C11)</f>
        <v>129596154.0103</v>
      </c>
      <c r="D6" s="431"/>
    </row>
    <row r="7" spans="1:4">
      <c r="A7" s="39">
        <v>2</v>
      </c>
      <c r="B7" s="42" t="s">
        <v>140</v>
      </c>
      <c r="C7" s="43">
        <v>136800000</v>
      </c>
      <c r="D7" s="431"/>
    </row>
    <row r="8" spans="1:4">
      <c r="A8" s="39">
        <v>3</v>
      </c>
      <c r="B8" s="44" t="s">
        <v>139</v>
      </c>
      <c r="C8" s="43"/>
      <c r="D8" s="431"/>
    </row>
    <row r="9" spans="1:4">
      <c r="A9" s="39">
        <v>4</v>
      </c>
      <c r="B9" s="44" t="s">
        <v>138</v>
      </c>
      <c r="C9" s="43"/>
      <c r="D9" s="431"/>
    </row>
    <row r="10" spans="1:4">
      <c r="A10" s="39">
        <v>5</v>
      </c>
      <c r="B10" s="44" t="s">
        <v>137</v>
      </c>
      <c r="C10" s="43"/>
      <c r="D10" s="431"/>
    </row>
    <row r="11" spans="1:4">
      <c r="A11" s="39">
        <v>6</v>
      </c>
      <c r="B11" s="45" t="s">
        <v>136</v>
      </c>
      <c r="C11" s="43">
        <v>-7203845.9896999998</v>
      </c>
      <c r="D11" s="431"/>
    </row>
    <row r="12" spans="1:4" s="24" customFormat="1">
      <c r="A12" s="39">
        <v>7</v>
      </c>
      <c r="B12" s="40" t="s">
        <v>135</v>
      </c>
      <c r="C12" s="46">
        <f>SUM(C13:C28)</f>
        <v>5081138.0199999996</v>
      </c>
      <c r="D12" s="431"/>
    </row>
    <row r="13" spans="1:4" s="24" customFormat="1">
      <c r="A13" s="39">
        <v>8</v>
      </c>
      <c r="B13" s="47" t="s">
        <v>134</v>
      </c>
      <c r="C13" s="48"/>
      <c r="D13" s="431"/>
    </row>
    <row r="14" spans="1:4" s="24" customFormat="1" ht="26.4">
      <c r="A14" s="39">
        <v>9</v>
      </c>
      <c r="B14" s="49" t="s">
        <v>133</v>
      </c>
      <c r="C14" s="48"/>
      <c r="D14" s="431"/>
    </row>
    <row r="15" spans="1:4" s="24" customFormat="1">
      <c r="A15" s="39">
        <v>10</v>
      </c>
      <c r="B15" s="50" t="s">
        <v>132</v>
      </c>
      <c r="C15" s="48">
        <v>2813344.11</v>
      </c>
      <c r="D15" s="431"/>
    </row>
    <row r="16" spans="1:4" s="24" customFormat="1">
      <c r="A16" s="39">
        <v>11</v>
      </c>
      <c r="B16" s="51" t="s">
        <v>131</v>
      </c>
      <c r="C16" s="48"/>
      <c r="D16" s="431"/>
    </row>
    <row r="17" spans="1:4" s="24" customFormat="1">
      <c r="A17" s="39">
        <v>12</v>
      </c>
      <c r="B17" s="50" t="s">
        <v>130</v>
      </c>
      <c r="C17" s="48"/>
      <c r="D17" s="431"/>
    </row>
    <row r="18" spans="1:4" s="24" customFormat="1">
      <c r="A18" s="39">
        <v>13</v>
      </c>
      <c r="B18" s="50" t="s">
        <v>129</v>
      </c>
      <c r="C18" s="48"/>
      <c r="D18" s="431"/>
    </row>
    <row r="19" spans="1:4" s="24" customFormat="1">
      <c r="A19" s="39">
        <v>14</v>
      </c>
      <c r="B19" s="50" t="s">
        <v>128</v>
      </c>
      <c r="C19" s="48"/>
      <c r="D19" s="431"/>
    </row>
    <row r="20" spans="1:4" s="24" customFormat="1">
      <c r="A20" s="39">
        <v>15</v>
      </c>
      <c r="B20" s="50" t="s">
        <v>127</v>
      </c>
      <c r="C20" s="48">
        <v>2267793.91</v>
      </c>
      <c r="D20" s="431"/>
    </row>
    <row r="21" spans="1:4" s="24" customFormat="1" ht="26.4">
      <c r="A21" s="39">
        <v>16</v>
      </c>
      <c r="B21" s="49" t="s">
        <v>126</v>
      </c>
      <c r="C21" s="48"/>
      <c r="D21" s="431"/>
    </row>
    <row r="22" spans="1:4" s="24" customFormat="1">
      <c r="A22" s="39">
        <v>17</v>
      </c>
      <c r="B22" s="52" t="s">
        <v>125</v>
      </c>
      <c r="C22" s="48"/>
      <c r="D22" s="431"/>
    </row>
    <row r="23" spans="1:4" s="24" customFormat="1">
      <c r="A23" s="39">
        <v>18</v>
      </c>
      <c r="B23" s="52" t="s">
        <v>517</v>
      </c>
      <c r="C23" s="250"/>
      <c r="D23" s="431"/>
    </row>
    <row r="24" spans="1:4" s="24" customFormat="1">
      <c r="A24" s="39">
        <v>19</v>
      </c>
      <c r="B24" s="49" t="s">
        <v>124</v>
      </c>
      <c r="C24" s="48"/>
      <c r="D24" s="431"/>
    </row>
    <row r="25" spans="1:4" s="24" customFormat="1" ht="26.4">
      <c r="A25" s="39">
        <v>20</v>
      </c>
      <c r="B25" s="49" t="s">
        <v>101</v>
      </c>
      <c r="C25" s="48"/>
      <c r="D25" s="431"/>
    </row>
    <row r="26" spans="1:4" s="24" customFormat="1">
      <c r="A26" s="39">
        <v>21</v>
      </c>
      <c r="B26" s="51" t="s">
        <v>123</v>
      </c>
      <c r="C26" s="48"/>
      <c r="D26" s="431"/>
    </row>
    <row r="27" spans="1:4" s="24" customFormat="1">
      <c r="A27" s="39">
        <v>22</v>
      </c>
      <c r="B27" s="51" t="s">
        <v>122</v>
      </c>
      <c r="C27" s="48"/>
      <c r="D27" s="431"/>
    </row>
    <row r="28" spans="1:4" s="24" customFormat="1">
      <c r="A28" s="39">
        <v>23</v>
      </c>
      <c r="B28" s="51" t="s">
        <v>121</v>
      </c>
      <c r="C28" s="48"/>
      <c r="D28" s="431"/>
    </row>
    <row r="29" spans="1:4" s="24" customFormat="1">
      <c r="A29" s="39">
        <v>24</v>
      </c>
      <c r="B29" s="53" t="s">
        <v>120</v>
      </c>
      <c r="C29" s="46">
        <f>C6-C12</f>
        <v>124515015.9903</v>
      </c>
      <c r="D29" s="431"/>
    </row>
    <row r="30" spans="1:4" s="24" customFormat="1">
      <c r="A30" s="54"/>
      <c r="B30" s="55"/>
      <c r="C30" s="48"/>
      <c r="D30" s="431"/>
    </row>
    <row r="31" spans="1:4" s="24" customFormat="1">
      <c r="A31" s="54">
        <v>25</v>
      </c>
      <c r="B31" s="53" t="s">
        <v>119</v>
      </c>
      <c r="C31" s="46">
        <f>C32+C35</f>
        <v>13226500</v>
      </c>
      <c r="D31" s="431"/>
    </row>
    <row r="32" spans="1:4" s="24" customFormat="1">
      <c r="A32" s="54">
        <v>26</v>
      </c>
      <c r="B32" s="44" t="s">
        <v>118</v>
      </c>
      <c r="C32" s="56">
        <f>C33+C34</f>
        <v>0</v>
      </c>
      <c r="D32" s="431"/>
    </row>
    <row r="33" spans="1:4" s="24" customFormat="1">
      <c r="A33" s="54">
        <v>27</v>
      </c>
      <c r="B33" s="57" t="s">
        <v>179</v>
      </c>
      <c r="C33" s="48"/>
      <c r="D33" s="431"/>
    </row>
    <row r="34" spans="1:4" s="24" customFormat="1">
      <c r="A34" s="54">
        <v>28</v>
      </c>
      <c r="B34" s="57" t="s">
        <v>117</v>
      </c>
      <c r="C34" s="48"/>
      <c r="D34" s="431"/>
    </row>
    <row r="35" spans="1:4" s="24" customFormat="1">
      <c r="A35" s="54">
        <v>29</v>
      </c>
      <c r="B35" s="44" t="s">
        <v>116</v>
      </c>
      <c r="C35" s="48">
        <v>13226500</v>
      </c>
      <c r="D35" s="431"/>
    </row>
    <row r="36" spans="1:4" s="24" customFormat="1">
      <c r="A36" s="54">
        <v>30</v>
      </c>
      <c r="B36" s="53" t="s">
        <v>115</v>
      </c>
      <c r="C36" s="46">
        <f>SUM(C37:C41)</f>
        <v>0</v>
      </c>
      <c r="D36" s="431"/>
    </row>
    <row r="37" spans="1:4" s="24" customFormat="1">
      <c r="A37" s="54">
        <v>31</v>
      </c>
      <c r="B37" s="49" t="s">
        <v>114</v>
      </c>
      <c r="C37" s="48"/>
      <c r="D37" s="431"/>
    </row>
    <row r="38" spans="1:4" s="24" customFormat="1">
      <c r="A38" s="54">
        <v>32</v>
      </c>
      <c r="B38" s="50" t="s">
        <v>113</v>
      </c>
      <c r="C38" s="48"/>
      <c r="D38" s="431"/>
    </row>
    <row r="39" spans="1:4" s="24" customFormat="1">
      <c r="A39" s="54">
        <v>33</v>
      </c>
      <c r="B39" s="49" t="s">
        <v>112</v>
      </c>
      <c r="C39" s="48"/>
      <c r="D39" s="431"/>
    </row>
    <row r="40" spans="1:4" s="24" customFormat="1" ht="26.4">
      <c r="A40" s="54">
        <v>34</v>
      </c>
      <c r="B40" s="49" t="s">
        <v>101</v>
      </c>
      <c r="C40" s="48"/>
      <c r="D40" s="431"/>
    </row>
    <row r="41" spans="1:4" s="24" customFormat="1">
      <c r="A41" s="54">
        <v>35</v>
      </c>
      <c r="B41" s="51" t="s">
        <v>111</v>
      </c>
      <c r="C41" s="48"/>
      <c r="D41" s="431"/>
    </row>
    <row r="42" spans="1:4" s="24" customFormat="1">
      <c r="A42" s="54">
        <v>36</v>
      </c>
      <c r="B42" s="53" t="s">
        <v>110</v>
      </c>
      <c r="C42" s="46">
        <f>C31-C36</f>
        <v>13226500</v>
      </c>
      <c r="D42" s="431"/>
    </row>
    <row r="43" spans="1:4" s="24" customFormat="1">
      <c r="A43" s="54"/>
      <c r="B43" s="55"/>
      <c r="C43" s="48"/>
      <c r="D43" s="431"/>
    </row>
    <row r="44" spans="1:4" s="24" customFormat="1">
      <c r="A44" s="54">
        <v>37</v>
      </c>
      <c r="B44" s="58" t="s">
        <v>109</v>
      </c>
      <c r="C44" s="46">
        <f>SUM(C45:C47)</f>
        <v>26983943.340999998</v>
      </c>
      <c r="D44" s="431"/>
    </row>
    <row r="45" spans="1:4" s="24" customFormat="1">
      <c r="A45" s="54">
        <v>38</v>
      </c>
      <c r="B45" s="44" t="s">
        <v>108</v>
      </c>
      <c r="C45" s="48">
        <v>26983943.340999998</v>
      </c>
      <c r="D45" s="431"/>
    </row>
    <row r="46" spans="1:4" s="24" customFormat="1">
      <c r="A46" s="54">
        <v>39</v>
      </c>
      <c r="B46" s="44" t="s">
        <v>107</v>
      </c>
      <c r="C46" s="48"/>
      <c r="D46" s="431"/>
    </row>
    <row r="47" spans="1:4" s="24" customFormat="1">
      <c r="A47" s="54">
        <v>40</v>
      </c>
      <c r="B47" s="44" t="s">
        <v>106</v>
      </c>
      <c r="C47" s="48"/>
      <c r="D47" s="431"/>
    </row>
    <row r="48" spans="1:4" s="24" customFormat="1">
      <c r="A48" s="54">
        <v>41</v>
      </c>
      <c r="B48" s="58" t="s">
        <v>105</v>
      </c>
      <c r="C48" s="46">
        <f>SUM(C49:C52)</f>
        <v>0</v>
      </c>
      <c r="D48" s="431"/>
    </row>
    <row r="49" spans="1:4" s="24" customFormat="1">
      <c r="A49" s="54">
        <v>42</v>
      </c>
      <c r="B49" s="49" t="s">
        <v>104</v>
      </c>
      <c r="C49" s="48"/>
      <c r="D49" s="431"/>
    </row>
    <row r="50" spans="1:4" s="24" customFormat="1">
      <c r="A50" s="54">
        <v>43</v>
      </c>
      <c r="B50" s="50" t="s">
        <v>103</v>
      </c>
      <c r="C50" s="48"/>
      <c r="D50" s="431"/>
    </row>
    <row r="51" spans="1:4" s="24" customFormat="1">
      <c r="A51" s="54">
        <v>44</v>
      </c>
      <c r="B51" s="49" t="s">
        <v>102</v>
      </c>
      <c r="C51" s="48"/>
      <c r="D51" s="431"/>
    </row>
    <row r="52" spans="1:4" s="24" customFormat="1" ht="26.4">
      <c r="A52" s="54">
        <v>45</v>
      </c>
      <c r="B52" s="49" t="s">
        <v>101</v>
      </c>
      <c r="C52" s="48"/>
      <c r="D52" s="431"/>
    </row>
    <row r="53" spans="1:4" s="24" customFormat="1" ht="13.8" thickBot="1">
      <c r="A53" s="54">
        <v>46</v>
      </c>
      <c r="B53" s="59" t="s">
        <v>100</v>
      </c>
      <c r="C53" s="60">
        <f>C44-C48</f>
        <v>26983943.340999998</v>
      </c>
      <c r="D53" s="431"/>
    </row>
    <row r="56" spans="1:4">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paperSize="9" scale="54" orientation="portrait" horizontalDpi="300" verticalDpi="300" r:id="rId1"/>
  <headerFooter>
    <oddFooter>&amp;C_x000D_&amp;1#&amp;"Aptos"&amp;10&amp;K000000 C4 - EXTERNAL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3"/>
  <sheetViews>
    <sheetView zoomScale="80" zoomScaleNormal="80" workbookViewId="0">
      <selection activeCell="C15" sqref="C15:D17"/>
    </sheetView>
  </sheetViews>
  <sheetFormatPr defaultColWidth="9.21875" defaultRowHeight="13.8"/>
  <cols>
    <col min="1" max="1" width="9.44140625" style="109" bestFit="1" customWidth="1"/>
    <col min="2" max="2" width="59" style="109" customWidth="1"/>
    <col min="3" max="3" width="16.77734375" style="109" bestFit="1" customWidth="1"/>
    <col min="4" max="4" width="15.6640625" style="109" customWidth="1"/>
    <col min="5" max="5" width="9.21875" style="109"/>
    <col min="6" max="6" width="9.21875" style="433"/>
    <col min="7" max="16384" width="9.21875" style="109"/>
  </cols>
  <sheetData>
    <row r="1" spans="1:6">
      <c r="A1" s="107" t="s">
        <v>30</v>
      </c>
      <c r="B1" s="3" t="str">
        <f>'Info '!C2</f>
        <v xml:space="preserve">PASHA Bank Georgia JSC </v>
      </c>
    </row>
    <row r="2" spans="1:6" s="107" customFormat="1" ht="15.75" customHeight="1">
      <c r="A2" s="107" t="s">
        <v>31</v>
      </c>
      <c r="B2" s="209">
        <f>'1. key ratios '!B2</f>
        <v>46203</v>
      </c>
      <c r="F2" s="434"/>
    </row>
    <row r="3" spans="1:6" s="107" customFormat="1" ht="15.75" customHeight="1">
      <c r="F3" s="434"/>
    </row>
    <row r="4" spans="1:6" ht="14.4" thickBot="1">
      <c r="A4" s="109" t="s">
        <v>268</v>
      </c>
      <c r="B4" s="163" t="s">
        <v>269</v>
      </c>
    </row>
    <row r="5" spans="1:6" s="114" customFormat="1" ht="12.75" customHeight="1">
      <c r="A5" s="195"/>
      <c r="B5" s="196" t="s">
        <v>272</v>
      </c>
      <c r="C5" s="156" t="s">
        <v>270</v>
      </c>
      <c r="D5" s="157" t="s">
        <v>271</v>
      </c>
      <c r="F5" s="435"/>
    </row>
    <row r="6" spans="1:6" s="164" customFormat="1">
      <c r="A6" s="158">
        <v>1</v>
      </c>
      <c r="B6" s="188" t="s">
        <v>273</v>
      </c>
      <c r="C6" s="188"/>
      <c r="D6" s="159"/>
      <c r="F6" s="436"/>
    </row>
    <row r="7" spans="1:6" s="164" customFormat="1">
      <c r="A7" s="160" t="s">
        <v>259</v>
      </c>
      <c r="B7" s="189" t="s">
        <v>274</v>
      </c>
      <c r="C7" s="181">
        <v>4.4999999999999998E-2</v>
      </c>
      <c r="D7" s="491">
        <v>28847683.60437553</v>
      </c>
      <c r="E7" s="432"/>
      <c r="F7" s="436"/>
    </row>
    <row r="8" spans="1:6" s="164" customFormat="1">
      <c r="A8" s="160" t="s">
        <v>260</v>
      </c>
      <c r="B8" s="189" t="s">
        <v>275</v>
      </c>
      <c r="C8" s="182">
        <v>0.06</v>
      </c>
      <c r="D8" s="491">
        <v>38463578.139167376</v>
      </c>
      <c r="E8" s="432"/>
      <c r="F8" s="436"/>
    </row>
    <row r="9" spans="1:6" s="164" customFormat="1">
      <c r="A9" s="160" t="s">
        <v>261</v>
      </c>
      <c r="B9" s="189" t="s">
        <v>276</v>
      </c>
      <c r="C9" s="182">
        <v>0.08</v>
      </c>
      <c r="D9" s="491">
        <v>51284770.852223165</v>
      </c>
      <c r="E9" s="432"/>
      <c r="F9" s="436"/>
    </row>
    <row r="10" spans="1:6" s="164" customFormat="1">
      <c r="A10" s="158" t="s">
        <v>262</v>
      </c>
      <c r="B10" s="188" t="s">
        <v>277</v>
      </c>
      <c r="C10" s="183"/>
      <c r="D10" s="190"/>
      <c r="E10" s="432"/>
      <c r="F10" s="498"/>
    </row>
    <row r="11" spans="1:6" s="165" customFormat="1">
      <c r="A11" s="161" t="s">
        <v>263</v>
      </c>
      <c r="B11" s="180" t="s">
        <v>747</v>
      </c>
      <c r="C11" s="184">
        <v>2.5000000000000001E-2</v>
      </c>
      <c r="D11" s="491">
        <v>16026490.891319741</v>
      </c>
      <c r="E11" s="432"/>
      <c r="F11" s="436"/>
    </row>
    <row r="12" spans="1:6" s="165" customFormat="1">
      <c r="A12" s="161" t="s">
        <v>264</v>
      </c>
      <c r="B12" s="180" t="s">
        <v>278</v>
      </c>
      <c r="C12" s="184">
        <v>7.4999999999999997E-3</v>
      </c>
      <c r="D12" s="491">
        <v>4807947.267395922</v>
      </c>
      <c r="E12" s="432"/>
      <c r="F12" s="436"/>
    </row>
    <row r="13" spans="1:6" s="165" customFormat="1">
      <c r="A13" s="161" t="s">
        <v>265</v>
      </c>
      <c r="B13" s="180" t="s">
        <v>279</v>
      </c>
      <c r="C13" s="184"/>
      <c r="D13" s="491">
        <v>0</v>
      </c>
      <c r="E13" s="432"/>
      <c r="F13" s="436"/>
    </row>
    <row r="14" spans="1:6" s="165" customFormat="1">
      <c r="A14" s="158" t="s">
        <v>266</v>
      </c>
      <c r="B14" s="188" t="s">
        <v>326</v>
      </c>
      <c r="C14" s="185"/>
      <c r="D14" s="191"/>
      <c r="E14" s="432"/>
      <c r="F14" s="498"/>
    </row>
    <row r="15" spans="1:6" s="165" customFormat="1">
      <c r="A15" s="161">
        <v>3.1</v>
      </c>
      <c r="B15" s="180" t="s">
        <v>284</v>
      </c>
      <c r="C15" s="184">
        <v>7.6755955802547363E-2</v>
      </c>
      <c r="D15" s="491">
        <v>49205145.060962632</v>
      </c>
      <c r="E15" s="432"/>
      <c r="F15" s="436"/>
    </row>
    <row r="16" spans="1:6" s="165" customFormat="1">
      <c r="A16" s="161">
        <v>3.2</v>
      </c>
      <c r="B16" s="180" t="s">
        <v>285</v>
      </c>
      <c r="C16" s="184">
        <v>9.5849209899557461E-2</v>
      </c>
      <c r="D16" s="491">
        <v>61445059.575818062</v>
      </c>
      <c r="E16" s="432"/>
      <c r="F16" s="436"/>
    </row>
    <row r="17" spans="1:6" s="164" customFormat="1">
      <c r="A17" s="161">
        <v>3.3</v>
      </c>
      <c r="B17" s="180" t="s">
        <v>286</v>
      </c>
      <c r="C17" s="184">
        <v>0.12097191265878127</v>
      </c>
      <c r="D17" s="491">
        <v>77550210.253259405</v>
      </c>
      <c r="E17" s="432"/>
      <c r="F17" s="436"/>
    </row>
    <row r="18" spans="1:6" s="114" customFormat="1" ht="12.75" customHeight="1">
      <c r="A18" s="193"/>
      <c r="B18" s="194" t="s">
        <v>325</v>
      </c>
      <c r="C18" s="186" t="s">
        <v>270</v>
      </c>
      <c r="D18" s="192" t="s">
        <v>271</v>
      </c>
      <c r="E18" s="432"/>
      <c r="F18" s="436"/>
    </row>
    <row r="19" spans="1:6" s="164" customFormat="1">
      <c r="A19" s="162">
        <v>4</v>
      </c>
      <c r="B19" s="180" t="s">
        <v>280</v>
      </c>
      <c r="C19" s="184">
        <f>C7+C11+C12+C13+C15</f>
        <v>0.15425595580254736</v>
      </c>
      <c r="D19" s="491">
        <f>C19*'5. RWA '!$C$13</f>
        <v>98887266.824053824</v>
      </c>
      <c r="E19" s="432"/>
      <c r="F19" s="436"/>
    </row>
    <row r="20" spans="1:6" s="164" customFormat="1">
      <c r="A20" s="162">
        <v>5</v>
      </c>
      <c r="B20" s="180" t="s">
        <v>90</v>
      </c>
      <c r="C20" s="184">
        <f>C8+C11+C12+C13+C16</f>
        <v>0.18834920989955745</v>
      </c>
      <c r="D20" s="491">
        <f>C20*'5. RWA '!$C$13</f>
        <v>120743075.87370108</v>
      </c>
      <c r="E20" s="432"/>
      <c r="F20" s="436"/>
    </row>
    <row r="21" spans="1:6" s="164" customFormat="1" ht="14.4" thickBot="1">
      <c r="A21" s="166" t="s">
        <v>267</v>
      </c>
      <c r="B21" s="167" t="s">
        <v>281</v>
      </c>
      <c r="C21" s="187">
        <f>C9+C11+C12+C13+C17</f>
        <v>0.23347191265878128</v>
      </c>
      <c r="D21" s="492">
        <f>C21*'5. RWA '!$C$13</f>
        <v>149669419.26419824</v>
      </c>
      <c r="E21" s="432"/>
      <c r="F21" s="436"/>
    </row>
    <row r="22" spans="1:6">
      <c r="F22" s="436"/>
    </row>
    <row r="23" spans="1:6">
      <c r="B23" s="144"/>
    </row>
  </sheetData>
  <conditionalFormatting sqref="C21">
    <cfRule type="cellIs" dxfId="19" priority="1" operator="lessThan">
      <formula>#REF!</formula>
    </cfRule>
  </conditionalFormatting>
  <pageMargins left="0.7" right="0.7" top="0.75" bottom="0.75" header="0.3" footer="0.3"/>
  <pageSetup paperSize="9" scale="86" orientation="portrait" horizontalDpi="300" verticalDpi="300" r:id="rId1"/>
  <headerFooter>
    <oddFooter>&amp;C_x000D_&amp;1#&amp;"Aptos"&amp;10&amp;K000000 C4 - EXTERNAL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6"/>
  <sheetViews>
    <sheetView showGridLines="0" zoomScale="90" zoomScaleNormal="90" workbookViewId="0">
      <selection activeCell="B28" sqref="B28"/>
    </sheetView>
  </sheetViews>
  <sheetFormatPr defaultRowHeight="14.4"/>
  <cols>
    <col min="1" max="1" width="107.109375" bestFit="1" customWidth="1"/>
    <col min="2" max="2" width="50.88671875" bestFit="1" customWidth="1"/>
    <col min="3" max="3" width="28.109375" bestFit="1" customWidth="1"/>
    <col min="4" max="4" width="28.21875" customWidth="1"/>
    <col min="5" max="7" width="28.109375" customWidth="1"/>
  </cols>
  <sheetData>
    <row r="1" spans="1:3">
      <c r="A1" s="324" t="str">
        <f>'9.1. Capital Requirements'!A1</f>
        <v>Bank:</v>
      </c>
      <c r="B1" s="325" t="str">
        <f>'1. key ratios '!B1</f>
        <v xml:space="preserve">PASHA Bank Georgia JSC </v>
      </c>
    </row>
    <row r="2" spans="1:3">
      <c r="A2" s="324" t="str">
        <f>'9.1. Capital Requirements'!A2</f>
        <v>Date:</v>
      </c>
      <c r="B2" s="326">
        <f>'1. key ratios '!B2</f>
        <v>46203</v>
      </c>
    </row>
    <row r="3" spans="1:3">
      <c r="A3" s="327" t="s">
        <v>675</v>
      </c>
      <c r="B3" s="328" t="s">
        <v>676</v>
      </c>
    </row>
    <row r="4" spans="1:3" ht="15" thickBot="1"/>
    <row r="5" spans="1:3">
      <c r="A5" s="329"/>
      <c r="B5" s="330" t="s">
        <v>677</v>
      </c>
      <c r="C5" s="458"/>
    </row>
    <row r="6" spans="1:3">
      <c r="A6" s="331" t="s">
        <v>697</v>
      </c>
      <c r="B6" s="332">
        <f>SUM(B7,B11)</f>
        <v>164725459.33129999</v>
      </c>
      <c r="C6" s="459"/>
    </row>
    <row r="7" spans="1:3" ht="15.6">
      <c r="A7" s="331" t="s">
        <v>683</v>
      </c>
      <c r="B7" s="332">
        <f>SUM(B8:B10)</f>
        <v>164725459.33129999</v>
      </c>
      <c r="C7" s="459"/>
    </row>
    <row r="8" spans="1:3">
      <c r="A8" s="333" t="s">
        <v>678</v>
      </c>
      <c r="B8" s="334">
        <f>'9.Capital'!C29</f>
        <v>124515015.9903</v>
      </c>
      <c r="C8" s="459"/>
    </row>
    <row r="9" spans="1:3">
      <c r="A9" s="333" t="s">
        <v>679</v>
      </c>
      <c r="B9" s="334">
        <f>'9.Capital'!C42</f>
        <v>13226500</v>
      </c>
      <c r="C9" s="459"/>
    </row>
    <row r="10" spans="1:3">
      <c r="A10" s="333" t="s">
        <v>680</v>
      </c>
      <c r="B10" s="334">
        <f>'9.Capital'!C53</f>
        <v>26983943.340999998</v>
      </c>
      <c r="C10" s="459"/>
    </row>
    <row r="11" spans="1:3">
      <c r="A11" s="331" t="s">
        <v>684</v>
      </c>
      <c r="B11" s="332">
        <f>SUM(B12:B13)</f>
        <v>0</v>
      </c>
      <c r="C11" s="459"/>
    </row>
    <row r="12" spans="1:3" ht="15.6">
      <c r="A12" s="333" t="s">
        <v>703</v>
      </c>
      <c r="B12" s="334"/>
      <c r="C12" s="459"/>
    </row>
    <row r="13" spans="1:3" ht="15.6">
      <c r="A13" s="333" t="s">
        <v>685</v>
      </c>
      <c r="B13" s="334"/>
      <c r="C13" s="459"/>
    </row>
    <row r="14" spans="1:3">
      <c r="A14" s="331" t="s">
        <v>686</v>
      </c>
      <c r="B14" s="332">
        <f>SUM(B15:B16)</f>
        <v>164725459.33129999</v>
      </c>
      <c r="C14" s="459"/>
    </row>
    <row r="15" spans="1:3">
      <c r="A15" s="335" t="s">
        <v>687</v>
      </c>
      <c r="B15" s="334"/>
      <c r="C15" s="459"/>
    </row>
    <row r="16" spans="1:3">
      <c r="A16" s="335" t="s">
        <v>688</v>
      </c>
      <c r="B16" s="334">
        <f>B7</f>
        <v>164725459.33129999</v>
      </c>
      <c r="C16" s="459"/>
    </row>
    <row r="17" spans="1:5">
      <c r="A17" s="331" t="s">
        <v>691</v>
      </c>
      <c r="B17" s="332"/>
      <c r="C17" s="459"/>
    </row>
    <row r="18" spans="1:5">
      <c r="A18" s="335" t="s">
        <v>689</v>
      </c>
      <c r="B18" s="334">
        <f>'5. RWA '!C13</f>
        <v>641059635.65278959</v>
      </c>
      <c r="C18" s="459"/>
    </row>
    <row r="19" spans="1:5">
      <c r="A19" s="335" t="s">
        <v>690</v>
      </c>
      <c r="B19" s="334">
        <f>'15.1 LR'!C32</f>
        <v>696957169.13287997</v>
      </c>
      <c r="C19" s="459"/>
    </row>
    <row r="20" spans="1:5">
      <c r="A20" s="331" t="s">
        <v>705</v>
      </c>
      <c r="B20" s="332"/>
      <c r="C20" s="459"/>
    </row>
    <row r="21" spans="1:5">
      <c r="A21" s="336" t="s">
        <v>692</v>
      </c>
      <c r="B21" s="337">
        <f>IFERROR(B6/B18,0)</f>
        <v>0.2569580896534851</v>
      </c>
      <c r="C21" s="459"/>
    </row>
    <row r="22" spans="1:5">
      <c r="A22" s="336" t="s">
        <v>709</v>
      </c>
      <c r="B22" s="337">
        <f>IFERROR(B6/B19,0)</f>
        <v>0.2363494725741086</v>
      </c>
      <c r="C22" s="499"/>
    </row>
    <row r="23" spans="1:5" ht="15" thickBot="1">
      <c r="A23" s="338" t="s">
        <v>693</v>
      </c>
      <c r="B23" s="339">
        <f>IFERROR(B6/B14,0)</f>
        <v>1</v>
      </c>
      <c r="C23" s="459"/>
    </row>
    <row r="24" spans="1:5" ht="16.5" customHeight="1">
      <c r="A24" s="340" t="s">
        <v>681</v>
      </c>
      <c r="B24" s="341"/>
      <c r="C24" s="341"/>
      <c r="D24" s="341"/>
      <c r="E24" s="341"/>
    </row>
    <row r="25" spans="1:5" ht="25.5" customHeight="1">
      <c r="A25" s="340" t="s">
        <v>702</v>
      </c>
    </row>
    <row r="26" spans="1:5" ht="42.45" customHeight="1">
      <c r="A26" s="340" t="s">
        <v>704</v>
      </c>
      <c r="B26" s="109"/>
    </row>
  </sheetData>
  <pageMargins left="0.7" right="0.7" top="0.75" bottom="0.75" header="0.3" footer="0.3"/>
  <pageSetup paperSize="9" scale="55" orientation="portrait" horizontalDpi="300" verticalDpi="300" r:id="rId1"/>
  <headerFooter>
    <oddFooter>&amp;C_x000D_&amp;1#&amp;"Aptos"&amp;10&amp;K000000 C4 - EXTERNAL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0"/>
  <sheetViews>
    <sheetView showGridLines="0" zoomScale="80" zoomScaleNormal="80" workbookViewId="0">
      <selection activeCell="B42" sqref="B42"/>
    </sheetView>
  </sheetViews>
  <sheetFormatPr defaultRowHeight="14.4"/>
  <cols>
    <col min="1" max="1" width="56.77734375" customWidth="1"/>
    <col min="2" max="2" width="28.109375" bestFit="1" customWidth="1"/>
    <col min="3" max="3" width="28.21875" customWidth="1"/>
    <col min="4" max="6" width="28.109375" customWidth="1"/>
  </cols>
  <sheetData>
    <row r="1" spans="1:7">
      <c r="A1" s="324" t="s">
        <v>30</v>
      </c>
      <c r="B1" s="326" t="str">
        <f>'1. key ratios '!B1</f>
        <v xml:space="preserve">PASHA Bank Georgia JSC </v>
      </c>
      <c r="C1" s="109"/>
    </row>
    <row r="2" spans="1:7">
      <c r="A2" s="324" t="s">
        <v>31</v>
      </c>
      <c r="B2" s="326">
        <f>'1. key ratios '!B2</f>
        <v>46203</v>
      </c>
      <c r="C2" s="109"/>
    </row>
    <row r="3" spans="1:7">
      <c r="A3" s="327" t="s">
        <v>682</v>
      </c>
      <c r="B3" s="328" t="s">
        <v>676</v>
      </c>
      <c r="C3" s="109"/>
    </row>
    <row r="5" spans="1:7">
      <c r="A5" s="342"/>
    </row>
    <row r="6" spans="1:7" ht="15" thickBot="1">
      <c r="A6" s="343"/>
      <c r="B6" s="343"/>
      <c r="C6" s="343"/>
      <c r="D6" s="343"/>
      <c r="E6" s="343"/>
      <c r="F6" s="343"/>
    </row>
    <row r="7" spans="1:7">
      <c r="A7" s="782"/>
      <c r="B7" s="784" t="s">
        <v>708</v>
      </c>
      <c r="C7" s="784"/>
      <c r="D7" s="784"/>
      <c r="E7" s="784"/>
      <c r="F7" s="785" t="s">
        <v>64</v>
      </c>
    </row>
    <row r="8" spans="1:7">
      <c r="A8" s="783"/>
      <c r="B8" s="344" t="s">
        <v>694</v>
      </c>
      <c r="C8" s="344" t="s">
        <v>695</v>
      </c>
      <c r="D8" s="344" t="s">
        <v>696</v>
      </c>
      <c r="E8" s="344" t="s">
        <v>706</v>
      </c>
      <c r="F8" s="786"/>
    </row>
    <row r="9" spans="1:7">
      <c r="A9" s="345" t="s">
        <v>697</v>
      </c>
      <c r="B9" s="346">
        <f>B13+B17</f>
        <v>0</v>
      </c>
      <c r="C9" s="346">
        <f t="shared" ref="C9:E9" si="0">C13+C17</f>
        <v>0</v>
      </c>
      <c r="D9" s="346">
        <f t="shared" si="0"/>
        <v>0</v>
      </c>
      <c r="E9" s="346">
        <f t="shared" si="0"/>
        <v>0</v>
      </c>
      <c r="F9" s="347">
        <f>F13+F17</f>
        <v>0</v>
      </c>
      <c r="G9" s="456"/>
    </row>
    <row r="10" spans="1:7">
      <c r="A10" s="348" t="s">
        <v>699</v>
      </c>
      <c r="B10" s="349">
        <f t="shared" ref="B10:E12" si="1">B14+B18</f>
        <v>0</v>
      </c>
      <c r="C10" s="349">
        <f t="shared" si="1"/>
        <v>0</v>
      </c>
      <c r="D10" s="349">
        <f t="shared" si="1"/>
        <v>0</v>
      </c>
      <c r="E10" s="349">
        <f t="shared" si="1"/>
        <v>0</v>
      </c>
      <c r="F10" s="347">
        <f>SUM(B10:E10)</f>
        <v>0</v>
      </c>
      <c r="G10" s="456"/>
    </row>
    <row r="11" spans="1:7">
      <c r="A11" s="348" t="s">
        <v>707</v>
      </c>
      <c r="B11" s="349">
        <f t="shared" si="1"/>
        <v>0</v>
      </c>
      <c r="C11" s="349">
        <f t="shared" si="1"/>
        <v>0</v>
      </c>
      <c r="D11" s="349">
        <f t="shared" si="1"/>
        <v>0</v>
      </c>
      <c r="E11" s="349">
        <f t="shared" si="1"/>
        <v>0</v>
      </c>
      <c r="F11" s="347">
        <f t="shared" ref="F11:F12" si="2">SUM(B11:E11)</f>
        <v>0</v>
      </c>
      <c r="G11" s="456"/>
    </row>
    <row r="12" spans="1:7">
      <c r="A12" s="350" t="s">
        <v>698</v>
      </c>
      <c r="B12" s="349">
        <f t="shared" si="1"/>
        <v>0</v>
      </c>
      <c r="C12" s="349">
        <f t="shared" si="1"/>
        <v>0</v>
      </c>
      <c r="D12" s="349">
        <f t="shared" si="1"/>
        <v>0</v>
      </c>
      <c r="E12" s="349">
        <f t="shared" si="1"/>
        <v>0</v>
      </c>
      <c r="F12" s="347">
        <f t="shared" si="2"/>
        <v>0</v>
      </c>
      <c r="G12" s="456"/>
    </row>
    <row r="13" spans="1:7">
      <c r="A13" s="351" t="s">
        <v>688</v>
      </c>
      <c r="B13" s="352"/>
      <c r="C13" s="352"/>
      <c r="D13" s="352"/>
      <c r="E13" s="352"/>
      <c r="F13" s="353"/>
      <c r="G13" s="456"/>
    </row>
    <row r="14" spans="1:7">
      <c r="A14" s="348" t="s">
        <v>699</v>
      </c>
      <c r="B14" s="354"/>
      <c r="C14" s="354"/>
      <c r="D14" s="354"/>
      <c r="E14" s="354"/>
      <c r="F14" s="355"/>
      <c r="G14" s="456"/>
    </row>
    <row r="15" spans="1:7">
      <c r="A15" s="348" t="s">
        <v>707</v>
      </c>
      <c r="B15" s="354"/>
      <c r="C15" s="354"/>
      <c r="D15" s="354"/>
      <c r="E15" s="354"/>
      <c r="F15" s="355"/>
      <c r="G15" s="456"/>
    </row>
    <row r="16" spans="1:7">
      <c r="A16" s="350" t="s">
        <v>698</v>
      </c>
      <c r="B16" s="354"/>
      <c r="C16" s="354"/>
      <c r="D16" s="354"/>
      <c r="E16" s="354"/>
      <c r="F16" s="355"/>
      <c r="G16" s="456"/>
    </row>
    <row r="17" spans="1:7">
      <c r="A17" s="351" t="s">
        <v>684</v>
      </c>
      <c r="B17" s="352"/>
      <c r="C17" s="352"/>
      <c r="D17" s="352"/>
      <c r="E17" s="352"/>
      <c r="F17" s="355"/>
      <c r="G17" s="456"/>
    </row>
    <row r="18" spans="1:7">
      <c r="A18" s="348" t="s">
        <v>699</v>
      </c>
      <c r="B18" s="354"/>
      <c r="C18" s="354"/>
      <c r="D18" s="354"/>
      <c r="E18" s="354"/>
      <c r="F18" s="355"/>
      <c r="G18" s="456"/>
    </row>
    <row r="19" spans="1:7">
      <c r="A19" s="348" t="s">
        <v>707</v>
      </c>
      <c r="B19" s="354"/>
      <c r="C19" s="354"/>
      <c r="D19" s="354"/>
      <c r="E19" s="354"/>
      <c r="F19" s="355"/>
      <c r="G19" s="456"/>
    </row>
    <row r="20" spans="1:7" ht="15" thickBot="1">
      <c r="A20" s="350" t="s">
        <v>698</v>
      </c>
      <c r="B20" s="356"/>
      <c r="C20" s="356"/>
      <c r="D20" s="356"/>
      <c r="E20" s="356"/>
      <c r="F20" s="357"/>
      <c r="G20" s="456"/>
    </row>
  </sheetData>
  <mergeCells count="3">
    <mergeCell ref="A7:A8"/>
    <mergeCell ref="B7:E7"/>
    <mergeCell ref="F7:F8"/>
  </mergeCells>
  <pageMargins left="0.7" right="0.7" top="0.75" bottom="0.75" header="0.3" footer="0.3"/>
  <pageSetup paperSize="9" scale="44" orientation="portrait" horizontalDpi="300" verticalDpi="300" r:id="rId1"/>
  <headerFooter>
    <oddFooter>&amp;C_x000D_&amp;1#&amp;"Aptos"&amp;10&amp;K000000 C4 - EXTERNAL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8"/>
  <sheetViews>
    <sheetView zoomScale="80" zoomScaleNormal="80" workbookViewId="0">
      <pane xSplit="1" ySplit="5" topLeftCell="B6" activePane="bottomRight" state="frozen"/>
      <selection activeCell="B42" sqref="B42"/>
      <selection pane="topRight" activeCell="B42" sqref="B42"/>
      <selection pane="bottomLeft" activeCell="B42" sqref="B42"/>
      <selection pane="bottomRight" activeCell="I46" sqref="I46"/>
    </sheetView>
  </sheetViews>
  <sheetFormatPr defaultColWidth="9.21875" defaultRowHeight="13.8"/>
  <cols>
    <col min="1" max="1" width="10.77734375" style="4" customWidth="1"/>
    <col min="2" max="2" width="91.77734375" style="4" customWidth="1"/>
    <col min="3" max="3" width="53.21875" style="4" customWidth="1"/>
    <col min="4" max="4" width="32.21875" style="4" customWidth="1"/>
    <col min="5" max="5" width="12.6640625" style="5" customWidth="1"/>
    <col min="6" max="16384" width="9.21875" style="5"/>
  </cols>
  <sheetData>
    <row r="1" spans="1:6">
      <c r="A1" s="2" t="s">
        <v>30</v>
      </c>
      <c r="B1" s="3" t="str">
        <f>'Info '!C2</f>
        <v xml:space="preserve">PASHA Bank Georgia JSC </v>
      </c>
      <c r="E1" s="4"/>
      <c r="F1" s="4"/>
    </row>
    <row r="2" spans="1:6" s="2" customFormat="1" ht="15.75" customHeight="1">
      <c r="A2" s="2" t="s">
        <v>31</v>
      </c>
      <c r="B2" s="209">
        <f>'1. key ratios '!B2</f>
        <v>46203</v>
      </c>
    </row>
    <row r="3" spans="1:6" s="2" customFormat="1" ht="15.75" customHeight="1">
      <c r="A3" s="61"/>
    </row>
    <row r="4" spans="1:6" s="2" customFormat="1" ht="15.75" customHeight="1" thickBot="1">
      <c r="A4" s="2" t="s">
        <v>47</v>
      </c>
      <c r="B4" s="103" t="s">
        <v>165</v>
      </c>
      <c r="D4" s="16" t="s">
        <v>35</v>
      </c>
    </row>
    <row r="5" spans="1:6" ht="26.4">
      <c r="A5" s="643" t="s">
        <v>6</v>
      </c>
      <c r="B5" s="644" t="s">
        <v>205</v>
      </c>
      <c r="C5" s="645" t="s">
        <v>624</v>
      </c>
      <c r="D5" s="646" t="s">
        <v>49</v>
      </c>
    </row>
    <row r="6" spans="1:6" ht="14.4">
      <c r="A6" s="620">
        <v>1</v>
      </c>
      <c r="B6" s="621" t="s">
        <v>525</v>
      </c>
      <c r="C6" s="628">
        <f>SUM(C7:C9)</f>
        <v>106769228.44350001</v>
      </c>
      <c r="D6" s="647"/>
      <c r="E6" s="62"/>
      <c r="F6" s="62"/>
    </row>
    <row r="7" spans="1:6" ht="14.4">
      <c r="A7" s="620">
        <v>1.1000000000000001</v>
      </c>
      <c r="B7" s="622" t="s">
        <v>526</v>
      </c>
      <c r="C7" s="629">
        <v>3343795.5180000002</v>
      </c>
      <c r="D7" s="63"/>
      <c r="E7" s="62"/>
      <c r="F7" s="62"/>
    </row>
    <row r="8" spans="1:6" ht="14.4">
      <c r="A8" s="620">
        <v>1.2</v>
      </c>
      <c r="B8" s="622" t="s">
        <v>527</v>
      </c>
      <c r="C8" s="629">
        <v>28651680.360799998</v>
      </c>
      <c r="D8" s="63"/>
      <c r="E8" s="62"/>
      <c r="F8" s="62"/>
    </row>
    <row r="9" spans="1:6" ht="14.4">
      <c r="A9" s="620">
        <v>1.3</v>
      </c>
      <c r="B9" s="622" t="s">
        <v>528</v>
      </c>
      <c r="C9" s="629">
        <v>74773752.564700007</v>
      </c>
      <c r="D9" s="63"/>
      <c r="E9" s="62"/>
      <c r="F9" s="62"/>
    </row>
    <row r="10" spans="1:6" ht="14.4">
      <c r="A10" s="620">
        <v>2</v>
      </c>
      <c r="B10" s="251" t="s">
        <v>529</v>
      </c>
      <c r="C10" s="630">
        <f>C11</f>
        <v>2902722.7499000002</v>
      </c>
      <c r="D10" s="63"/>
      <c r="E10" s="62"/>
      <c r="F10" s="62"/>
    </row>
    <row r="11" spans="1:6" ht="14.4">
      <c r="A11" s="620">
        <v>2.1</v>
      </c>
      <c r="B11" s="623" t="s">
        <v>530</v>
      </c>
      <c r="C11" s="631">
        <v>2902722.7499000002</v>
      </c>
      <c r="D11" s="262"/>
      <c r="E11" s="62"/>
      <c r="F11" s="62"/>
    </row>
    <row r="12" spans="1:6" ht="14.4">
      <c r="A12" s="620">
        <v>3</v>
      </c>
      <c r="B12" s="252" t="s">
        <v>531</v>
      </c>
      <c r="C12" s="632"/>
      <c r="D12" s="262"/>
      <c r="E12" s="62"/>
      <c r="F12" s="62"/>
    </row>
    <row r="13" spans="1:6" ht="14.4">
      <c r="A13" s="620">
        <v>4</v>
      </c>
      <c r="B13" s="253" t="s">
        <v>532</v>
      </c>
      <c r="C13" s="632"/>
      <c r="D13" s="262"/>
      <c r="E13" s="62"/>
      <c r="F13" s="62"/>
    </row>
    <row r="14" spans="1:6" ht="14.4">
      <c r="A14" s="620">
        <v>5</v>
      </c>
      <c r="B14" s="254" t="s">
        <v>533</v>
      </c>
      <c r="C14" s="632">
        <f>SUM(C15:C17)</f>
        <v>0</v>
      </c>
      <c r="D14" s="262"/>
      <c r="E14" s="62"/>
      <c r="F14" s="62"/>
    </row>
    <row r="15" spans="1:6" ht="14.4">
      <c r="A15" s="620">
        <v>5.0999999999999996</v>
      </c>
      <c r="B15" s="255" t="s">
        <v>534</v>
      </c>
      <c r="C15" s="629"/>
      <c r="D15" s="262"/>
      <c r="E15" s="62"/>
      <c r="F15" s="62"/>
    </row>
    <row r="16" spans="1:6" ht="14.4">
      <c r="A16" s="620">
        <v>5.2</v>
      </c>
      <c r="B16" s="255" t="s">
        <v>535</v>
      </c>
      <c r="C16" s="629"/>
      <c r="D16" s="63"/>
      <c r="E16" s="62"/>
      <c r="F16" s="62"/>
    </row>
    <row r="17" spans="1:6" ht="14.4">
      <c r="A17" s="620">
        <v>5.3</v>
      </c>
      <c r="B17" s="256" t="s">
        <v>536</v>
      </c>
      <c r="C17" s="629"/>
      <c r="D17" s="63"/>
      <c r="E17" s="62"/>
      <c r="F17" s="62"/>
    </row>
    <row r="18" spans="1:6" ht="14.4">
      <c r="A18" s="620">
        <v>6</v>
      </c>
      <c r="B18" s="252" t="s">
        <v>537</v>
      </c>
      <c r="C18" s="630">
        <f>SUM(C19:C20)</f>
        <v>530740690.05020005</v>
      </c>
      <c r="D18" s="63"/>
      <c r="E18" s="62"/>
      <c r="F18" s="62"/>
    </row>
    <row r="19" spans="1:6" ht="14.4">
      <c r="A19" s="620">
        <v>6.1</v>
      </c>
      <c r="B19" s="255" t="s">
        <v>535</v>
      </c>
      <c r="C19" s="631">
        <v>116938557.9645</v>
      </c>
      <c r="D19" s="63"/>
      <c r="E19" s="62"/>
      <c r="F19" s="62"/>
    </row>
    <row r="20" spans="1:6" ht="14.4">
      <c r="A20" s="620">
        <v>6.2</v>
      </c>
      <c r="B20" s="256" t="s">
        <v>536</v>
      </c>
      <c r="C20" s="631">
        <v>413802132.08570004</v>
      </c>
      <c r="D20" s="63"/>
      <c r="E20" s="62"/>
      <c r="F20" s="62"/>
    </row>
    <row r="21" spans="1:6" ht="14.4">
      <c r="A21" s="620">
        <v>7</v>
      </c>
      <c r="B21" s="251" t="s">
        <v>538</v>
      </c>
      <c r="C21" s="632"/>
      <c r="D21" s="63"/>
      <c r="E21" s="62"/>
      <c r="F21" s="62"/>
    </row>
    <row r="22" spans="1:6" ht="14.4">
      <c r="A22" s="620">
        <v>8</v>
      </c>
      <c r="B22" s="257" t="s">
        <v>539</v>
      </c>
      <c r="C22" s="630"/>
      <c r="D22" s="63"/>
      <c r="E22" s="62"/>
      <c r="F22" s="62"/>
    </row>
    <row r="23" spans="1:6" ht="14.4">
      <c r="A23" s="620">
        <v>9</v>
      </c>
      <c r="B23" s="253" t="s">
        <v>540</v>
      </c>
      <c r="C23" s="630">
        <f>SUM(C24:C25)</f>
        <v>3769422.66</v>
      </c>
      <c r="D23" s="263"/>
      <c r="E23" s="62"/>
      <c r="F23" s="62"/>
    </row>
    <row r="24" spans="1:6" ht="14.4">
      <c r="A24" s="620">
        <v>9.1</v>
      </c>
      <c r="B24" s="255" t="s">
        <v>541</v>
      </c>
      <c r="C24" s="633">
        <v>3769422.66</v>
      </c>
      <c r="D24" s="64"/>
      <c r="E24" s="62"/>
      <c r="F24" s="62"/>
    </row>
    <row r="25" spans="1:6" ht="14.4">
      <c r="A25" s="620">
        <v>9.1999999999999993</v>
      </c>
      <c r="B25" s="255" t="s">
        <v>542</v>
      </c>
      <c r="C25" s="634"/>
      <c r="D25" s="648"/>
      <c r="E25" s="62"/>
      <c r="F25" s="62"/>
    </row>
    <row r="26" spans="1:6" ht="14.4">
      <c r="A26" s="620">
        <v>10</v>
      </c>
      <c r="B26" s="253" t="s">
        <v>543</v>
      </c>
      <c r="C26" s="635">
        <f>SUM(C27:C28)</f>
        <v>2813344.11</v>
      </c>
      <c r="D26" s="323" t="s">
        <v>665</v>
      </c>
      <c r="E26" s="62"/>
      <c r="F26" s="62"/>
    </row>
    <row r="27" spans="1:6" ht="14.4">
      <c r="A27" s="620">
        <v>10.1</v>
      </c>
      <c r="B27" s="255" t="s">
        <v>544</v>
      </c>
      <c r="C27" s="629"/>
      <c r="D27" s="63"/>
      <c r="E27" s="62"/>
      <c r="F27" s="62"/>
    </row>
    <row r="28" spans="1:6" ht="14.4">
      <c r="A28" s="620">
        <v>10.199999999999999</v>
      </c>
      <c r="B28" s="255" t="s">
        <v>545</v>
      </c>
      <c r="C28" s="629">
        <v>2813344.11</v>
      </c>
      <c r="D28" s="63"/>
      <c r="E28" s="62"/>
      <c r="F28" s="62"/>
    </row>
    <row r="29" spans="1:6" ht="14.4">
      <c r="A29" s="620">
        <v>11</v>
      </c>
      <c r="B29" s="253" t="s">
        <v>546</v>
      </c>
      <c r="C29" s="630">
        <f>SUM(C30:C31)</f>
        <v>2267793.91</v>
      </c>
      <c r="D29" s="323" t="s">
        <v>776</v>
      </c>
      <c r="E29" s="62"/>
      <c r="F29" s="62"/>
    </row>
    <row r="30" spans="1:6" ht="14.4">
      <c r="A30" s="620">
        <v>11.1</v>
      </c>
      <c r="B30" s="255" t="s">
        <v>547</v>
      </c>
      <c r="C30" s="629"/>
      <c r="D30" s="63"/>
      <c r="E30" s="62"/>
      <c r="F30" s="62"/>
    </row>
    <row r="31" spans="1:6" ht="14.4">
      <c r="A31" s="620">
        <v>11.2</v>
      </c>
      <c r="B31" s="255" t="s">
        <v>548</v>
      </c>
      <c r="C31" s="629">
        <v>2267793.91</v>
      </c>
      <c r="D31" s="63"/>
      <c r="E31" s="62"/>
      <c r="F31" s="62"/>
    </row>
    <row r="32" spans="1:6" ht="14.4">
      <c r="A32" s="620">
        <v>13</v>
      </c>
      <c r="B32" s="253" t="s">
        <v>549</v>
      </c>
      <c r="C32" s="630">
        <v>11900839.198099999</v>
      </c>
      <c r="D32" s="63"/>
      <c r="E32" s="62"/>
      <c r="F32" s="62"/>
    </row>
    <row r="33" spans="1:6" ht="14.4">
      <c r="A33" s="620">
        <v>13.1</v>
      </c>
      <c r="B33" s="624" t="s">
        <v>550</v>
      </c>
      <c r="C33" s="629">
        <v>4848246</v>
      </c>
      <c r="D33" s="63"/>
      <c r="E33" s="62"/>
      <c r="F33" s="62"/>
    </row>
    <row r="34" spans="1:6" ht="14.4">
      <c r="A34" s="620">
        <v>13.2</v>
      </c>
      <c r="B34" s="624" t="s">
        <v>551</v>
      </c>
      <c r="C34" s="633"/>
      <c r="D34" s="64"/>
      <c r="E34" s="62"/>
      <c r="F34" s="62"/>
    </row>
    <row r="35" spans="1:6" ht="14.4">
      <c r="A35" s="620">
        <v>14</v>
      </c>
      <c r="B35" s="416" t="s">
        <v>552</v>
      </c>
      <c r="C35" s="636">
        <f>SUM(C6,C10,C12,C13,C14,C18,C21,C22,C23,C26,C29,C32)</f>
        <v>661164041.12169993</v>
      </c>
      <c r="D35" s="64"/>
      <c r="E35" s="62"/>
      <c r="F35" s="62"/>
    </row>
    <row r="36" spans="1:6" ht="14.4">
      <c r="A36" s="620"/>
      <c r="B36" s="649" t="s">
        <v>553</v>
      </c>
      <c r="C36" s="637"/>
      <c r="D36" s="65"/>
      <c r="E36" s="62"/>
      <c r="F36" s="62"/>
    </row>
    <row r="37" spans="1:6" ht="14.4">
      <c r="A37" s="620">
        <v>15</v>
      </c>
      <c r="B37" s="258" t="s">
        <v>554</v>
      </c>
      <c r="C37" s="634">
        <f>C38</f>
        <v>147649.30969999998</v>
      </c>
      <c r="D37" s="648"/>
      <c r="E37" s="62"/>
      <c r="F37" s="62"/>
    </row>
    <row r="38" spans="1:6" ht="14.4">
      <c r="A38" s="620">
        <v>15.1</v>
      </c>
      <c r="B38" s="623" t="s">
        <v>530</v>
      </c>
      <c r="C38" s="629">
        <v>147649.30969999998</v>
      </c>
      <c r="D38" s="63"/>
      <c r="E38" s="62"/>
      <c r="F38" s="62"/>
    </row>
    <row r="39" spans="1:6" ht="14.4">
      <c r="A39" s="620">
        <v>16</v>
      </c>
      <c r="B39" s="251" t="s">
        <v>555</v>
      </c>
      <c r="C39" s="630"/>
      <c r="D39" s="63"/>
      <c r="E39" s="62"/>
      <c r="F39" s="62"/>
    </row>
    <row r="40" spans="1:6" ht="14.4">
      <c r="A40" s="620">
        <v>17</v>
      </c>
      <c r="B40" s="251" t="s">
        <v>556</v>
      </c>
      <c r="C40" s="630">
        <f>SUM(C41:C44)</f>
        <v>477647782.97569996</v>
      </c>
      <c r="D40" s="63"/>
      <c r="E40" s="62"/>
      <c r="F40" s="62"/>
    </row>
    <row r="41" spans="1:6" ht="14.4">
      <c r="A41" s="620">
        <v>17.100000000000001</v>
      </c>
      <c r="B41" s="259" t="s">
        <v>557</v>
      </c>
      <c r="C41" s="629">
        <v>444337480.32199997</v>
      </c>
      <c r="D41" s="63"/>
      <c r="E41" s="62"/>
      <c r="F41" s="62"/>
    </row>
    <row r="42" spans="1:6" ht="14.4">
      <c r="A42" s="620">
        <v>17.2</v>
      </c>
      <c r="B42" s="622" t="s">
        <v>558</v>
      </c>
      <c r="C42" s="633">
        <v>30377981.6633</v>
      </c>
      <c r="D42" s="63"/>
      <c r="E42" s="62"/>
      <c r="F42" s="62"/>
    </row>
    <row r="43" spans="1:6" ht="14.4">
      <c r="A43" s="620">
        <v>17.3</v>
      </c>
      <c r="B43" s="261" t="s">
        <v>559</v>
      </c>
      <c r="C43" s="638"/>
      <c r="D43" s="64"/>
      <c r="E43" s="62"/>
      <c r="F43" s="62"/>
    </row>
    <row r="44" spans="1:6" ht="14.4">
      <c r="A44" s="620">
        <v>17.399999999999999</v>
      </c>
      <c r="B44" s="650" t="s">
        <v>560</v>
      </c>
      <c r="C44" s="638">
        <v>2932320.9904</v>
      </c>
      <c r="D44" s="651"/>
      <c r="E44" s="62"/>
      <c r="F44" s="62"/>
    </row>
    <row r="45" spans="1:6" ht="14.4">
      <c r="A45" s="620">
        <v>18</v>
      </c>
      <c r="B45" s="416" t="s">
        <v>561</v>
      </c>
      <c r="C45" s="639">
        <v>168173.78989999997</v>
      </c>
      <c r="D45" s="652"/>
      <c r="E45" s="62"/>
      <c r="F45" s="62"/>
    </row>
    <row r="46" spans="1:6" ht="14.4">
      <c r="A46" s="620">
        <v>19</v>
      </c>
      <c r="B46" s="416" t="s">
        <v>562</v>
      </c>
      <c r="C46" s="640">
        <f>SUM(C47:C48)</f>
        <v>0</v>
      </c>
      <c r="D46" s="597"/>
      <c r="E46" s="62"/>
      <c r="F46" s="62"/>
    </row>
    <row r="47" spans="1:6" ht="14.4">
      <c r="A47" s="620">
        <v>19.100000000000001</v>
      </c>
      <c r="B47" s="412" t="s">
        <v>563</v>
      </c>
      <c r="C47" s="641"/>
      <c r="D47" s="597"/>
      <c r="E47" s="62"/>
      <c r="F47" s="62"/>
    </row>
    <row r="48" spans="1:6" ht="14.4">
      <c r="A48" s="620">
        <v>19.2</v>
      </c>
      <c r="B48" s="412" t="s">
        <v>564</v>
      </c>
      <c r="C48" s="641"/>
      <c r="D48" s="597"/>
      <c r="E48" s="62"/>
      <c r="F48" s="62"/>
    </row>
    <row r="49" spans="1:6" ht="14.4">
      <c r="A49" s="620">
        <v>20</v>
      </c>
      <c r="B49" s="653" t="s">
        <v>565</v>
      </c>
      <c r="C49" s="640">
        <v>31676030.412500001</v>
      </c>
      <c r="D49" s="323" t="s">
        <v>777</v>
      </c>
      <c r="E49" s="62"/>
      <c r="F49" s="62"/>
    </row>
    <row r="50" spans="1:6" ht="14.4">
      <c r="A50" s="620">
        <v>21</v>
      </c>
      <c r="B50" s="654" t="s">
        <v>566</v>
      </c>
      <c r="C50" s="640">
        <v>7546839.9285000004</v>
      </c>
      <c r="D50" s="597"/>
      <c r="E50" s="62"/>
      <c r="F50" s="62"/>
    </row>
    <row r="51" spans="1:6" ht="14.4">
      <c r="A51" s="620">
        <v>21.1</v>
      </c>
      <c r="B51" s="622" t="s">
        <v>567</v>
      </c>
      <c r="C51" s="641"/>
      <c r="D51" s="597"/>
      <c r="E51" s="62"/>
      <c r="F51" s="62"/>
    </row>
    <row r="52" spans="1:6" ht="14.4">
      <c r="A52" s="620">
        <v>22</v>
      </c>
      <c r="B52" s="419" t="s">
        <v>568</v>
      </c>
      <c r="C52" s="640">
        <f>SUM(C37,C39,C40,C45,C46,C49,C50)</f>
        <v>517186476.4163</v>
      </c>
      <c r="D52" s="597"/>
      <c r="E52" s="62"/>
      <c r="F52" s="62"/>
    </row>
    <row r="53" spans="1:6" ht="14.4">
      <c r="A53" s="620"/>
      <c r="B53" s="649" t="s">
        <v>569</v>
      </c>
      <c r="C53" s="641"/>
      <c r="D53" s="597"/>
      <c r="E53" s="62"/>
      <c r="F53" s="62"/>
    </row>
    <row r="54" spans="1:6" ht="14.4">
      <c r="A54" s="620">
        <v>23</v>
      </c>
      <c r="B54" s="653" t="s">
        <v>570</v>
      </c>
      <c r="C54" s="639">
        <v>136800000</v>
      </c>
      <c r="D54" s="323" t="s">
        <v>778</v>
      </c>
      <c r="E54" s="62"/>
      <c r="F54" s="62"/>
    </row>
    <row r="55" spans="1:6" ht="14.4">
      <c r="A55" s="620">
        <v>24</v>
      </c>
      <c r="B55" s="653" t="s">
        <v>571</v>
      </c>
      <c r="C55" s="639"/>
      <c r="D55" s="597"/>
      <c r="E55" s="62"/>
      <c r="F55" s="62"/>
    </row>
    <row r="56" spans="1:6" ht="14.4">
      <c r="A56" s="620">
        <v>25</v>
      </c>
      <c r="B56" s="416" t="s">
        <v>572</v>
      </c>
      <c r="C56" s="639"/>
      <c r="D56" s="597"/>
      <c r="E56" s="62"/>
      <c r="F56" s="62"/>
    </row>
    <row r="57" spans="1:6" ht="14.4">
      <c r="A57" s="620">
        <v>26</v>
      </c>
      <c r="B57" s="416" t="s">
        <v>573</v>
      </c>
      <c r="C57" s="639"/>
      <c r="D57" s="597"/>
      <c r="E57" s="62"/>
      <c r="F57" s="62"/>
    </row>
    <row r="58" spans="1:6" ht="14.4">
      <c r="A58" s="620">
        <v>27</v>
      </c>
      <c r="B58" s="416" t="s">
        <v>574</v>
      </c>
      <c r="C58" s="639">
        <f>SUM(C59:C60)</f>
        <v>14381410.5</v>
      </c>
      <c r="D58" s="597"/>
      <c r="E58" s="62"/>
      <c r="F58" s="62"/>
    </row>
    <row r="59" spans="1:6" ht="14.4">
      <c r="A59" s="620">
        <v>27.1</v>
      </c>
      <c r="B59" s="650" t="s">
        <v>575</v>
      </c>
      <c r="C59" s="638">
        <v>1154910.5</v>
      </c>
      <c r="D59" s="597"/>
      <c r="E59" s="62"/>
      <c r="F59" s="62"/>
    </row>
    <row r="60" spans="1:6" ht="14.4">
      <c r="A60" s="620">
        <v>27.2</v>
      </c>
      <c r="B60" s="650" t="s">
        <v>576</v>
      </c>
      <c r="C60" s="638">
        <v>13226500</v>
      </c>
      <c r="D60" s="597"/>
      <c r="E60" s="62"/>
      <c r="F60" s="62"/>
    </row>
    <row r="61" spans="1:6" ht="14.4">
      <c r="A61" s="620">
        <v>28</v>
      </c>
      <c r="B61" s="655" t="s">
        <v>577</v>
      </c>
      <c r="C61" s="639"/>
      <c r="D61" s="597"/>
      <c r="E61" s="62"/>
      <c r="F61" s="62"/>
    </row>
    <row r="62" spans="1:6" ht="14.4">
      <c r="A62" s="620">
        <v>29</v>
      </c>
      <c r="B62" s="416" t="s">
        <v>578</v>
      </c>
      <c r="C62" s="639">
        <f>SUM(C63:C65)</f>
        <v>0</v>
      </c>
      <c r="D62" s="597"/>
      <c r="E62" s="62"/>
      <c r="F62" s="62"/>
    </row>
    <row r="63" spans="1:6" ht="14.4">
      <c r="A63" s="620">
        <v>29.1</v>
      </c>
      <c r="B63" s="656" t="s">
        <v>579</v>
      </c>
      <c r="C63" s="638"/>
      <c r="D63" s="597"/>
      <c r="E63" s="62"/>
      <c r="F63" s="62"/>
    </row>
    <row r="64" spans="1:6" ht="14.4">
      <c r="A64" s="620">
        <v>29.2</v>
      </c>
      <c r="B64" s="412" t="s">
        <v>580</v>
      </c>
      <c r="C64" s="638"/>
      <c r="D64" s="597"/>
      <c r="E64" s="62"/>
      <c r="F64" s="62"/>
    </row>
    <row r="65" spans="1:6" ht="14.4">
      <c r="A65" s="620">
        <v>29.3</v>
      </c>
      <c r="B65" s="412" t="s">
        <v>581</v>
      </c>
      <c r="C65" s="638"/>
      <c r="D65" s="597"/>
      <c r="E65" s="62"/>
      <c r="F65" s="62"/>
    </row>
    <row r="66" spans="1:6" ht="14.4">
      <c r="A66" s="620">
        <v>30</v>
      </c>
      <c r="B66" s="416" t="s">
        <v>582</v>
      </c>
      <c r="C66" s="639">
        <v>-7203845.9896999998</v>
      </c>
      <c r="D66" s="323" t="s">
        <v>779</v>
      </c>
      <c r="E66" s="62"/>
      <c r="F66" s="62"/>
    </row>
    <row r="67" spans="1:6" ht="14.4">
      <c r="A67" s="620">
        <v>31</v>
      </c>
      <c r="B67" s="657" t="s">
        <v>583</v>
      </c>
      <c r="C67" s="639">
        <f>SUM(C54,C55,C56,C57,C58,C61,C62,C66)</f>
        <v>143977564.51030001</v>
      </c>
      <c r="D67" s="597"/>
      <c r="E67" s="62"/>
      <c r="F67" s="62"/>
    </row>
    <row r="68" spans="1:6" ht="15" thickBot="1">
      <c r="A68" s="658">
        <v>32</v>
      </c>
      <c r="B68" s="659" t="s">
        <v>584</v>
      </c>
      <c r="C68" s="642">
        <f>SUM(C52,C67)</f>
        <v>661164040.92659998</v>
      </c>
      <c r="D68" s="660"/>
      <c r="E68" s="62"/>
      <c r="F68" s="62"/>
    </row>
  </sheetData>
  <pageMargins left="0.7" right="0.7" top="0.75" bottom="0.75" header="0.3" footer="0.3"/>
  <pageSetup paperSize="9" scale="46" orientation="portrait" horizontalDpi="300" verticalDpi="300" r:id="rId1"/>
  <headerFooter>
    <oddFooter>&amp;C_x000D_&amp;1#&amp;"Aptos"&amp;10&amp;K000000 C4 - EXTERNAL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9"/>
  <sheetViews>
    <sheetView zoomScale="80" zoomScaleNormal="80" workbookViewId="0">
      <pane xSplit="1" ySplit="4" topLeftCell="C5" activePane="bottomRight" state="frozen"/>
      <selection activeCell="B42" sqref="B42"/>
      <selection pane="topRight" activeCell="B42" sqref="B42"/>
      <selection pane="bottomLeft" activeCell="B42" sqref="B42"/>
      <selection pane="bottomRight" activeCell="D14" sqref="D14"/>
    </sheetView>
  </sheetViews>
  <sheetFormatPr defaultColWidth="9.218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21875" style="4" bestFit="1" customWidth="1"/>
    <col min="9" max="9" width="13" style="4" bestFit="1" customWidth="1"/>
    <col min="10" max="10" width="13.21875" style="4" bestFit="1" customWidth="1"/>
    <col min="11" max="11" width="13" style="4" bestFit="1" customWidth="1"/>
    <col min="12" max="16" width="13" style="15" bestFit="1" customWidth="1"/>
    <col min="17" max="17" width="14.77734375" style="15" customWidth="1"/>
    <col min="18" max="18" width="13" style="15" bestFit="1" customWidth="1"/>
    <col min="19" max="19" width="34.77734375" style="15" customWidth="1"/>
    <col min="20" max="16384" width="9.21875" style="15"/>
  </cols>
  <sheetData>
    <row r="1" spans="1:19">
      <c r="A1" s="2" t="s">
        <v>30</v>
      </c>
      <c r="B1" s="3" t="str">
        <f>'Info '!C2</f>
        <v xml:space="preserve">PASHA Bank Georgia JSC </v>
      </c>
    </row>
    <row r="2" spans="1:19">
      <c r="A2" s="2" t="s">
        <v>31</v>
      </c>
      <c r="B2" s="209">
        <f>'1. key ratios '!B2</f>
        <v>46203</v>
      </c>
    </row>
    <row r="4" spans="1:19" ht="27" thickBot="1">
      <c r="A4" s="4" t="s">
        <v>146</v>
      </c>
      <c r="B4" s="136" t="s">
        <v>238</v>
      </c>
    </row>
    <row r="5" spans="1:19" s="127" customFormat="1" ht="13.8">
      <c r="A5" s="122"/>
      <c r="B5" s="123"/>
      <c r="C5" s="124" t="s">
        <v>0</v>
      </c>
      <c r="D5" s="124" t="s">
        <v>1</v>
      </c>
      <c r="E5" s="124" t="s">
        <v>2</v>
      </c>
      <c r="F5" s="124" t="s">
        <v>3</v>
      </c>
      <c r="G5" s="124" t="s">
        <v>4</v>
      </c>
      <c r="H5" s="124" t="s">
        <v>5</v>
      </c>
      <c r="I5" s="124" t="s">
        <v>8</v>
      </c>
      <c r="J5" s="124" t="s">
        <v>9</v>
      </c>
      <c r="K5" s="124" t="s">
        <v>10</v>
      </c>
      <c r="L5" s="124" t="s">
        <v>11</v>
      </c>
      <c r="M5" s="124" t="s">
        <v>12</v>
      </c>
      <c r="N5" s="124" t="s">
        <v>13</v>
      </c>
      <c r="O5" s="124" t="s">
        <v>222</v>
      </c>
      <c r="P5" s="124" t="s">
        <v>223</v>
      </c>
      <c r="Q5" s="124" t="s">
        <v>224</v>
      </c>
      <c r="R5" s="125" t="s">
        <v>225</v>
      </c>
      <c r="S5" s="126" t="s">
        <v>226</v>
      </c>
    </row>
    <row r="6" spans="1:19" s="127" customFormat="1" ht="99" customHeight="1">
      <c r="A6" s="128"/>
      <c r="B6" s="791" t="s">
        <v>227</v>
      </c>
      <c r="C6" s="787">
        <v>0</v>
      </c>
      <c r="D6" s="788"/>
      <c r="E6" s="787">
        <v>0.2</v>
      </c>
      <c r="F6" s="788"/>
      <c r="G6" s="787">
        <v>0.35</v>
      </c>
      <c r="H6" s="788"/>
      <c r="I6" s="787">
        <v>0.5</v>
      </c>
      <c r="J6" s="788"/>
      <c r="K6" s="787">
        <v>0.75</v>
      </c>
      <c r="L6" s="788"/>
      <c r="M6" s="787">
        <v>1</v>
      </c>
      <c r="N6" s="788"/>
      <c r="O6" s="787">
        <v>1.5</v>
      </c>
      <c r="P6" s="788"/>
      <c r="Q6" s="787">
        <v>2.5</v>
      </c>
      <c r="R6" s="788"/>
      <c r="S6" s="789" t="s">
        <v>145</v>
      </c>
    </row>
    <row r="7" spans="1:19" s="127" customFormat="1" ht="30.75" customHeight="1">
      <c r="A7" s="128"/>
      <c r="B7" s="792"/>
      <c r="C7" s="120" t="s">
        <v>148</v>
      </c>
      <c r="D7" s="120" t="s">
        <v>147</v>
      </c>
      <c r="E7" s="120" t="s">
        <v>148</v>
      </c>
      <c r="F7" s="120" t="s">
        <v>147</v>
      </c>
      <c r="G7" s="120" t="s">
        <v>148</v>
      </c>
      <c r="H7" s="120" t="s">
        <v>147</v>
      </c>
      <c r="I7" s="120" t="s">
        <v>148</v>
      </c>
      <c r="J7" s="120" t="s">
        <v>147</v>
      </c>
      <c r="K7" s="120" t="s">
        <v>148</v>
      </c>
      <c r="L7" s="120" t="s">
        <v>147</v>
      </c>
      <c r="M7" s="120" t="s">
        <v>148</v>
      </c>
      <c r="N7" s="120" t="s">
        <v>147</v>
      </c>
      <c r="O7" s="120" t="s">
        <v>148</v>
      </c>
      <c r="P7" s="120" t="s">
        <v>147</v>
      </c>
      <c r="Q7" s="120" t="s">
        <v>148</v>
      </c>
      <c r="R7" s="120" t="s">
        <v>147</v>
      </c>
      <c r="S7" s="790"/>
    </row>
    <row r="8" spans="1:19" ht="13.8">
      <c r="A8" s="66">
        <v>1</v>
      </c>
      <c r="B8" s="1" t="s">
        <v>51</v>
      </c>
      <c r="C8" s="661">
        <v>12985811.199999999</v>
      </c>
      <c r="D8" s="661"/>
      <c r="E8" s="661">
        <v>0</v>
      </c>
      <c r="F8" s="662"/>
      <c r="G8" s="661">
        <v>0</v>
      </c>
      <c r="H8" s="661"/>
      <c r="I8" s="661">
        <v>0</v>
      </c>
      <c r="J8" s="661"/>
      <c r="K8" s="661">
        <v>0</v>
      </c>
      <c r="L8" s="661"/>
      <c r="M8" s="661">
        <v>21135269.130800001</v>
      </c>
      <c r="N8" s="661"/>
      <c r="O8" s="661">
        <v>0</v>
      </c>
      <c r="P8" s="661"/>
      <c r="Q8" s="661">
        <v>0</v>
      </c>
      <c r="R8" s="662"/>
      <c r="S8" s="137">
        <f>$C$6*SUM(C8:D8)+$E$6*SUM(E8:F8)+$G$6*SUM(G8:H8)+$I$6*SUM(I8:J8)+$K$6*SUM(K8:L8)+$M$6*SUM(M8:N8)+$O$6*SUM(O8:P8)+$Q$6*SUM(Q8:R8)</f>
        <v>21135269.130800001</v>
      </c>
    </row>
    <row r="9" spans="1:19" ht="13.8">
      <c r="A9" s="66">
        <v>2</v>
      </c>
      <c r="B9" s="1" t="s">
        <v>52</v>
      </c>
      <c r="C9" s="661">
        <v>0</v>
      </c>
      <c r="D9" s="661"/>
      <c r="E9" s="661">
        <v>0</v>
      </c>
      <c r="F9" s="661"/>
      <c r="G9" s="661">
        <v>0</v>
      </c>
      <c r="H9" s="661"/>
      <c r="I9" s="661">
        <v>0</v>
      </c>
      <c r="J9" s="661"/>
      <c r="K9" s="661">
        <v>0</v>
      </c>
      <c r="L9" s="661"/>
      <c r="M9" s="661">
        <v>0</v>
      </c>
      <c r="N9" s="661"/>
      <c r="O9" s="661">
        <v>0</v>
      </c>
      <c r="P9" s="661"/>
      <c r="Q9" s="661">
        <v>0</v>
      </c>
      <c r="R9" s="662"/>
      <c r="S9" s="137">
        <f t="shared" ref="S9:S21" si="0">$C$6*SUM(C9:D9)+$E$6*SUM(E9:F9)+$G$6*SUM(G9:H9)+$I$6*SUM(I9:J9)+$K$6*SUM(K9:L9)+$M$6*SUM(M9:N9)+$O$6*SUM(O9:P9)+$Q$6*SUM(Q9:R9)</f>
        <v>0</v>
      </c>
    </row>
    <row r="10" spans="1:19" ht="13.8">
      <c r="A10" s="66">
        <v>3</v>
      </c>
      <c r="B10" s="1" t="s">
        <v>152</v>
      </c>
      <c r="C10" s="661">
        <v>0</v>
      </c>
      <c r="D10" s="661"/>
      <c r="E10" s="661">
        <v>0</v>
      </c>
      <c r="F10" s="661"/>
      <c r="G10" s="661">
        <v>0</v>
      </c>
      <c r="H10" s="661"/>
      <c r="I10" s="661">
        <v>0</v>
      </c>
      <c r="J10" s="661"/>
      <c r="K10" s="661">
        <v>0</v>
      </c>
      <c r="L10" s="661"/>
      <c r="M10" s="661">
        <v>0</v>
      </c>
      <c r="N10" s="661"/>
      <c r="O10" s="661">
        <v>0</v>
      </c>
      <c r="P10" s="661"/>
      <c r="Q10" s="661">
        <v>0</v>
      </c>
      <c r="R10" s="662"/>
      <c r="S10" s="137">
        <f t="shared" si="0"/>
        <v>0</v>
      </c>
    </row>
    <row r="11" spans="1:19" ht="13.8">
      <c r="A11" s="66">
        <v>4</v>
      </c>
      <c r="B11" s="1" t="s">
        <v>53</v>
      </c>
      <c r="C11" s="661">
        <v>0</v>
      </c>
      <c r="D11" s="661"/>
      <c r="E11" s="661">
        <v>0</v>
      </c>
      <c r="F11" s="661"/>
      <c r="G11" s="661">
        <v>0</v>
      </c>
      <c r="H11" s="661"/>
      <c r="I11" s="661">
        <v>0</v>
      </c>
      <c r="J11" s="661"/>
      <c r="K11" s="661">
        <v>0</v>
      </c>
      <c r="L11" s="661"/>
      <c r="M11" s="661">
        <v>0</v>
      </c>
      <c r="N11" s="661"/>
      <c r="O11" s="661">
        <v>0</v>
      </c>
      <c r="P11" s="661"/>
      <c r="Q11" s="661">
        <v>0</v>
      </c>
      <c r="R11" s="662"/>
      <c r="S11" s="137">
        <f t="shared" si="0"/>
        <v>0</v>
      </c>
    </row>
    <row r="12" spans="1:19" ht="13.8">
      <c r="A12" s="66">
        <v>5</v>
      </c>
      <c r="B12" s="1" t="s">
        <v>54</v>
      </c>
      <c r="C12" s="661">
        <v>0</v>
      </c>
      <c r="D12" s="661"/>
      <c r="E12" s="661">
        <v>0</v>
      </c>
      <c r="F12" s="661"/>
      <c r="G12" s="661">
        <v>0</v>
      </c>
      <c r="H12" s="661"/>
      <c r="I12" s="661">
        <v>0</v>
      </c>
      <c r="J12" s="661"/>
      <c r="K12" s="661">
        <v>0</v>
      </c>
      <c r="L12" s="661"/>
      <c r="M12" s="661">
        <v>0</v>
      </c>
      <c r="N12" s="661"/>
      <c r="O12" s="661">
        <v>0</v>
      </c>
      <c r="P12" s="661"/>
      <c r="Q12" s="661">
        <v>0</v>
      </c>
      <c r="R12" s="662"/>
      <c r="S12" s="137">
        <f t="shared" si="0"/>
        <v>0</v>
      </c>
    </row>
    <row r="13" spans="1:19" ht="13.8">
      <c r="A13" s="66">
        <v>6</v>
      </c>
      <c r="B13" s="1" t="s">
        <v>55</v>
      </c>
      <c r="C13" s="661">
        <v>0</v>
      </c>
      <c r="D13" s="661"/>
      <c r="E13" s="661">
        <v>63652859.497900002</v>
      </c>
      <c r="F13" s="661"/>
      <c r="G13" s="661">
        <v>0</v>
      </c>
      <c r="H13" s="661"/>
      <c r="I13" s="661">
        <v>16909844.383900002</v>
      </c>
      <c r="J13" s="661"/>
      <c r="K13" s="661">
        <v>0</v>
      </c>
      <c r="L13" s="661"/>
      <c r="M13" s="661">
        <v>11084688.034700001</v>
      </c>
      <c r="N13" s="661">
        <v>19990.909</v>
      </c>
      <c r="O13" s="661">
        <v>262257.67290000001</v>
      </c>
      <c r="P13" s="661"/>
      <c r="Q13" s="661">
        <v>0</v>
      </c>
      <c r="R13" s="662"/>
      <c r="S13" s="137">
        <f t="shared" si="0"/>
        <v>32683559.544580005</v>
      </c>
    </row>
    <row r="14" spans="1:19" ht="13.8">
      <c r="A14" s="66">
        <v>7</v>
      </c>
      <c r="B14" s="1" t="s">
        <v>56</v>
      </c>
      <c r="C14" s="661">
        <v>0</v>
      </c>
      <c r="D14" s="661"/>
      <c r="E14" s="661">
        <v>0</v>
      </c>
      <c r="F14" s="661"/>
      <c r="G14" s="661">
        <v>0</v>
      </c>
      <c r="H14" s="661"/>
      <c r="I14" s="661">
        <v>0</v>
      </c>
      <c r="J14" s="661"/>
      <c r="K14" s="661">
        <v>0</v>
      </c>
      <c r="L14" s="661"/>
      <c r="M14" s="661">
        <v>502862753.47009999</v>
      </c>
      <c r="N14" s="661">
        <v>34799038.855999999</v>
      </c>
      <c r="O14" s="661">
        <v>0</v>
      </c>
      <c r="P14" s="661"/>
      <c r="Q14" s="661">
        <v>0</v>
      </c>
      <c r="R14" s="662"/>
      <c r="S14" s="137">
        <f t="shared" si="0"/>
        <v>537661792.32609999</v>
      </c>
    </row>
    <row r="15" spans="1:19" ht="13.8">
      <c r="A15" s="66">
        <v>8</v>
      </c>
      <c r="B15" s="1" t="s">
        <v>57</v>
      </c>
      <c r="C15" s="661">
        <v>0</v>
      </c>
      <c r="D15" s="661"/>
      <c r="E15" s="661">
        <v>0</v>
      </c>
      <c r="F15" s="661"/>
      <c r="G15" s="661">
        <v>0</v>
      </c>
      <c r="H15" s="661"/>
      <c r="I15" s="661">
        <v>0</v>
      </c>
      <c r="J15" s="661"/>
      <c r="K15" s="661">
        <v>0</v>
      </c>
      <c r="L15" s="661"/>
      <c r="M15" s="661">
        <v>0</v>
      </c>
      <c r="N15" s="661">
        <v>0</v>
      </c>
      <c r="O15" s="661">
        <v>0</v>
      </c>
      <c r="P15" s="661"/>
      <c r="Q15" s="661">
        <v>0</v>
      </c>
      <c r="R15" s="662"/>
      <c r="S15" s="137">
        <f t="shared" si="0"/>
        <v>0</v>
      </c>
    </row>
    <row r="16" spans="1:19" ht="13.8">
      <c r="A16" s="66">
        <v>9</v>
      </c>
      <c r="B16" s="1" t="s">
        <v>58</v>
      </c>
      <c r="C16" s="661">
        <v>0</v>
      </c>
      <c r="D16" s="661"/>
      <c r="E16" s="661">
        <v>0</v>
      </c>
      <c r="F16" s="661"/>
      <c r="G16" s="661">
        <v>0</v>
      </c>
      <c r="H16" s="661"/>
      <c r="I16" s="661">
        <v>0</v>
      </c>
      <c r="J16" s="661"/>
      <c r="K16" s="661">
        <v>0</v>
      </c>
      <c r="L16" s="661"/>
      <c r="M16" s="661">
        <v>0</v>
      </c>
      <c r="N16" s="661"/>
      <c r="O16" s="661">
        <v>0</v>
      </c>
      <c r="P16" s="661"/>
      <c r="Q16" s="661">
        <v>0</v>
      </c>
      <c r="R16" s="662"/>
      <c r="S16" s="137">
        <f t="shared" si="0"/>
        <v>0</v>
      </c>
    </row>
    <row r="17" spans="1:19" ht="13.8">
      <c r="A17" s="66">
        <v>10</v>
      </c>
      <c r="B17" s="1" t="s">
        <v>59</v>
      </c>
      <c r="C17" s="661">
        <v>0</v>
      </c>
      <c r="D17" s="661"/>
      <c r="E17" s="661">
        <v>0</v>
      </c>
      <c r="F17" s="661"/>
      <c r="G17" s="661">
        <v>0</v>
      </c>
      <c r="H17" s="661"/>
      <c r="I17" s="661">
        <v>0</v>
      </c>
      <c r="J17" s="661"/>
      <c r="K17" s="661">
        <v>0</v>
      </c>
      <c r="L17" s="661"/>
      <c r="M17" s="661">
        <v>3845669.3728999998</v>
      </c>
      <c r="N17" s="661"/>
      <c r="O17" s="661">
        <v>7565921.1956000002</v>
      </c>
      <c r="P17" s="661"/>
      <c r="Q17" s="661">
        <v>0</v>
      </c>
      <c r="R17" s="662"/>
      <c r="S17" s="137">
        <f t="shared" si="0"/>
        <v>15194551.166300001</v>
      </c>
    </row>
    <row r="18" spans="1:19" ht="13.8">
      <c r="A18" s="66">
        <v>11</v>
      </c>
      <c r="B18" s="1" t="s">
        <v>60</v>
      </c>
      <c r="C18" s="661">
        <v>0</v>
      </c>
      <c r="D18" s="661"/>
      <c r="E18" s="661">
        <v>0</v>
      </c>
      <c r="F18" s="661"/>
      <c r="G18" s="661">
        <v>0</v>
      </c>
      <c r="H18" s="661"/>
      <c r="I18" s="661">
        <v>0</v>
      </c>
      <c r="J18" s="661"/>
      <c r="K18" s="661">
        <v>0</v>
      </c>
      <c r="L18" s="661"/>
      <c r="M18" s="661">
        <v>0</v>
      </c>
      <c r="N18" s="661"/>
      <c r="O18" s="661">
        <v>0</v>
      </c>
      <c r="P18" s="661"/>
      <c r="Q18" s="661">
        <v>0</v>
      </c>
      <c r="R18" s="662"/>
      <c r="S18" s="137">
        <f t="shared" si="0"/>
        <v>0</v>
      </c>
    </row>
    <row r="19" spans="1:19" ht="13.8">
      <c r="A19" s="66">
        <v>12</v>
      </c>
      <c r="B19" s="1" t="s">
        <v>61</v>
      </c>
      <c r="C19" s="661">
        <v>0</v>
      </c>
      <c r="D19" s="661"/>
      <c r="E19" s="661">
        <v>0</v>
      </c>
      <c r="F19" s="661"/>
      <c r="G19" s="661">
        <v>0</v>
      </c>
      <c r="H19" s="661"/>
      <c r="I19" s="661">
        <v>0</v>
      </c>
      <c r="J19" s="661"/>
      <c r="K19" s="661">
        <v>0</v>
      </c>
      <c r="L19" s="661"/>
      <c r="M19" s="661">
        <v>0</v>
      </c>
      <c r="N19" s="661"/>
      <c r="O19" s="661">
        <v>0</v>
      </c>
      <c r="P19" s="661"/>
      <c r="Q19" s="661">
        <v>0</v>
      </c>
      <c r="R19" s="662"/>
      <c r="S19" s="137">
        <f t="shared" si="0"/>
        <v>0</v>
      </c>
    </row>
    <row r="20" spans="1:19" ht="13.8">
      <c r="A20" s="66">
        <v>13</v>
      </c>
      <c r="B20" s="1" t="s">
        <v>144</v>
      </c>
      <c r="C20" s="661">
        <v>0</v>
      </c>
      <c r="D20" s="661"/>
      <c r="E20" s="661">
        <v>0</v>
      </c>
      <c r="F20" s="661"/>
      <c r="G20" s="661">
        <v>0</v>
      </c>
      <c r="H20" s="661"/>
      <c r="I20" s="661">
        <v>0</v>
      </c>
      <c r="J20" s="661"/>
      <c r="K20" s="661">
        <v>0</v>
      </c>
      <c r="L20" s="661"/>
      <c r="M20" s="661">
        <v>0</v>
      </c>
      <c r="N20" s="661"/>
      <c r="O20" s="661">
        <v>0</v>
      </c>
      <c r="P20" s="661"/>
      <c r="Q20" s="661">
        <v>0</v>
      </c>
      <c r="R20" s="662"/>
      <c r="S20" s="137">
        <f t="shared" si="0"/>
        <v>0</v>
      </c>
    </row>
    <row r="21" spans="1:19" ht="13.8">
      <c r="A21" s="66">
        <v>14</v>
      </c>
      <c r="B21" s="1" t="s">
        <v>63</v>
      </c>
      <c r="C21" s="661">
        <v>3343795.5180000002</v>
      </c>
      <c r="D21" s="661"/>
      <c r="E21" s="661">
        <v>0</v>
      </c>
      <c r="F21" s="661"/>
      <c r="G21" s="661">
        <v>0</v>
      </c>
      <c r="H21" s="661"/>
      <c r="I21" s="661">
        <v>0</v>
      </c>
      <c r="J21" s="661"/>
      <c r="K21" s="661">
        <v>0</v>
      </c>
      <c r="L21" s="661"/>
      <c r="M21" s="661">
        <v>12434033.6853</v>
      </c>
      <c r="N21" s="661"/>
      <c r="O21" s="661">
        <v>0</v>
      </c>
      <c r="P21" s="661"/>
      <c r="Q21" s="661">
        <v>0</v>
      </c>
      <c r="R21" s="662"/>
      <c r="S21" s="137">
        <f t="shared" si="0"/>
        <v>12434033.6853</v>
      </c>
    </row>
    <row r="22" spans="1:19" ht="13.8" thickBot="1">
      <c r="A22" s="67"/>
      <c r="B22" s="68" t="s">
        <v>64</v>
      </c>
      <c r="C22" s="69">
        <f>SUM(C8:C21)</f>
        <v>16329606.717999998</v>
      </c>
      <c r="D22" s="69">
        <f t="shared" ref="D22:J22" si="1">SUM(D8:D21)</f>
        <v>0</v>
      </c>
      <c r="E22" s="69">
        <f t="shared" si="1"/>
        <v>63652859.497900002</v>
      </c>
      <c r="F22" s="69">
        <f t="shared" si="1"/>
        <v>0</v>
      </c>
      <c r="G22" s="69">
        <f t="shared" si="1"/>
        <v>0</v>
      </c>
      <c r="H22" s="69">
        <f t="shared" si="1"/>
        <v>0</v>
      </c>
      <c r="I22" s="69">
        <f t="shared" si="1"/>
        <v>16909844.383900002</v>
      </c>
      <c r="J22" s="69">
        <f t="shared" si="1"/>
        <v>0</v>
      </c>
      <c r="K22" s="69">
        <f t="shared" ref="K22:S22" si="2">SUM(K8:K21)</f>
        <v>0</v>
      </c>
      <c r="L22" s="69">
        <f t="shared" si="2"/>
        <v>0</v>
      </c>
      <c r="M22" s="69">
        <f t="shared" si="2"/>
        <v>551362413.69379997</v>
      </c>
      <c r="N22" s="69">
        <f t="shared" si="2"/>
        <v>34819029.765000001</v>
      </c>
      <c r="O22" s="69">
        <f t="shared" si="2"/>
        <v>7828178.8684999999</v>
      </c>
      <c r="P22" s="69">
        <f t="shared" si="2"/>
        <v>0</v>
      </c>
      <c r="Q22" s="69">
        <f t="shared" si="2"/>
        <v>0</v>
      </c>
      <c r="R22" s="69">
        <f t="shared" si="2"/>
        <v>0</v>
      </c>
      <c r="S22" s="138">
        <f t="shared" si="2"/>
        <v>619109205.85308003</v>
      </c>
    </row>
    <row r="24" spans="1:19">
      <c r="C24" s="431"/>
      <c r="D24" s="431"/>
      <c r="E24" s="431"/>
      <c r="F24" s="431"/>
      <c r="G24" s="431"/>
      <c r="H24" s="431"/>
      <c r="I24" s="431"/>
      <c r="J24" s="431"/>
      <c r="K24" s="431"/>
      <c r="L24" s="431"/>
      <c r="M24" s="431"/>
      <c r="N24" s="431"/>
      <c r="O24" s="431"/>
      <c r="P24" s="431"/>
      <c r="Q24" s="431"/>
      <c r="R24" s="431"/>
      <c r="S24" s="431"/>
    </row>
    <row r="25" spans="1:19">
      <c r="C25" s="431"/>
      <c r="D25" s="431"/>
      <c r="E25" s="431"/>
      <c r="F25" s="431"/>
      <c r="G25" s="431"/>
      <c r="H25" s="431"/>
      <c r="I25" s="431"/>
      <c r="J25" s="431"/>
      <c r="K25" s="431"/>
      <c r="L25" s="431"/>
      <c r="M25" s="431"/>
      <c r="N25" s="431"/>
      <c r="O25" s="431"/>
      <c r="P25" s="431"/>
      <c r="Q25" s="431"/>
      <c r="R25" s="431"/>
      <c r="S25" s="431"/>
    </row>
    <row r="26" spans="1:19">
      <c r="C26" s="431"/>
      <c r="D26" s="431"/>
      <c r="E26" s="431"/>
      <c r="F26" s="431"/>
      <c r="G26" s="431"/>
      <c r="H26" s="431"/>
      <c r="I26" s="431"/>
      <c r="J26" s="431"/>
      <c r="K26" s="431"/>
      <c r="L26" s="431"/>
      <c r="M26" s="431"/>
      <c r="N26" s="431"/>
      <c r="O26" s="431"/>
      <c r="P26" s="431"/>
      <c r="Q26" s="431"/>
      <c r="R26" s="431"/>
      <c r="S26" s="431"/>
    </row>
    <row r="27" spans="1:19">
      <c r="C27" s="431"/>
      <c r="D27" s="431"/>
      <c r="E27" s="431"/>
      <c r="F27" s="431"/>
      <c r="G27" s="431"/>
      <c r="H27" s="431"/>
      <c r="I27" s="431"/>
      <c r="J27" s="431"/>
      <c r="K27" s="431"/>
      <c r="L27" s="431"/>
      <c r="M27" s="431"/>
      <c r="N27" s="431"/>
      <c r="O27" s="431"/>
      <c r="P27" s="431"/>
      <c r="Q27" s="431"/>
      <c r="R27" s="431"/>
      <c r="S27" s="431"/>
    </row>
    <row r="28" spans="1:19">
      <c r="C28" s="431"/>
      <c r="D28" s="431"/>
      <c r="E28" s="431"/>
      <c r="F28" s="431"/>
      <c r="G28" s="431"/>
      <c r="H28" s="431"/>
      <c r="I28" s="431"/>
      <c r="J28" s="431"/>
      <c r="K28" s="431"/>
      <c r="L28" s="431"/>
      <c r="M28" s="431"/>
      <c r="N28" s="431"/>
      <c r="O28" s="431"/>
      <c r="P28" s="431"/>
      <c r="Q28" s="431"/>
      <c r="R28" s="431"/>
      <c r="S28" s="431"/>
    </row>
    <row r="29" spans="1:19">
      <c r="C29" s="431"/>
      <c r="D29" s="431"/>
      <c r="E29" s="431"/>
      <c r="F29" s="431"/>
      <c r="G29" s="431"/>
      <c r="H29" s="431"/>
      <c r="I29" s="431"/>
      <c r="J29" s="431"/>
      <c r="K29" s="431"/>
      <c r="L29" s="431"/>
      <c r="M29" s="431"/>
      <c r="N29" s="431"/>
      <c r="O29" s="431"/>
      <c r="P29" s="431"/>
      <c r="Q29" s="431"/>
      <c r="R29" s="431"/>
      <c r="S29" s="431"/>
    </row>
    <row r="30" spans="1:19">
      <c r="C30" s="431"/>
      <c r="D30" s="431"/>
      <c r="E30" s="431"/>
      <c r="F30" s="431"/>
      <c r="G30" s="431"/>
      <c r="H30" s="431"/>
      <c r="I30" s="431"/>
      <c r="J30" s="431"/>
      <c r="K30" s="431"/>
      <c r="L30" s="431"/>
      <c r="M30" s="431"/>
      <c r="N30" s="431"/>
      <c r="O30" s="431"/>
      <c r="P30" s="431"/>
      <c r="Q30" s="431"/>
      <c r="R30" s="431"/>
      <c r="S30" s="431"/>
    </row>
    <row r="31" spans="1:19">
      <c r="C31" s="431"/>
      <c r="D31" s="431"/>
      <c r="E31" s="431"/>
      <c r="F31" s="431"/>
      <c r="G31" s="431"/>
      <c r="H31" s="431"/>
      <c r="I31" s="431"/>
      <c r="J31" s="431"/>
      <c r="K31" s="431"/>
      <c r="L31" s="431"/>
      <c r="M31" s="431"/>
      <c r="N31" s="431"/>
      <c r="O31" s="431"/>
      <c r="P31" s="431"/>
      <c r="Q31" s="431"/>
      <c r="R31" s="431"/>
      <c r="S31" s="431"/>
    </row>
    <row r="32" spans="1:19">
      <c r="C32" s="431"/>
      <c r="D32" s="431"/>
      <c r="E32" s="431"/>
      <c r="F32" s="431"/>
      <c r="G32" s="431"/>
      <c r="H32" s="431"/>
      <c r="I32" s="431"/>
      <c r="J32" s="431"/>
      <c r="K32" s="431"/>
      <c r="L32" s="431"/>
      <c r="M32" s="431"/>
      <c r="N32" s="431"/>
      <c r="O32" s="431"/>
      <c r="P32" s="431"/>
      <c r="Q32" s="431"/>
      <c r="R32" s="431"/>
      <c r="S32" s="431"/>
    </row>
    <row r="33" spans="3:19">
      <c r="C33" s="431"/>
      <c r="D33" s="431"/>
      <c r="E33" s="431"/>
      <c r="F33" s="431"/>
      <c r="G33" s="431"/>
      <c r="H33" s="431"/>
      <c r="I33" s="431"/>
      <c r="J33" s="431"/>
      <c r="K33" s="431"/>
      <c r="L33" s="431"/>
      <c r="M33" s="431"/>
      <c r="N33" s="431"/>
      <c r="O33" s="431"/>
      <c r="P33" s="431"/>
      <c r="Q33" s="431"/>
      <c r="R33" s="431"/>
      <c r="S33" s="431"/>
    </row>
    <row r="34" spans="3:19">
      <c r="C34" s="431"/>
      <c r="D34" s="431"/>
      <c r="E34" s="431"/>
      <c r="F34" s="431"/>
      <c r="G34" s="431"/>
      <c r="H34" s="431"/>
      <c r="I34" s="431"/>
      <c r="J34" s="431"/>
      <c r="K34" s="431"/>
      <c r="L34" s="431"/>
      <c r="M34" s="431"/>
      <c r="N34" s="431"/>
      <c r="O34" s="431"/>
      <c r="P34" s="431"/>
      <c r="Q34" s="431"/>
      <c r="R34" s="431"/>
      <c r="S34" s="431"/>
    </row>
    <row r="35" spans="3:19">
      <c r="C35" s="431"/>
      <c r="D35" s="431"/>
      <c r="E35" s="431"/>
      <c r="F35" s="431"/>
      <c r="G35" s="431"/>
      <c r="H35" s="431"/>
      <c r="I35" s="431"/>
      <c r="J35" s="431"/>
      <c r="K35" s="431"/>
      <c r="L35" s="431"/>
      <c r="M35" s="431"/>
      <c r="N35" s="431"/>
      <c r="O35" s="431"/>
      <c r="P35" s="431"/>
      <c r="Q35" s="431"/>
      <c r="R35" s="431"/>
      <c r="S35" s="431"/>
    </row>
    <row r="36" spans="3:19">
      <c r="C36" s="431"/>
      <c r="D36" s="431"/>
      <c r="E36" s="431"/>
      <c r="F36" s="431"/>
      <c r="G36" s="431"/>
      <c r="H36" s="431"/>
      <c r="I36" s="431"/>
      <c r="J36" s="431"/>
      <c r="K36" s="431"/>
      <c r="L36" s="431"/>
      <c r="M36" s="431"/>
      <c r="N36" s="431"/>
      <c r="O36" s="431"/>
      <c r="P36" s="431"/>
      <c r="Q36" s="431"/>
      <c r="R36" s="431"/>
      <c r="S36" s="431"/>
    </row>
    <row r="37" spans="3:19">
      <c r="C37" s="431"/>
      <c r="D37" s="431"/>
      <c r="E37" s="431"/>
      <c r="F37" s="431"/>
      <c r="G37" s="431"/>
      <c r="H37" s="431"/>
      <c r="I37" s="431"/>
      <c r="J37" s="431"/>
      <c r="K37" s="431"/>
      <c r="L37" s="431"/>
      <c r="M37" s="431"/>
      <c r="N37" s="431"/>
      <c r="O37" s="431"/>
      <c r="P37" s="431"/>
      <c r="Q37" s="431"/>
      <c r="R37" s="431"/>
      <c r="S37" s="431"/>
    </row>
    <row r="38" spans="3:19">
      <c r="C38" s="431"/>
      <c r="D38" s="431"/>
      <c r="E38" s="431"/>
      <c r="F38" s="431"/>
      <c r="G38" s="431"/>
      <c r="H38" s="431"/>
      <c r="I38" s="431"/>
      <c r="J38" s="431"/>
      <c r="K38" s="431"/>
      <c r="L38" s="431"/>
      <c r="M38" s="431"/>
      <c r="N38" s="431"/>
      <c r="O38" s="431"/>
      <c r="P38" s="431"/>
      <c r="Q38" s="431"/>
      <c r="R38" s="431"/>
      <c r="S38" s="431"/>
    </row>
    <row r="39" spans="3:19">
      <c r="C39" s="430"/>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scale="24" orientation="portrait" horizontalDpi="300" verticalDpi="300" r:id="rId1"/>
  <headerFooter>
    <oddFooter>&amp;C_x000D_&amp;1#&amp;"Aptos"&amp;10&amp;K000000 C4 - EXTERNAL CONFIDENTIAL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28"/>
  <sheetViews>
    <sheetView zoomScale="80" zoomScaleNormal="80" workbookViewId="0">
      <pane xSplit="2" ySplit="6" topLeftCell="P7" activePane="bottomRight" state="frozen"/>
      <selection activeCell="B42" sqref="B42"/>
      <selection pane="topRight" activeCell="B42" sqref="B42"/>
      <selection pane="bottomLeft" activeCell="B42" sqref="B42"/>
      <selection pane="bottomRight" activeCell="U27" sqref="U27"/>
    </sheetView>
  </sheetViews>
  <sheetFormatPr defaultColWidth="9.21875" defaultRowHeight="13.2"/>
  <cols>
    <col min="1" max="1" width="10.5546875" style="4" bestFit="1" customWidth="1"/>
    <col min="2" max="2" width="63.77734375" style="4" bestFit="1" customWidth="1"/>
    <col min="3" max="3" width="19" style="4" customWidth="1"/>
    <col min="4" max="4" width="19.5546875" style="4" customWidth="1"/>
    <col min="5" max="5" width="31.21875" style="4" customWidth="1"/>
    <col min="6" max="6" width="29.21875" style="4" customWidth="1"/>
    <col min="7" max="7" width="28.5546875" style="4" customWidth="1"/>
    <col min="8" max="8" width="26.44140625" style="4" customWidth="1"/>
    <col min="9" max="9" width="23.77734375" style="4" customWidth="1"/>
    <col min="10" max="10" width="21.5546875" style="4" customWidth="1"/>
    <col min="11" max="11" width="15.77734375" style="4" customWidth="1"/>
    <col min="12" max="12" width="13.21875" style="4" customWidth="1"/>
    <col min="13" max="13" width="20.77734375" style="4" customWidth="1"/>
    <col min="14" max="14" width="19.21875" style="4" customWidth="1"/>
    <col min="15" max="15" width="18.44140625" style="4" customWidth="1"/>
    <col min="16" max="16" width="19" style="4" customWidth="1"/>
    <col min="17" max="17" width="20.21875" style="4" customWidth="1"/>
    <col min="18" max="18" width="18" style="4" customWidth="1"/>
    <col min="19" max="19" width="36" style="4" customWidth="1"/>
    <col min="20" max="20" width="26.21875" style="4" customWidth="1"/>
    <col min="21" max="21" width="24.77734375" style="4" customWidth="1"/>
    <col min="22" max="22" width="20" style="4" customWidth="1"/>
    <col min="23" max="16384" width="9.21875" style="15"/>
  </cols>
  <sheetData>
    <row r="1" spans="1:22">
      <c r="A1" s="2" t="s">
        <v>30</v>
      </c>
      <c r="B1" s="3" t="str">
        <f>'Info '!C2</f>
        <v xml:space="preserve">PASHA Bank Georgia JSC </v>
      </c>
    </row>
    <row r="2" spans="1:22">
      <c r="A2" s="2" t="s">
        <v>31</v>
      </c>
      <c r="B2" s="209">
        <f>'1. key ratios '!B2</f>
        <v>46203</v>
      </c>
    </row>
    <row r="4" spans="1:22" ht="13.8" thickBot="1">
      <c r="A4" s="4" t="s">
        <v>230</v>
      </c>
      <c r="B4" s="70" t="s">
        <v>50</v>
      </c>
      <c r="V4" s="16" t="s">
        <v>35</v>
      </c>
    </row>
    <row r="5" spans="1:22" ht="12.75" customHeight="1">
      <c r="A5" s="71"/>
      <c r="B5" s="72"/>
      <c r="C5" s="793" t="s">
        <v>156</v>
      </c>
      <c r="D5" s="794"/>
      <c r="E5" s="794"/>
      <c r="F5" s="794"/>
      <c r="G5" s="794"/>
      <c r="H5" s="794"/>
      <c r="I5" s="794"/>
      <c r="J5" s="794"/>
      <c r="K5" s="794"/>
      <c r="L5" s="795"/>
      <c r="M5" s="796" t="s">
        <v>157</v>
      </c>
      <c r="N5" s="797"/>
      <c r="O5" s="797"/>
      <c r="P5" s="797"/>
      <c r="Q5" s="797"/>
      <c r="R5" s="797"/>
      <c r="S5" s="798"/>
      <c r="T5" s="801" t="s">
        <v>228</v>
      </c>
      <c r="U5" s="801" t="s">
        <v>229</v>
      </c>
      <c r="V5" s="799" t="s">
        <v>76</v>
      </c>
    </row>
    <row r="6" spans="1:22" s="35" customFormat="1" ht="105.6">
      <c r="A6" s="33"/>
      <c r="B6" s="73"/>
      <c r="C6" s="74" t="s">
        <v>65</v>
      </c>
      <c r="D6" s="104" t="s">
        <v>66</v>
      </c>
      <c r="E6" s="86" t="s">
        <v>159</v>
      </c>
      <c r="F6" s="86" t="s">
        <v>160</v>
      </c>
      <c r="G6" s="104" t="s">
        <v>163</v>
      </c>
      <c r="H6" s="104" t="s">
        <v>158</v>
      </c>
      <c r="I6" s="104" t="s">
        <v>67</v>
      </c>
      <c r="J6" s="104" t="s">
        <v>68</v>
      </c>
      <c r="K6" s="75" t="s">
        <v>69</v>
      </c>
      <c r="L6" s="76" t="s">
        <v>70</v>
      </c>
      <c r="M6" s="74" t="s">
        <v>161</v>
      </c>
      <c r="N6" s="75" t="s">
        <v>71</v>
      </c>
      <c r="O6" s="75" t="s">
        <v>72</v>
      </c>
      <c r="P6" s="75" t="s">
        <v>73</v>
      </c>
      <c r="Q6" s="75" t="s">
        <v>74</v>
      </c>
      <c r="R6" s="75" t="s">
        <v>75</v>
      </c>
      <c r="S6" s="121" t="s">
        <v>162</v>
      </c>
      <c r="T6" s="802"/>
      <c r="U6" s="802"/>
      <c r="V6" s="800"/>
    </row>
    <row r="7" spans="1:22" s="507" customFormat="1" ht="16.2" customHeight="1">
      <c r="A7" s="77">
        <v>1</v>
      </c>
      <c r="B7" s="1" t="s">
        <v>51</v>
      </c>
      <c r="C7" s="663"/>
      <c r="D7" s="661"/>
      <c r="E7" s="661"/>
      <c r="F7" s="661"/>
      <c r="G7" s="661"/>
      <c r="H7" s="661"/>
      <c r="I7" s="661"/>
      <c r="J7" s="661"/>
      <c r="K7" s="661"/>
      <c r="L7" s="664"/>
      <c r="M7" s="663"/>
      <c r="N7" s="661"/>
      <c r="O7" s="661"/>
      <c r="P7" s="661"/>
      <c r="Q7" s="661"/>
      <c r="R7" s="661"/>
      <c r="S7" s="664"/>
      <c r="T7" s="665"/>
      <c r="U7" s="666"/>
      <c r="V7" s="506">
        <f>SUM(C7:S7)</f>
        <v>0</v>
      </c>
    </row>
    <row r="8" spans="1:22" s="507" customFormat="1" ht="16.2" customHeight="1">
      <c r="A8" s="77">
        <v>2</v>
      </c>
      <c r="B8" s="1" t="s">
        <v>52</v>
      </c>
      <c r="C8" s="663"/>
      <c r="D8" s="661"/>
      <c r="E8" s="661"/>
      <c r="F8" s="661"/>
      <c r="G8" s="661"/>
      <c r="H8" s="661"/>
      <c r="I8" s="661"/>
      <c r="J8" s="661"/>
      <c r="K8" s="661"/>
      <c r="L8" s="664"/>
      <c r="M8" s="663"/>
      <c r="N8" s="661"/>
      <c r="O8" s="661"/>
      <c r="P8" s="661"/>
      <c r="Q8" s="661"/>
      <c r="R8" s="661"/>
      <c r="S8" s="664"/>
      <c r="T8" s="666"/>
      <c r="U8" s="666"/>
      <c r="V8" s="506">
        <f t="shared" ref="V8:V20" si="0">SUM(C8:S8)</f>
        <v>0</v>
      </c>
    </row>
    <row r="9" spans="1:22" s="507" customFormat="1" ht="16.2" customHeight="1">
      <c r="A9" s="77">
        <v>3</v>
      </c>
      <c r="B9" s="1" t="s">
        <v>153</v>
      </c>
      <c r="C9" s="663"/>
      <c r="D9" s="661"/>
      <c r="E9" s="661"/>
      <c r="F9" s="661"/>
      <c r="G9" s="661"/>
      <c r="H9" s="661"/>
      <c r="I9" s="661"/>
      <c r="J9" s="661"/>
      <c r="K9" s="661"/>
      <c r="L9" s="664"/>
      <c r="M9" s="663"/>
      <c r="N9" s="661"/>
      <c r="O9" s="661"/>
      <c r="P9" s="661"/>
      <c r="Q9" s="661"/>
      <c r="R9" s="661"/>
      <c r="S9" s="664"/>
      <c r="T9" s="666"/>
      <c r="U9" s="666"/>
      <c r="V9" s="506">
        <f t="shared" si="0"/>
        <v>0</v>
      </c>
    </row>
    <row r="10" spans="1:22" s="507" customFormat="1" ht="16.2" customHeight="1">
      <c r="A10" s="77">
        <v>4</v>
      </c>
      <c r="B10" s="1" t="s">
        <v>53</v>
      </c>
      <c r="C10" s="663"/>
      <c r="D10" s="661"/>
      <c r="E10" s="661"/>
      <c r="F10" s="661"/>
      <c r="G10" s="661"/>
      <c r="H10" s="661"/>
      <c r="I10" s="661"/>
      <c r="J10" s="661"/>
      <c r="K10" s="661"/>
      <c r="L10" s="664"/>
      <c r="M10" s="663"/>
      <c r="N10" s="661"/>
      <c r="O10" s="661"/>
      <c r="P10" s="661"/>
      <c r="Q10" s="661"/>
      <c r="R10" s="661"/>
      <c r="S10" s="664"/>
      <c r="T10" s="666"/>
      <c r="U10" s="666"/>
      <c r="V10" s="506">
        <f t="shared" si="0"/>
        <v>0</v>
      </c>
    </row>
    <row r="11" spans="1:22" s="507" customFormat="1" ht="16.2" customHeight="1">
      <c r="A11" s="77">
        <v>5</v>
      </c>
      <c r="B11" s="1" t="s">
        <v>54</v>
      </c>
      <c r="C11" s="663"/>
      <c r="D11" s="661"/>
      <c r="E11" s="661"/>
      <c r="F11" s="661"/>
      <c r="G11" s="661"/>
      <c r="H11" s="661"/>
      <c r="I11" s="661"/>
      <c r="J11" s="661"/>
      <c r="K11" s="661"/>
      <c r="L11" s="664"/>
      <c r="M11" s="663"/>
      <c r="N11" s="661"/>
      <c r="O11" s="661"/>
      <c r="P11" s="661"/>
      <c r="Q11" s="661"/>
      <c r="R11" s="661"/>
      <c r="S11" s="664"/>
      <c r="T11" s="666"/>
      <c r="U11" s="666"/>
      <c r="V11" s="506">
        <f t="shared" si="0"/>
        <v>0</v>
      </c>
    </row>
    <row r="12" spans="1:22" s="507" customFormat="1" ht="16.2" customHeight="1">
      <c r="A12" s="77">
        <v>6</v>
      </c>
      <c r="B12" s="1" t="s">
        <v>55</v>
      </c>
      <c r="C12" s="663"/>
      <c r="D12" s="661"/>
      <c r="E12" s="661"/>
      <c r="F12" s="661"/>
      <c r="G12" s="661"/>
      <c r="H12" s="661"/>
      <c r="I12" s="661"/>
      <c r="J12" s="661"/>
      <c r="K12" s="661"/>
      <c r="L12" s="664"/>
      <c r="M12" s="663"/>
      <c r="N12" s="661"/>
      <c r="O12" s="661"/>
      <c r="P12" s="661"/>
      <c r="Q12" s="661"/>
      <c r="R12" s="661"/>
      <c r="S12" s="664"/>
      <c r="T12" s="666"/>
      <c r="U12" s="666"/>
      <c r="V12" s="506">
        <f t="shared" si="0"/>
        <v>0</v>
      </c>
    </row>
    <row r="13" spans="1:22" s="507" customFormat="1" ht="16.2" customHeight="1">
      <c r="A13" s="77">
        <v>7</v>
      </c>
      <c r="B13" s="1" t="s">
        <v>56</v>
      </c>
      <c r="C13" s="663"/>
      <c r="D13" s="661">
        <v>59479442.9652</v>
      </c>
      <c r="E13" s="661"/>
      <c r="F13" s="661"/>
      <c r="G13" s="661"/>
      <c r="H13" s="661"/>
      <c r="I13" s="661"/>
      <c r="J13" s="661"/>
      <c r="K13" s="661"/>
      <c r="L13" s="664"/>
      <c r="M13" s="663"/>
      <c r="N13" s="661"/>
      <c r="O13" s="661"/>
      <c r="P13" s="661"/>
      <c r="Q13" s="661"/>
      <c r="R13" s="661"/>
      <c r="S13" s="664"/>
      <c r="T13" s="666">
        <f>'[4]Risk Weighted Risk Exposures'!Q30</f>
        <v>58322094.5141</v>
      </c>
      <c r="U13" s="666">
        <v>1157348.4510999999</v>
      </c>
      <c r="V13" s="506">
        <f t="shared" si="0"/>
        <v>59479442.9652</v>
      </c>
    </row>
    <row r="14" spans="1:22" s="507" customFormat="1" ht="16.2" customHeight="1">
      <c r="A14" s="77">
        <v>8</v>
      </c>
      <c r="B14" s="1" t="s">
        <v>57</v>
      </c>
      <c r="C14" s="663"/>
      <c r="D14" s="661"/>
      <c r="E14" s="661"/>
      <c r="F14" s="661"/>
      <c r="G14" s="661"/>
      <c r="H14" s="661"/>
      <c r="I14" s="661"/>
      <c r="J14" s="661"/>
      <c r="K14" s="661"/>
      <c r="L14" s="664"/>
      <c r="M14" s="663"/>
      <c r="N14" s="661"/>
      <c r="O14" s="661"/>
      <c r="P14" s="661"/>
      <c r="Q14" s="661"/>
      <c r="R14" s="661"/>
      <c r="S14" s="664"/>
      <c r="T14" s="666"/>
      <c r="U14" s="666"/>
      <c r="V14" s="506">
        <f t="shared" si="0"/>
        <v>0</v>
      </c>
    </row>
    <row r="15" spans="1:22" s="507" customFormat="1" ht="16.2" customHeight="1">
      <c r="A15" s="77">
        <v>9</v>
      </c>
      <c r="B15" s="1" t="s">
        <v>58</v>
      </c>
      <c r="C15" s="663"/>
      <c r="D15" s="661"/>
      <c r="E15" s="661"/>
      <c r="F15" s="661"/>
      <c r="G15" s="661"/>
      <c r="H15" s="661"/>
      <c r="I15" s="661"/>
      <c r="J15" s="661"/>
      <c r="K15" s="661"/>
      <c r="L15" s="664"/>
      <c r="M15" s="663"/>
      <c r="N15" s="661"/>
      <c r="O15" s="661"/>
      <c r="P15" s="661"/>
      <c r="Q15" s="661"/>
      <c r="R15" s="661"/>
      <c r="S15" s="664"/>
      <c r="T15" s="666"/>
      <c r="U15" s="666"/>
      <c r="V15" s="506">
        <f t="shared" si="0"/>
        <v>0</v>
      </c>
    </row>
    <row r="16" spans="1:22" s="507" customFormat="1" ht="16.2" customHeight="1">
      <c r="A16" s="77">
        <v>10</v>
      </c>
      <c r="B16" s="1" t="s">
        <v>59</v>
      </c>
      <c r="C16" s="663"/>
      <c r="D16" s="661"/>
      <c r="E16" s="661"/>
      <c r="F16" s="661"/>
      <c r="G16" s="661"/>
      <c r="H16" s="661"/>
      <c r="I16" s="661"/>
      <c r="J16" s="661"/>
      <c r="K16" s="661"/>
      <c r="L16" s="664"/>
      <c r="M16" s="663"/>
      <c r="N16" s="661"/>
      <c r="O16" s="661"/>
      <c r="P16" s="661"/>
      <c r="Q16" s="661"/>
      <c r="R16" s="661"/>
      <c r="S16" s="664"/>
      <c r="T16" s="666"/>
      <c r="U16" s="666"/>
      <c r="V16" s="506">
        <f t="shared" si="0"/>
        <v>0</v>
      </c>
    </row>
    <row r="17" spans="1:22" s="507" customFormat="1" ht="16.2" customHeight="1">
      <c r="A17" s="77">
        <v>11</v>
      </c>
      <c r="B17" s="1" t="s">
        <v>60</v>
      </c>
      <c r="C17" s="663"/>
      <c r="D17" s="661"/>
      <c r="E17" s="661"/>
      <c r="F17" s="661"/>
      <c r="G17" s="661"/>
      <c r="H17" s="661"/>
      <c r="I17" s="661"/>
      <c r="J17" s="661"/>
      <c r="K17" s="661"/>
      <c r="L17" s="664"/>
      <c r="M17" s="663"/>
      <c r="N17" s="661"/>
      <c r="O17" s="661"/>
      <c r="P17" s="661"/>
      <c r="Q17" s="661"/>
      <c r="R17" s="661"/>
      <c r="S17" s="664"/>
      <c r="T17" s="666"/>
      <c r="U17" s="666"/>
      <c r="V17" s="506">
        <f t="shared" si="0"/>
        <v>0</v>
      </c>
    </row>
    <row r="18" spans="1:22" s="507" customFormat="1" ht="16.2" customHeight="1">
      <c r="A18" s="77">
        <v>12</v>
      </c>
      <c r="B18" s="1" t="s">
        <v>61</v>
      </c>
      <c r="C18" s="663"/>
      <c r="D18" s="661"/>
      <c r="E18" s="661"/>
      <c r="F18" s="661"/>
      <c r="G18" s="661"/>
      <c r="H18" s="661"/>
      <c r="I18" s="661"/>
      <c r="J18" s="661"/>
      <c r="K18" s="661"/>
      <c r="L18" s="664"/>
      <c r="M18" s="663"/>
      <c r="N18" s="661"/>
      <c r="O18" s="661"/>
      <c r="P18" s="661"/>
      <c r="Q18" s="661"/>
      <c r="R18" s="661"/>
      <c r="S18" s="664"/>
      <c r="T18" s="666"/>
      <c r="U18" s="666"/>
      <c r="V18" s="506">
        <f t="shared" si="0"/>
        <v>0</v>
      </c>
    </row>
    <row r="19" spans="1:22" s="507" customFormat="1" ht="16.2" customHeight="1">
      <c r="A19" s="77">
        <v>13</v>
      </c>
      <c r="B19" s="1" t="s">
        <v>62</v>
      </c>
      <c r="C19" s="663"/>
      <c r="D19" s="661"/>
      <c r="E19" s="661"/>
      <c r="F19" s="661"/>
      <c r="G19" s="661"/>
      <c r="H19" s="661"/>
      <c r="I19" s="661"/>
      <c r="J19" s="661"/>
      <c r="K19" s="661"/>
      <c r="L19" s="664"/>
      <c r="M19" s="663"/>
      <c r="N19" s="661"/>
      <c r="O19" s="661"/>
      <c r="P19" s="661"/>
      <c r="Q19" s="661"/>
      <c r="R19" s="661"/>
      <c r="S19" s="664"/>
      <c r="T19" s="666"/>
      <c r="U19" s="666"/>
      <c r="V19" s="506">
        <f t="shared" si="0"/>
        <v>0</v>
      </c>
    </row>
    <row r="20" spans="1:22" s="507" customFormat="1" ht="16.2" customHeight="1">
      <c r="A20" s="77">
        <v>14</v>
      </c>
      <c r="B20" s="1" t="s">
        <v>63</v>
      </c>
      <c r="C20" s="663"/>
      <c r="D20" s="661"/>
      <c r="E20" s="661"/>
      <c r="F20" s="661"/>
      <c r="G20" s="661"/>
      <c r="H20" s="661"/>
      <c r="I20" s="661"/>
      <c r="J20" s="661"/>
      <c r="K20" s="661"/>
      <c r="L20" s="664"/>
      <c r="M20" s="663"/>
      <c r="N20" s="661"/>
      <c r="O20" s="661"/>
      <c r="P20" s="661"/>
      <c r="Q20" s="661"/>
      <c r="R20" s="661"/>
      <c r="S20" s="664"/>
      <c r="T20" s="666"/>
      <c r="U20" s="666"/>
      <c r="V20" s="506">
        <f t="shared" si="0"/>
        <v>0</v>
      </c>
    </row>
    <row r="21" spans="1:22" s="507" customFormat="1" ht="16.2" customHeight="1" thickBot="1">
      <c r="A21" s="67"/>
      <c r="B21" s="508" t="s">
        <v>64</v>
      </c>
      <c r="C21" s="509">
        <f>SUM(C7:C20)</f>
        <v>0</v>
      </c>
      <c r="D21" s="510">
        <f t="shared" ref="D21:V21" si="1">SUM(D7:D20)</f>
        <v>59479442.9652</v>
      </c>
      <c r="E21" s="510">
        <f t="shared" si="1"/>
        <v>0</v>
      </c>
      <c r="F21" s="510">
        <f t="shared" si="1"/>
        <v>0</v>
      </c>
      <c r="G21" s="510">
        <f t="shared" si="1"/>
        <v>0</v>
      </c>
      <c r="H21" s="510">
        <f t="shared" si="1"/>
        <v>0</v>
      </c>
      <c r="I21" s="510">
        <f t="shared" si="1"/>
        <v>0</v>
      </c>
      <c r="J21" s="510">
        <f t="shared" si="1"/>
        <v>0</v>
      </c>
      <c r="K21" s="510">
        <f t="shared" si="1"/>
        <v>0</v>
      </c>
      <c r="L21" s="511">
        <f t="shared" si="1"/>
        <v>0</v>
      </c>
      <c r="M21" s="509">
        <f t="shared" si="1"/>
        <v>0</v>
      </c>
      <c r="N21" s="510">
        <f t="shared" si="1"/>
        <v>0</v>
      </c>
      <c r="O21" s="510">
        <f t="shared" si="1"/>
        <v>0</v>
      </c>
      <c r="P21" s="510">
        <f t="shared" si="1"/>
        <v>0</v>
      </c>
      <c r="Q21" s="510">
        <f t="shared" si="1"/>
        <v>0</v>
      </c>
      <c r="R21" s="510">
        <f t="shared" si="1"/>
        <v>0</v>
      </c>
      <c r="S21" s="511">
        <f>SUM(S7:S20)</f>
        <v>0</v>
      </c>
      <c r="T21" s="511">
        <f>SUM(T7:T20)</f>
        <v>58322094.5141</v>
      </c>
      <c r="U21" s="511">
        <f t="shared" ref="U21" si="2">SUM(U7:U20)</f>
        <v>1157348.4510999999</v>
      </c>
      <c r="V21" s="512">
        <f t="shared" si="1"/>
        <v>59479442.9652</v>
      </c>
    </row>
    <row r="23" spans="1:22">
      <c r="C23" s="431"/>
      <c r="D23" s="431"/>
      <c r="E23" s="431"/>
      <c r="F23" s="431"/>
      <c r="G23" s="431"/>
      <c r="H23" s="431"/>
      <c r="I23" s="431"/>
      <c r="J23" s="431"/>
      <c r="K23" s="431"/>
      <c r="L23" s="431"/>
      <c r="M23" s="431"/>
      <c r="N23" s="431"/>
      <c r="O23" s="431"/>
      <c r="P23" s="431"/>
      <c r="Q23" s="431"/>
      <c r="R23" s="431"/>
      <c r="S23" s="431"/>
      <c r="T23" s="431"/>
      <c r="U23" s="431"/>
      <c r="V23" s="431"/>
    </row>
    <row r="24" spans="1:22">
      <c r="C24" s="22"/>
      <c r="D24" s="22"/>
      <c r="E24" s="22"/>
    </row>
    <row r="25" spans="1:22">
      <c r="A25" s="32"/>
      <c r="B25" s="32"/>
      <c r="D25" s="22"/>
      <c r="E25" s="22"/>
    </row>
    <row r="26" spans="1:22">
      <c r="A26" s="32"/>
      <c r="B26" s="23"/>
      <c r="D26" s="22"/>
      <c r="E26" s="22"/>
    </row>
    <row r="27" spans="1:22">
      <c r="A27" s="32"/>
      <c r="B27" s="32"/>
      <c r="D27" s="22"/>
      <c r="E27" s="22"/>
    </row>
    <row r="28" spans="1:22">
      <c r="A28" s="32"/>
      <c r="B28" s="23"/>
      <c r="D28" s="22"/>
      <c r="E28" s="22"/>
    </row>
  </sheetData>
  <mergeCells count="5">
    <mergeCell ref="C5:L5"/>
    <mergeCell ref="M5:S5"/>
    <mergeCell ref="V5:V6"/>
    <mergeCell ref="T5:T6"/>
    <mergeCell ref="U5:U6"/>
  </mergeCells>
  <pageMargins left="0.7" right="0.7" top="0.75" bottom="0.75" header="0.3" footer="0.3"/>
  <pageSetup paperSize="9" scale="16" orientation="portrait" horizontalDpi="300" verticalDpi="300" r:id="rId1"/>
  <headerFooter>
    <oddFooter>&amp;C_x000D_&amp;1#&amp;"Aptos"&amp;10&amp;K000000 C4 - EXTERNAL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0"/>
  <sheetViews>
    <sheetView zoomScale="80" zoomScaleNormal="80" workbookViewId="0">
      <pane xSplit="1" ySplit="7" topLeftCell="B8" activePane="bottomRight" state="frozen"/>
      <selection activeCell="B42" sqref="B42"/>
      <selection pane="topRight" activeCell="B42" sqref="B42"/>
      <selection pane="bottomLeft" activeCell="B42" sqref="B42"/>
      <selection pane="bottomRight" activeCell="F28" sqref="F28"/>
    </sheetView>
  </sheetViews>
  <sheetFormatPr defaultColWidth="9.21875" defaultRowHeight="13.8"/>
  <cols>
    <col min="1" max="1" width="10.5546875" style="4" bestFit="1" customWidth="1"/>
    <col min="2" max="2" width="101.77734375" style="4" customWidth="1"/>
    <col min="3" max="3" width="13.77734375" style="109" customWidth="1"/>
    <col min="4" max="4" width="14.77734375" style="109" bestFit="1" customWidth="1"/>
    <col min="5" max="5" width="17.77734375" style="109" customWidth="1"/>
    <col min="6" max="6" width="15.77734375" style="109" customWidth="1"/>
    <col min="7" max="7" width="17.44140625" style="109" customWidth="1"/>
    <col min="8" max="8" width="15.21875" style="109" customWidth="1"/>
    <col min="9" max="16384" width="9.21875" style="15"/>
  </cols>
  <sheetData>
    <row r="1" spans="1:14">
      <c r="A1" s="2" t="s">
        <v>30</v>
      </c>
      <c r="B1" s="4" t="str">
        <f>'Info '!C2</f>
        <v xml:space="preserve">PASHA Bank Georgia JSC </v>
      </c>
      <c r="C1" s="3"/>
    </row>
    <row r="2" spans="1:14">
      <c r="A2" s="2" t="s">
        <v>31</v>
      </c>
      <c r="B2" s="209">
        <f>'1. key ratios '!B2</f>
        <v>46203</v>
      </c>
      <c r="C2" s="209"/>
    </row>
    <row r="4" spans="1:14" ht="14.4" thickBot="1">
      <c r="A4" s="2" t="s">
        <v>150</v>
      </c>
      <c r="B4" s="70" t="s">
        <v>239</v>
      </c>
    </row>
    <row r="5" spans="1:14">
      <c r="A5" s="71"/>
      <c r="B5" s="79"/>
      <c r="C5" s="129" t="s">
        <v>0</v>
      </c>
      <c r="D5" s="129" t="s">
        <v>1</v>
      </c>
      <c r="E5" s="129" t="s">
        <v>2</v>
      </c>
      <c r="F5" s="129" t="s">
        <v>3</v>
      </c>
      <c r="G5" s="130" t="s">
        <v>4</v>
      </c>
      <c r="H5" s="131" t="s">
        <v>5</v>
      </c>
      <c r="I5" s="80"/>
    </row>
    <row r="6" spans="1:14" s="80" customFormat="1" ht="12.75" customHeight="1">
      <c r="A6" s="81"/>
      <c r="B6" s="805" t="s">
        <v>149</v>
      </c>
      <c r="C6" s="791" t="s">
        <v>232</v>
      </c>
      <c r="D6" s="807" t="s">
        <v>231</v>
      </c>
      <c r="E6" s="808"/>
      <c r="F6" s="791" t="s">
        <v>236</v>
      </c>
      <c r="G6" s="791" t="s">
        <v>237</v>
      </c>
      <c r="H6" s="803" t="s">
        <v>235</v>
      </c>
    </row>
    <row r="7" spans="1:14" ht="41.4">
      <c r="A7" s="83"/>
      <c r="B7" s="806"/>
      <c r="C7" s="792"/>
      <c r="D7" s="132" t="s">
        <v>234</v>
      </c>
      <c r="E7" s="132" t="s">
        <v>233</v>
      </c>
      <c r="F7" s="792"/>
      <c r="G7" s="792"/>
      <c r="H7" s="804"/>
      <c r="I7" s="80"/>
    </row>
    <row r="8" spans="1:14">
      <c r="A8" s="81">
        <v>1</v>
      </c>
      <c r="B8" s="1" t="s">
        <v>51</v>
      </c>
      <c r="C8" s="661">
        <v>34121080.330799997</v>
      </c>
      <c r="D8" s="661"/>
      <c r="E8" s="661"/>
      <c r="F8" s="661">
        <v>21135269.130800001</v>
      </c>
      <c r="G8" s="662">
        <v>21135269.130800001</v>
      </c>
      <c r="H8" s="134">
        <f>G8/(C8+E8)</f>
        <v>0.61941969380500173</v>
      </c>
      <c r="I8" s="493"/>
      <c r="J8" s="493"/>
      <c r="K8" s="493"/>
      <c r="L8" s="493"/>
      <c r="M8" s="493"/>
      <c r="N8" s="493"/>
    </row>
    <row r="9" spans="1:14" ht="15" customHeight="1">
      <c r="A9" s="81">
        <v>2</v>
      </c>
      <c r="B9" s="1" t="s">
        <v>52</v>
      </c>
      <c r="C9" s="661">
        <v>0</v>
      </c>
      <c r="D9" s="661"/>
      <c r="E9" s="661"/>
      <c r="F9" s="661">
        <v>0</v>
      </c>
      <c r="G9" s="662">
        <v>0</v>
      </c>
      <c r="H9" s="134" t="e">
        <f t="shared" ref="H9:H21" si="0">G9/(C9+E9)</f>
        <v>#DIV/0!</v>
      </c>
      <c r="I9" s="493"/>
      <c r="J9" s="493"/>
      <c r="K9" s="493"/>
      <c r="L9" s="493"/>
      <c r="M9" s="493"/>
      <c r="N9" s="493"/>
    </row>
    <row r="10" spans="1:14">
      <c r="A10" s="81">
        <v>3</v>
      </c>
      <c r="B10" s="1" t="s">
        <v>153</v>
      </c>
      <c r="C10" s="661">
        <v>0</v>
      </c>
      <c r="D10" s="661"/>
      <c r="E10" s="661"/>
      <c r="F10" s="661">
        <v>0</v>
      </c>
      <c r="G10" s="662">
        <v>0</v>
      </c>
      <c r="H10" s="134" t="e">
        <f t="shared" si="0"/>
        <v>#DIV/0!</v>
      </c>
      <c r="I10" s="493"/>
      <c r="J10" s="493"/>
      <c r="K10" s="493"/>
      <c r="L10" s="493"/>
      <c r="M10" s="493"/>
      <c r="N10" s="493"/>
    </row>
    <row r="11" spans="1:14">
      <c r="A11" s="81">
        <v>4</v>
      </c>
      <c r="B11" s="1" t="s">
        <v>53</v>
      </c>
      <c r="C11" s="661">
        <v>0</v>
      </c>
      <c r="D11" s="661"/>
      <c r="E11" s="661"/>
      <c r="F11" s="661">
        <v>0</v>
      </c>
      <c r="G11" s="662">
        <v>0</v>
      </c>
      <c r="H11" s="134" t="e">
        <f t="shared" si="0"/>
        <v>#DIV/0!</v>
      </c>
      <c r="I11" s="493"/>
      <c r="J11" s="493"/>
      <c r="K11" s="493"/>
      <c r="L11" s="493"/>
      <c r="M11" s="493"/>
      <c r="N11" s="493"/>
    </row>
    <row r="12" spans="1:14">
      <c r="A12" s="81">
        <v>5</v>
      </c>
      <c r="B12" s="1" t="s">
        <v>54</v>
      </c>
      <c r="C12" s="661">
        <v>0</v>
      </c>
      <c r="D12" s="661"/>
      <c r="E12" s="661"/>
      <c r="F12" s="661">
        <v>0</v>
      </c>
      <c r="G12" s="662">
        <v>0</v>
      </c>
      <c r="H12" s="134" t="e">
        <f t="shared" si="0"/>
        <v>#DIV/0!</v>
      </c>
      <c r="I12" s="493"/>
      <c r="J12" s="493"/>
      <c r="K12" s="493"/>
      <c r="L12" s="493"/>
      <c r="M12" s="493"/>
      <c r="N12" s="493"/>
    </row>
    <row r="13" spans="1:14">
      <c r="A13" s="81">
        <v>6</v>
      </c>
      <c r="B13" s="1" t="s">
        <v>55</v>
      </c>
      <c r="C13" s="661">
        <v>91909649.589400008</v>
      </c>
      <c r="D13" s="661">
        <v>39981.818200000002</v>
      </c>
      <c r="E13" s="661">
        <v>19990.909</v>
      </c>
      <c r="F13" s="661">
        <v>32683559.544580005</v>
      </c>
      <c r="G13" s="662">
        <v>32683559.544580005</v>
      </c>
      <c r="H13" s="134">
        <f t="shared" si="0"/>
        <v>0.35552798169757716</v>
      </c>
      <c r="I13" s="493"/>
      <c r="J13" s="493"/>
      <c r="K13" s="493"/>
      <c r="L13" s="493"/>
      <c r="M13" s="493"/>
      <c r="N13" s="493"/>
    </row>
    <row r="14" spans="1:14">
      <c r="A14" s="81">
        <v>7</v>
      </c>
      <c r="B14" s="1" t="s">
        <v>56</v>
      </c>
      <c r="C14" s="661">
        <v>502862753.47009999</v>
      </c>
      <c r="D14" s="661">
        <v>95673000.309699997</v>
      </c>
      <c r="E14" s="661">
        <v>34799038.855999999</v>
      </c>
      <c r="F14" s="661">
        <v>537661792.32609999</v>
      </c>
      <c r="G14" s="662">
        <v>478182349.36089998</v>
      </c>
      <c r="H14" s="134">
        <f t="shared" si="0"/>
        <v>0.88937387068574736</v>
      </c>
      <c r="I14" s="493"/>
      <c r="J14" s="493"/>
      <c r="K14" s="493"/>
      <c r="L14" s="493"/>
      <c r="M14" s="493"/>
      <c r="N14" s="493"/>
    </row>
    <row r="15" spans="1:14">
      <c r="A15" s="81">
        <v>8</v>
      </c>
      <c r="B15" s="1" t="s">
        <v>57</v>
      </c>
      <c r="C15" s="661">
        <v>0</v>
      </c>
      <c r="D15" s="661">
        <v>0</v>
      </c>
      <c r="E15" s="661">
        <v>0</v>
      </c>
      <c r="F15" s="661">
        <v>0</v>
      </c>
      <c r="G15" s="662">
        <v>0</v>
      </c>
      <c r="H15" s="134" t="e">
        <f t="shared" si="0"/>
        <v>#DIV/0!</v>
      </c>
      <c r="I15" s="493"/>
      <c r="J15" s="493"/>
      <c r="K15" s="493"/>
      <c r="L15" s="493"/>
      <c r="M15" s="493"/>
      <c r="N15" s="493"/>
    </row>
    <row r="16" spans="1:14">
      <c r="A16" s="81">
        <v>9</v>
      </c>
      <c r="B16" s="1" t="s">
        <v>58</v>
      </c>
      <c r="C16" s="661">
        <v>0</v>
      </c>
      <c r="D16" s="661">
        <v>0</v>
      </c>
      <c r="E16" s="661">
        <v>0</v>
      </c>
      <c r="F16" s="661">
        <v>0</v>
      </c>
      <c r="G16" s="662">
        <v>0</v>
      </c>
      <c r="H16" s="134" t="e">
        <f t="shared" si="0"/>
        <v>#DIV/0!</v>
      </c>
      <c r="I16" s="493"/>
      <c r="J16" s="493"/>
      <c r="K16" s="493"/>
      <c r="L16" s="493"/>
      <c r="M16" s="493"/>
      <c r="N16" s="493"/>
    </row>
    <row r="17" spans="1:14">
      <c r="A17" s="81">
        <v>10</v>
      </c>
      <c r="B17" s="1" t="s">
        <v>59</v>
      </c>
      <c r="C17" s="661">
        <v>11411590.568500001</v>
      </c>
      <c r="D17" s="661"/>
      <c r="E17" s="661"/>
      <c r="F17" s="661">
        <v>15194551.166300001</v>
      </c>
      <c r="G17" s="662">
        <v>15194551.166300001</v>
      </c>
      <c r="H17" s="134">
        <f t="shared" si="0"/>
        <v>1.3315016057658342</v>
      </c>
      <c r="I17" s="493"/>
      <c r="J17" s="493"/>
      <c r="K17" s="493"/>
      <c r="L17" s="493"/>
      <c r="M17" s="493"/>
      <c r="N17" s="493"/>
    </row>
    <row r="18" spans="1:14">
      <c r="A18" s="81">
        <v>11</v>
      </c>
      <c r="B18" s="1" t="s">
        <v>60</v>
      </c>
      <c r="C18" s="661">
        <v>0</v>
      </c>
      <c r="D18" s="661"/>
      <c r="E18" s="661"/>
      <c r="F18" s="661">
        <v>0</v>
      </c>
      <c r="G18" s="662">
        <v>0</v>
      </c>
      <c r="H18" s="134" t="e">
        <f t="shared" si="0"/>
        <v>#DIV/0!</v>
      </c>
      <c r="I18" s="493"/>
      <c r="J18" s="493"/>
      <c r="K18" s="493"/>
      <c r="L18" s="493"/>
      <c r="M18" s="493"/>
      <c r="N18" s="493"/>
    </row>
    <row r="19" spans="1:14">
      <c r="A19" s="81">
        <v>12</v>
      </c>
      <c r="B19" s="1" t="s">
        <v>61</v>
      </c>
      <c r="C19" s="661">
        <v>0</v>
      </c>
      <c r="D19" s="661"/>
      <c r="E19" s="661"/>
      <c r="F19" s="661">
        <v>0</v>
      </c>
      <c r="G19" s="662">
        <v>0</v>
      </c>
      <c r="H19" s="134" t="e">
        <f t="shared" si="0"/>
        <v>#DIV/0!</v>
      </c>
      <c r="I19" s="493"/>
      <c r="J19" s="493"/>
      <c r="K19" s="493"/>
      <c r="L19" s="493"/>
      <c r="M19" s="493"/>
      <c r="N19" s="493"/>
    </row>
    <row r="20" spans="1:14">
      <c r="A20" s="81">
        <v>13</v>
      </c>
      <c r="B20" s="1" t="s">
        <v>144</v>
      </c>
      <c r="C20" s="661">
        <v>0</v>
      </c>
      <c r="D20" s="661"/>
      <c r="E20" s="661"/>
      <c r="F20" s="661">
        <v>0</v>
      </c>
      <c r="G20" s="662">
        <v>0</v>
      </c>
      <c r="H20" s="134" t="e">
        <f t="shared" si="0"/>
        <v>#DIV/0!</v>
      </c>
      <c r="I20" s="493"/>
      <c r="J20" s="493"/>
      <c r="K20" s="493"/>
      <c r="L20" s="493"/>
      <c r="M20" s="493"/>
      <c r="N20" s="493"/>
    </row>
    <row r="21" spans="1:14">
      <c r="A21" s="81">
        <v>14</v>
      </c>
      <c r="B21" s="1" t="s">
        <v>63</v>
      </c>
      <c r="C21" s="661">
        <v>15777829.203300001</v>
      </c>
      <c r="D21" s="661"/>
      <c r="E21" s="661"/>
      <c r="F21" s="661">
        <v>12434033.6853</v>
      </c>
      <c r="G21" s="662">
        <v>12434033.6853</v>
      </c>
      <c r="H21" s="134">
        <f t="shared" si="0"/>
        <v>0.78806998891199609</v>
      </c>
      <c r="I21" s="493"/>
      <c r="J21" s="493"/>
      <c r="K21" s="493"/>
      <c r="L21" s="493"/>
      <c r="M21" s="493"/>
      <c r="N21" s="493"/>
    </row>
    <row r="22" spans="1:14" ht="14.4" thickBot="1">
      <c r="A22" s="84"/>
      <c r="B22" s="85" t="s">
        <v>64</v>
      </c>
      <c r="C22" s="133">
        <f>SUM(C8:C21)</f>
        <v>656082903.16210008</v>
      </c>
      <c r="D22" s="133">
        <f>SUM(D8:D21)</f>
        <v>95712982.127900004</v>
      </c>
      <c r="E22" s="133">
        <f>SUM(E8:E21)</f>
        <v>34819029.765000001</v>
      </c>
      <c r="F22" s="133">
        <f>SUM(F8:F21)</f>
        <v>619109205.85308003</v>
      </c>
      <c r="G22" s="133">
        <f>SUM(G8:G21)</f>
        <v>559629762.88787997</v>
      </c>
      <c r="H22" s="135">
        <f>G22/(C22+E22)</f>
        <v>0.80999883806509598</v>
      </c>
      <c r="I22" s="493"/>
      <c r="J22" s="493"/>
      <c r="K22" s="493"/>
      <c r="L22" s="493"/>
      <c r="M22" s="493"/>
      <c r="N22" s="493"/>
    </row>
    <row r="24" spans="1:14">
      <c r="C24" s="437"/>
      <c r="D24" s="437"/>
      <c r="E24" s="437"/>
      <c r="F24" s="437"/>
      <c r="G24" s="437"/>
      <c r="H24" s="437"/>
    </row>
    <row r="25" spans="1:14">
      <c r="C25" s="437"/>
      <c r="D25" s="437"/>
      <c r="E25" s="437"/>
      <c r="F25" s="437"/>
      <c r="G25" s="437"/>
      <c r="H25" s="437"/>
    </row>
    <row r="26" spans="1:14">
      <c r="C26" s="437"/>
      <c r="D26" s="437"/>
      <c r="E26" s="437"/>
      <c r="F26" s="437"/>
      <c r="G26" s="437"/>
      <c r="H26" s="437"/>
    </row>
    <row r="27" spans="1:14">
      <c r="C27" s="437"/>
      <c r="D27" s="437"/>
      <c r="E27" s="437"/>
      <c r="F27" s="437"/>
      <c r="G27" s="437"/>
      <c r="H27" s="437"/>
    </row>
    <row r="28" spans="1:14">
      <c r="C28" s="437"/>
      <c r="D28" s="437"/>
      <c r="E28" s="437"/>
      <c r="F28" s="437"/>
      <c r="G28" s="437"/>
      <c r="H28" s="437"/>
    </row>
    <row r="29" spans="1:14">
      <c r="C29" s="437"/>
      <c r="D29" s="437"/>
      <c r="E29" s="437"/>
      <c r="F29" s="437"/>
      <c r="G29" s="437"/>
      <c r="H29" s="437"/>
    </row>
    <row r="30" spans="1:14">
      <c r="C30" s="437"/>
      <c r="D30" s="437"/>
      <c r="E30" s="437"/>
      <c r="F30" s="437"/>
      <c r="G30" s="437"/>
      <c r="H30" s="437"/>
    </row>
    <row r="31" spans="1:14">
      <c r="C31" s="437"/>
      <c r="D31" s="437"/>
      <c r="E31" s="437"/>
      <c r="F31" s="437"/>
      <c r="G31" s="437"/>
      <c r="H31" s="437"/>
    </row>
    <row r="32" spans="1:14">
      <c r="C32" s="437"/>
      <c r="D32" s="437"/>
      <c r="E32" s="437"/>
      <c r="F32" s="437"/>
      <c r="G32" s="437"/>
      <c r="H32" s="437"/>
    </row>
    <row r="33" spans="3:8">
      <c r="C33" s="437"/>
      <c r="D33" s="437"/>
      <c r="E33" s="437"/>
      <c r="F33" s="437"/>
      <c r="G33" s="437"/>
      <c r="H33" s="437"/>
    </row>
    <row r="34" spans="3:8">
      <c r="C34" s="437"/>
      <c r="D34" s="437"/>
      <c r="E34" s="437"/>
      <c r="F34" s="437"/>
      <c r="G34" s="437"/>
      <c r="H34" s="437"/>
    </row>
    <row r="35" spans="3:8">
      <c r="C35" s="437"/>
      <c r="D35" s="437"/>
      <c r="E35" s="437"/>
      <c r="F35" s="437"/>
      <c r="G35" s="437"/>
      <c r="H35" s="437"/>
    </row>
    <row r="36" spans="3:8">
      <c r="C36" s="437"/>
      <c r="D36" s="437"/>
      <c r="E36" s="437"/>
      <c r="F36" s="437"/>
      <c r="G36" s="437"/>
      <c r="H36" s="437"/>
    </row>
    <row r="37" spans="3:8">
      <c r="C37" s="437"/>
      <c r="D37" s="437"/>
      <c r="E37" s="437"/>
      <c r="F37" s="437"/>
      <c r="G37" s="437"/>
      <c r="H37" s="437"/>
    </row>
    <row r="38" spans="3:8">
      <c r="C38" s="437"/>
      <c r="D38" s="437"/>
      <c r="E38" s="437"/>
      <c r="F38" s="437"/>
      <c r="G38" s="437"/>
      <c r="H38" s="437"/>
    </row>
    <row r="39" spans="3:8">
      <c r="C39" s="437"/>
      <c r="D39" s="437"/>
      <c r="E39" s="437"/>
      <c r="F39" s="437"/>
      <c r="G39" s="437"/>
      <c r="H39" s="437"/>
    </row>
    <row r="40" spans="3:8">
      <c r="C40" s="437"/>
      <c r="D40" s="437"/>
      <c r="E40" s="437"/>
      <c r="F40" s="437"/>
      <c r="G40" s="437"/>
      <c r="H40" s="437"/>
    </row>
  </sheetData>
  <mergeCells count="6">
    <mergeCell ref="H6:H7"/>
    <mergeCell ref="B6:B7"/>
    <mergeCell ref="C6:C7"/>
    <mergeCell ref="D6:E6"/>
    <mergeCell ref="F6:F7"/>
    <mergeCell ref="G6:G7"/>
  </mergeCells>
  <pageMargins left="0.7" right="0.7" top="0.75" bottom="0.75" header="0.3" footer="0.3"/>
  <pageSetup paperSize="9" scale="42" orientation="portrait" horizontalDpi="300" verticalDpi="300" r:id="rId1"/>
  <headerFooter>
    <oddFooter>&amp;C_x000D_&amp;1#&amp;"Aptos"&amp;10&amp;K000000 C4 - EXTERNAL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47"/>
  <sheetViews>
    <sheetView zoomScale="80" zoomScaleNormal="80" workbookViewId="0">
      <pane xSplit="2" ySplit="6" topLeftCell="C7" activePane="bottomRight" state="frozen"/>
      <selection activeCell="B42" sqref="B42"/>
      <selection pane="topRight" activeCell="B42" sqref="B42"/>
      <selection pane="bottomLeft" activeCell="B42" sqref="B42"/>
      <selection pane="bottomRight" activeCell="E29" sqref="E29"/>
    </sheetView>
  </sheetViews>
  <sheetFormatPr defaultColWidth="9.21875" defaultRowHeight="13.8"/>
  <cols>
    <col min="1" max="1" width="10.5546875" style="109" bestFit="1" customWidth="1"/>
    <col min="2" max="2" width="104.21875" style="109" customWidth="1"/>
    <col min="3" max="11" width="14.6640625" style="109" customWidth="1"/>
    <col min="12" max="16384" width="9.21875" style="109"/>
  </cols>
  <sheetData>
    <row r="1" spans="1:11">
      <c r="A1" s="109" t="s">
        <v>30</v>
      </c>
      <c r="B1" s="3" t="str">
        <f>'Info '!C2</f>
        <v xml:space="preserve">PASHA Bank Georgia JSC </v>
      </c>
    </row>
    <row r="2" spans="1:11">
      <c r="A2" s="109" t="s">
        <v>31</v>
      </c>
      <c r="B2" s="209">
        <f>'1. key ratios '!B2</f>
        <v>46203</v>
      </c>
    </row>
    <row r="4" spans="1:11" ht="14.4" thickBot="1">
      <c r="A4" s="109" t="s">
        <v>146</v>
      </c>
      <c r="B4" s="155" t="s">
        <v>240</v>
      </c>
    </row>
    <row r="5" spans="1:11" ht="30" customHeight="1">
      <c r="A5" s="809"/>
      <c r="B5" s="810"/>
      <c r="C5" s="811" t="s">
        <v>292</v>
      </c>
      <c r="D5" s="811"/>
      <c r="E5" s="811"/>
      <c r="F5" s="811" t="s">
        <v>293</v>
      </c>
      <c r="G5" s="811"/>
      <c r="H5" s="811"/>
      <c r="I5" s="811" t="s">
        <v>294</v>
      </c>
      <c r="J5" s="811"/>
      <c r="K5" s="812"/>
    </row>
    <row r="6" spans="1:11">
      <c r="A6" s="145"/>
      <c r="B6" s="673"/>
      <c r="C6" s="565" t="s">
        <v>32</v>
      </c>
      <c r="D6" s="565" t="s">
        <v>33</v>
      </c>
      <c r="E6" s="565" t="s">
        <v>34</v>
      </c>
      <c r="F6" s="565" t="s">
        <v>32</v>
      </c>
      <c r="G6" s="565" t="s">
        <v>33</v>
      </c>
      <c r="H6" s="565" t="s">
        <v>34</v>
      </c>
      <c r="I6" s="565" t="s">
        <v>32</v>
      </c>
      <c r="J6" s="565" t="s">
        <v>33</v>
      </c>
      <c r="K6" s="566" t="s">
        <v>34</v>
      </c>
    </row>
    <row r="7" spans="1:11">
      <c r="A7" s="674" t="s">
        <v>243</v>
      </c>
      <c r="B7" s="675"/>
      <c r="C7" s="675"/>
      <c r="D7" s="675"/>
      <c r="E7" s="675"/>
      <c r="F7" s="675"/>
      <c r="G7" s="675"/>
      <c r="H7" s="675"/>
      <c r="I7" s="675"/>
      <c r="J7" s="675"/>
      <c r="K7" s="146"/>
    </row>
    <row r="8" spans="1:11">
      <c r="A8" s="147">
        <v>1</v>
      </c>
      <c r="B8" s="148" t="s">
        <v>241</v>
      </c>
      <c r="C8" s="667"/>
      <c r="D8" s="667"/>
      <c r="E8" s="667"/>
      <c r="F8" s="461">
        <v>106900635.86631869</v>
      </c>
      <c r="G8" s="461">
        <v>80806345.173379108</v>
      </c>
      <c r="H8" s="461">
        <v>187706981.03969789</v>
      </c>
      <c r="I8" s="461">
        <v>88682009.538571447</v>
      </c>
      <c r="J8" s="461">
        <v>26581163.553786803</v>
      </c>
      <c r="K8" s="462">
        <v>115263173.0923582</v>
      </c>
    </row>
    <row r="9" spans="1:11">
      <c r="A9" s="674" t="s">
        <v>244</v>
      </c>
      <c r="B9" s="675"/>
      <c r="C9" s="668"/>
      <c r="D9" s="668"/>
      <c r="E9" s="668"/>
      <c r="F9" s="668"/>
      <c r="G9" s="668"/>
      <c r="H9" s="668"/>
      <c r="I9" s="668"/>
      <c r="J9" s="668"/>
      <c r="K9" s="463"/>
    </row>
    <row r="10" spans="1:11">
      <c r="A10" s="676">
        <v>2</v>
      </c>
      <c r="B10" s="677" t="s">
        <v>252</v>
      </c>
      <c r="C10" s="669">
        <v>25346279.609472536</v>
      </c>
      <c r="D10" s="670">
        <v>54118520.024764836</v>
      </c>
      <c r="E10" s="670">
        <v>79464799.634237409</v>
      </c>
      <c r="F10" s="670">
        <v>7255863.3507758193</v>
      </c>
      <c r="G10" s="670">
        <v>9031731.6370609924</v>
      </c>
      <c r="H10" s="670">
        <v>16287594.987836814</v>
      </c>
      <c r="I10" s="670">
        <v>1682389.6629175839</v>
      </c>
      <c r="J10" s="670">
        <v>2399869.2839390123</v>
      </c>
      <c r="K10" s="671">
        <v>4082258.9468565942</v>
      </c>
    </row>
    <row r="11" spans="1:11">
      <c r="A11" s="676">
        <v>3</v>
      </c>
      <c r="B11" s="677" t="s">
        <v>246</v>
      </c>
      <c r="C11" s="669">
        <v>205136324.31547254</v>
      </c>
      <c r="D11" s="670">
        <v>191644771.81828573</v>
      </c>
      <c r="E11" s="670">
        <v>396781096.13375813</v>
      </c>
      <c r="F11" s="670">
        <v>68307134.006101638</v>
      </c>
      <c r="G11" s="670">
        <v>33681736.848947532</v>
      </c>
      <c r="H11" s="670">
        <v>101988870.85504919</v>
      </c>
      <c r="I11" s="670">
        <v>61801703.332645036</v>
      </c>
      <c r="J11" s="670">
        <v>27307703.500587966</v>
      </c>
      <c r="K11" s="671">
        <v>89109406.833233029</v>
      </c>
    </row>
    <row r="12" spans="1:11">
      <c r="A12" s="676">
        <v>4</v>
      </c>
      <c r="B12" s="677" t="s">
        <v>247</v>
      </c>
      <c r="C12" s="669">
        <v>3846153.846153846</v>
      </c>
      <c r="D12" s="670">
        <v>0</v>
      </c>
      <c r="E12" s="670">
        <v>3846153.846153846</v>
      </c>
      <c r="F12" s="670">
        <v>0</v>
      </c>
      <c r="G12" s="670">
        <v>0</v>
      </c>
      <c r="H12" s="670">
        <v>0</v>
      </c>
      <c r="I12" s="670">
        <v>0</v>
      </c>
      <c r="J12" s="670">
        <v>0</v>
      </c>
      <c r="K12" s="671">
        <v>0</v>
      </c>
    </row>
    <row r="13" spans="1:11">
      <c r="A13" s="676">
        <v>5</v>
      </c>
      <c r="B13" s="677" t="s">
        <v>255</v>
      </c>
      <c r="C13" s="669">
        <v>44123949.797252737</v>
      </c>
      <c r="D13" s="670">
        <v>58839020.314627491</v>
      </c>
      <c r="E13" s="670">
        <v>102962970.11188012</v>
      </c>
      <c r="F13" s="670">
        <v>8493112.5764098894</v>
      </c>
      <c r="G13" s="670">
        <v>15961747.810216241</v>
      </c>
      <c r="H13" s="670">
        <v>24454860.386626128</v>
      </c>
      <c r="I13" s="670">
        <v>3440862.6992747271</v>
      </c>
      <c r="J13" s="670">
        <v>5517380.6669301651</v>
      </c>
      <c r="K13" s="671">
        <v>8958243.3662048858</v>
      </c>
    </row>
    <row r="14" spans="1:11">
      <c r="A14" s="676">
        <v>6</v>
      </c>
      <c r="B14" s="677" t="s">
        <v>287</v>
      </c>
      <c r="C14" s="669">
        <v>0</v>
      </c>
      <c r="D14" s="670">
        <v>0</v>
      </c>
      <c r="E14" s="670">
        <v>0</v>
      </c>
      <c r="F14" s="670">
        <v>0</v>
      </c>
      <c r="G14" s="670">
        <v>0</v>
      </c>
      <c r="H14" s="670">
        <v>0</v>
      </c>
      <c r="I14" s="670">
        <v>0</v>
      </c>
      <c r="J14" s="670">
        <v>0</v>
      </c>
      <c r="K14" s="671">
        <v>0</v>
      </c>
    </row>
    <row r="15" spans="1:11">
      <c r="A15" s="676">
        <v>7</v>
      </c>
      <c r="B15" s="677" t="s">
        <v>288</v>
      </c>
      <c r="C15" s="669">
        <v>9498002.1500000004</v>
      </c>
      <c r="D15" s="670">
        <v>7594967.426884613</v>
      </c>
      <c r="E15" s="670">
        <v>17092969.57688462</v>
      </c>
      <c r="F15" s="670">
        <v>6067607.8021978037</v>
      </c>
      <c r="G15" s="670">
        <v>2815081.6097109909</v>
      </c>
      <c r="H15" s="670">
        <v>8882689.4119087961</v>
      </c>
      <c r="I15" s="670">
        <v>6067607.8021978037</v>
      </c>
      <c r="J15" s="670">
        <v>2815081.6097109909</v>
      </c>
      <c r="K15" s="671">
        <v>8882689.4119087961</v>
      </c>
    </row>
    <row r="16" spans="1:11">
      <c r="A16" s="676">
        <v>8</v>
      </c>
      <c r="B16" s="678" t="s">
        <v>248</v>
      </c>
      <c r="C16" s="464">
        <f t="shared" ref="C16:K16" si="0">SUM(C10:C15)</f>
        <v>287950709.71835166</v>
      </c>
      <c r="D16" s="464">
        <f t="shared" si="0"/>
        <v>312197279.58456266</v>
      </c>
      <c r="E16" s="464">
        <f t="shared" si="0"/>
        <v>600147989.30291414</v>
      </c>
      <c r="F16" s="464">
        <f t="shared" si="0"/>
        <v>90123717.735485151</v>
      </c>
      <c r="G16" s="464">
        <f t="shared" si="0"/>
        <v>61490297.905935757</v>
      </c>
      <c r="H16" s="464">
        <f t="shared" si="0"/>
        <v>151614015.64142093</v>
      </c>
      <c r="I16" s="464">
        <f t="shared" si="0"/>
        <v>72992563.497035146</v>
      </c>
      <c r="J16" s="464">
        <f t="shared" si="0"/>
        <v>38040035.061168134</v>
      </c>
      <c r="K16" s="672">
        <f t="shared" si="0"/>
        <v>111032598.55820329</v>
      </c>
    </row>
    <row r="17" spans="1:11">
      <c r="A17" s="674" t="s">
        <v>245</v>
      </c>
      <c r="B17" s="675"/>
      <c r="C17" s="668"/>
      <c r="D17" s="668"/>
      <c r="E17" s="668"/>
      <c r="F17" s="668"/>
      <c r="G17" s="668"/>
      <c r="H17" s="668"/>
      <c r="I17" s="668"/>
      <c r="J17" s="668"/>
      <c r="K17" s="463"/>
    </row>
    <row r="18" spans="1:11">
      <c r="A18" s="676">
        <v>9</v>
      </c>
      <c r="B18" s="677" t="s">
        <v>251</v>
      </c>
      <c r="C18" s="669">
        <v>0</v>
      </c>
      <c r="D18" s="670">
        <v>0</v>
      </c>
      <c r="E18" s="670">
        <v>0</v>
      </c>
      <c r="F18" s="670">
        <v>0</v>
      </c>
      <c r="G18" s="670">
        <v>0</v>
      </c>
      <c r="H18" s="670">
        <v>0</v>
      </c>
      <c r="I18" s="670">
        <v>0</v>
      </c>
      <c r="J18" s="670">
        <v>0</v>
      </c>
      <c r="K18" s="671">
        <v>0</v>
      </c>
    </row>
    <row r="19" spans="1:11">
      <c r="A19" s="676">
        <v>10</v>
      </c>
      <c r="B19" s="677" t="s">
        <v>289</v>
      </c>
      <c r="C19" s="669">
        <v>135088753.37961212</v>
      </c>
      <c r="D19" s="670">
        <v>319055162.16012961</v>
      </c>
      <c r="E19" s="670">
        <v>454143915.53974152</v>
      </c>
      <c r="F19" s="670">
        <v>2972629.3328604396</v>
      </c>
      <c r="G19" s="670">
        <v>5843591.1206587898</v>
      </c>
      <c r="H19" s="670">
        <v>8816220.4535192326</v>
      </c>
      <c r="I19" s="670">
        <v>23456691.225442857</v>
      </c>
      <c r="J19" s="670">
        <v>64129361.227310464</v>
      </c>
      <c r="K19" s="671">
        <v>87586052.452753291</v>
      </c>
    </row>
    <row r="20" spans="1:11">
      <c r="A20" s="676">
        <v>11</v>
      </c>
      <c r="B20" s="677" t="s">
        <v>250</v>
      </c>
      <c r="C20" s="669">
        <v>34549366.151581317</v>
      </c>
      <c r="D20" s="670">
        <v>7651996.9129692344</v>
      </c>
      <c r="E20" s="670">
        <v>42201363.064550534</v>
      </c>
      <c r="F20" s="670">
        <v>0</v>
      </c>
      <c r="G20" s="670">
        <v>874562.29131648375</v>
      </c>
      <c r="H20" s="670">
        <v>874562.29131648375</v>
      </c>
      <c r="I20" s="670">
        <v>0</v>
      </c>
      <c r="J20" s="670">
        <v>874562.29131648375</v>
      </c>
      <c r="K20" s="671">
        <v>874562.29131648375</v>
      </c>
    </row>
    <row r="21" spans="1:11" ht="14.4" thickBot="1">
      <c r="A21" s="679">
        <v>12</v>
      </c>
      <c r="B21" s="680" t="s">
        <v>249</v>
      </c>
      <c r="C21" s="465">
        <f>SUM(C18:C20)</f>
        <v>169638119.53119344</v>
      </c>
      <c r="D21" s="465">
        <f t="shared" ref="D21:K21" si="1">SUM(D18:D20)</f>
        <v>326707159.07309884</v>
      </c>
      <c r="E21" s="465">
        <f t="shared" si="1"/>
        <v>496345278.60429204</v>
      </c>
      <c r="F21" s="465">
        <f t="shared" si="1"/>
        <v>2972629.3328604396</v>
      </c>
      <c r="G21" s="465">
        <f t="shared" si="1"/>
        <v>6718153.4119752739</v>
      </c>
      <c r="H21" s="465">
        <f t="shared" si="1"/>
        <v>9690782.7448357157</v>
      </c>
      <c r="I21" s="465">
        <f t="shared" si="1"/>
        <v>23456691.225442857</v>
      </c>
      <c r="J21" s="465">
        <f t="shared" si="1"/>
        <v>65003923.518626951</v>
      </c>
      <c r="K21" s="681">
        <f t="shared" si="1"/>
        <v>88460614.74406977</v>
      </c>
    </row>
    <row r="22" spans="1:11" ht="38.25" customHeight="1" thickBot="1">
      <c r="A22" s="150"/>
      <c r="B22" s="682"/>
      <c r="C22" s="682"/>
      <c r="D22" s="682"/>
      <c r="E22" s="682"/>
      <c r="F22" s="813" t="s">
        <v>291</v>
      </c>
      <c r="G22" s="811"/>
      <c r="H22" s="811"/>
      <c r="I22" s="813" t="s">
        <v>256</v>
      </c>
      <c r="J22" s="811"/>
      <c r="K22" s="812"/>
    </row>
    <row r="23" spans="1:11">
      <c r="A23" s="683">
        <v>13</v>
      </c>
      <c r="B23" s="684" t="s">
        <v>241</v>
      </c>
      <c r="C23" s="685"/>
      <c r="D23" s="685"/>
      <c r="E23" s="685"/>
      <c r="F23" s="438">
        <f>F8</f>
        <v>106900635.86631869</v>
      </c>
      <c r="G23" s="438">
        <f t="shared" ref="G23:H23" si="2">G8</f>
        <v>80806345.173379108</v>
      </c>
      <c r="H23" s="438">
        <f t="shared" si="2"/>
        <v>187706981.03969789</v>
      </c>
      <c r="I23" s="438">
        <f>I8</f>
        <v>88682009.538571447</v>
      </c>
      <c r="J23" s="438">
        <f t="shared" ref="J23:K23" si="3">J8</f>
        <v>26581163.553786803</v>
      </c>
      <c r="K23" s="439">
        <f t="shared" si="3"/>
        <v>115263173.0923582</v>
      </c>
    </row>
    <row r="24" spans="1:11" ht="14.4" thickBot="1">
      <c r="A24" s="151">
        <v>14</v>
      </c>
      <c r="B24" s="686" t="s">
        <v>253</v>
      </c>
      <c r="C24" s="687"/>
      <c r="D24" s="688"/>
      <c r="E24" s="689"/>
      <c r="F24" s="440">
        <f>MAX(F16-F21,F16*0.25)</f>
        <v>87151088.402624711</v>
      </c>
      <c r="G24" s="440">
        <f t="shared" ref="G24:H24" si="4">MAX(G16-G21,G16*0.25)</f>
        <v>54772144.493960485</v>
      </c>
      <c r="H24" s="440">
        <f t="shared" si="4"/>
        <v>141923232.89658523</v>
      </c>
      <c r="I24" s="440">
        <f>MAX(I16-I21,I16*0.25)</f>
        <v>49535872.271592289</v>
      </c>
      <c r="J24" s="440">
        <f t="shared" ref="J24:K24" si="5">MAX(J16-J21,J16*0.25)</f>
        <v>9510008.7652920336</v>
      </c>
      <c r="K24" s="441">
        <f t="shared" si="5"/>
        <v>27758149.639550824</v>
      </c>
    </row>
    <row r="25" spans="1:11" ht="14.4" thickBot="1">
      <c r="A25" s="690">
        <v>15</v>
      </c>
      <c r="B25" s="691" t="s">
        <v>254</v>
      </c>
      <c r="C25" s="692"/>
      <c r="D25" s="692"/>
      <c r="E25" s="692"/>
      <c r="F25" s="442">
        <f>F23/F24</f>
        <v>1.2266127460445941</v>
      </c>
      <c r="G25" s="442">
        <f t="shared" ref="G25:H25" si="6">G23/G24</f>
        <v>1.4753182647849277</v>
      </c>
      <c r="H25" s="442">
        <f t="shared" si="6"/>
        <v>1.3225951608393374</v>
      </c>
      <c r="I25" s="442">
        <f>I23/I24</f>
        <v>1.7902583617050505</v>
      </c>
      <c r="J25" s="442">
        <f t="shared" ref="J25:K25" si="7">J23/J24</f>
        <v>2.7950724557476838</v>
      </c>
      <c r="K25" s="693">
        <f t="shared" si="7"/>
        <v>4.1524083769664184</v>
      </c>
    </row>
    <row r="27" spans="1:11" ht="27">
      <c r="B27" s="144" t="s">
        <v>290</v>
      </c>
    </row>
    <row r="28" spans="1:11">
      <c r="C28" s="433"/>
      <c r="D28" s="433"/>
      <c r="E28" s="433"/>
      <c r="F28" s="433"/>
      <c r="G28" s="433"/>
      <c r="H28" s="433"/>
      <c r="I28" s="433"/>
      <c r="J28" s="433"/>
      <c r="K28" s="433"/>
    </row>
    <row r="29" spans="1:11">
      <c r="C29" s="433"/>
      <c r="D29" s="433"/>
      <c r="E29" s="433"/>
      <c r="F29" s="433"/>
      <c r="G29" s="433"/>
      <c r="H29" s="433"/>
      <c r="I29" s="433"/>
      <c r="J29" s="433"/>
      <c r="K29" s="433"/>
    </row>
    <row r="30" spans="1:11">
      <c r="C30" s="433"/>
      <c r="D30" s="433"/>
      <c r="E30" s="433"/>
      <c r="F30" s="433"/>
      <c r="G30" s="433"/>
      <c r="H30" s="433"/>
      <c r="I30" s="433"/>
      <c r="J30" s="433"/>
      <c r="K30" s="433"/>
    </row>
    <row r="31" spans="1:11">
      <c r="C31" s="433"/>
      <c r="D31" s="433"/>
      <c r="E31" s="433"/>
      <c r="F31" s="433"/>
      <c r="G31" s="433"/>
      <c r="H31" s="433"/>
      <c r="I31" s="433"/>
      <c r="J31" s="433"/>
      <c r="K31" s="433"/>
    </row>
    <row r="32" spans="1:11">
      <c r="C32" s="433"/>
      <c r="D32" s="433"/>
      <c r="E32" s="433"/>
      <c r="F32" s="433"/>
      <c r="G32" s="433"/>
      <c r="H32" s="433"/>
      <c r="I32" s="433"/>
      <c r="J32" s="433"/>
      <c r="K32" s="433"/>
    </row>
    <row r="33" spans="3:11">
      <c r="C33" s="433"/>
      <c r="D33" s="433"/>
      <c r="E33" s="433"/>
      <c r="F33" s="433"/>
      <c r="G33" s="433"/>
      <c r="H33" s="433"/>
      <c r="I33" s="433"/>
      <c r="J33" s="433"/>
      <c r="K33" s="433"/>
    </row>
    <row r="34" spans="3:11">
      <c r="C34" s="433"/>
      <c r="D34" s="433"/>
      <c r="E34" s="433"/>
      <c r="F34" s="433"/>
      <c r="G34" s="433"/>
      <c r="H34" s="433"/>
      <c r="I34" s="433"/>
      <c r="J34" s="433"/>
      <c r="K34" s="433"/>
    </row>
    <row r="35" spans="3:11">
      <c r="C35" s="433"/>
      <c r="D35" s="433"/>
      <c r="E35" s="433"/>
      <c r="F35" s="433"/>
      <c r="G35" s="433"/>
      <c r="H35" s="433"/>
      <c r="I35" s="433"/>
      <c r="J35" s="433"/>
      <c r="K35" s="433"/>
    </row>
    <row r="36" spans="3:11">
      <c r="C36" s="433"/>
      <c r="D36" s="433"/>
      <c r="E36" s="433"/>
      <c r="F36" s="433"/>
      <c r="G36" s="433"/>
      <c r="H36" s="433"/>
      <c r="I36" s="433"/>
      <c r="J36" s="433"/>
      <c r="K36" s="433"/>
    </row>
    <row r="37" spans="3:11">
      <c r="C37" s="433"/>
      <c r="D37" s="433"/>
      <c r="E37" s="433"/>
      <c r="F37" s="433"/>
      <c r="G37" s="433"/>
      <c r="H37" s="433"/>
      <c r="I37" s="433"/>
      <c r="J37" s="433"/>
      <c r="K37" s="433"/>
    </row>
    <row r="38" spans="3:11">
      <c r="C38" s="433"/>
      <c r="D38" s="433"/>
      <c r="E38" s="433"/>
      <c r="F38" s="433"/>
      <c r="G38" s="433"/>
      <c r="H38" s="433"/>
      <c r="I38" s="433"/>
      <c r="J38" s="433"/>
      <c r="K38" s="433"/>
    </row>
    <row r="39" spans="3:11">
      <c r="C39" s="433"/>
      <c r="D39" s="433"/>
      <c r="E39" s="433"/>
      <c r="F39" s="433"/>
      <c r="G39" s="433"/>
      <c r="H39" s="433"/>
      <c r="I39" s="433"/>
      <c r="J39" s="433"/>
      <c r="K39" s="433"/>
    </row>
    <row r="40" spans="3:11">
      <c r="C40" s="433"/>
      <c r="D40" s="433"/>
      <c r="E40" s="433"/>
      <c r="F40" s="433"/>
      <c r="G40" s="433"/>
      <c r="H40" s="433"/>
      <c r="I40" s="433"/>
      <c r="J40" s="433"/>
      <c r="K40" s="433"/>
    </row>
    <row r="41" spans="3:11">
      <c r="C41" s="433"/>
      <c r="D41" s="433"/>
      <c r="E41" s="433"/>
      <c r="F41" s="433"/>
      <c r="G41" s="433"/>
      <c r="H41" s="433"/>
      <c r="I41" s="433"/>
      <c r="J41" s="433"/>
      <c r="K41" s="433"/>
    </row>
    <row r="42" spans="3:11">
      <c r="C42" s="433"/>
      <c r="D42" s="433"/>
      <c r="E42" s="433"/>
      <c r="F42" s="433"/>
      <c r="G42" s="433"/>
      <c r="H42" s="433"/>
      <c r="I42" s="433"/>
      <c r="J42" s="433"/>
      <c r="K42" s="433"/>
    </row>
    <row r="43" spans="3:11">
      <c r="C43" s="500"/>
      <c r="D43" s="500"/>
      <c r="E43" s="500"/>
      <c r="F43" s="433"/>
      <c r="G43" s="433"/>
      <c r="H43" s="433"/>
      <c r="I43" s="433"/>
      <c r="J43" s="433"/>
      <c r="K43" s="433"/>
    </row>
    <row r="44" spans="3:11">
      <c r="C44" s="500"/>
      <c r="D44" s="500"/>
      <c r="E44" s="500"/>
      <c r="F44" s="433"/>
      <c r="G44" s="433"/>
      <c r="H44" s="433"/>
      <c r="I44" s="433"/>
      <c r="J44" s="433"/>
      <c r="K44" s="433"/>
    </row>
    <row r="45" spans="3:11">
      <c r="C45" s="500"/>
      <c r="D45" s="500"/>
      <c r="E45" s="500"/>
      <c r="F45" s="501"/>
      <c r="G45" s="501"/>
      <c r="H45" s="501"/>
      <c r="I45" s="501"/>
      <c r="J45" s="501"/>
      <c r="K45" s="501"/>
    </row>
    <row r="46" spans="3:11">
      <c r="C46" s="433"/>
      <c r="D46" s="433"/>
      <c r="E46" s="433"/>
      <c r="F46" s="433"/>
      <c r="G46" s="433"/>
      <c r="H46" s="433"/>
      <c r="I46" s="433"/>
      <c r="J46" s="433"/>
      <c r="K46" s="433"/>
    </row>
    <row r="47" spans="3:11">
      <c r="C47" s="433"/>
      <c r="D47" s="433"/>
      <c r="E47" s="433"/>
      <c r="F47" s="433"/>
      <c r="G47" s="433"/>
      <c r="H47" s="433"/>
      <c r="I47" s="433"/>
      <c r="J47" s="433"/>
      <c r="K47" s="433"/>
    </row>
  </sheetData>
  <mergeCells count="6">
    <mergeCell ref="A5:B5"/>
    <mergeCell ref="C5:E5"/>
    <mergeCell ref="F5:H5"/>
    <mergeCell ref="I5:K5"/>
    <mergeCell ref="F22:H22"/>
    <mergeCell ref="I22:K22"/>
  </mergeCells>
  <pageMargins left="0.7" right="0.7" top="0.75" bottom="0.75" header="0.3" footer="0.3"/>
  <pageSetup paperSize="9" scale="35" orientation="portrait" horizontalDpi="300" verticalDpi="300" r:id="rId1"/>
  <headerFooter>
    <oddFooter>&amp;C_x000D_&amp;1#&amp;"Aptos"&amp;10&amp;K000000 C4 - EXTERNAL CONFIDENTIAL</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86"/>
  <sheetViews>
    <sheetView zoomScale="80" zoomScaleNormal="80" workbookViewId="0">
      <pane xSplit="1" ySplit="3" topLeftCell="D5" activePane="bottomRight" state="frozen"/>
      <selection activeCell="B42" sqref="B42"/>
      <selection pane="topRight" activeCell="B42" sqref="B42"/>
      <selection pane="bottomLeft" activeCell="B42" sqref="B42"/>
      <selection pane="bottomRight" activeCell="O37" sqref="O37"/>
    </sheetView>
  </sheetViews>
  <sheetFormatPr defaultColWidth="9.21875" defaultRowHeight="13.2"/>
  <cols>
    <col min="1" max="1" width="10.5546875" style="4" bestFit="1" customWidth="1"/>
    <col min="2" max="2" width="95" style="4" customWidth="1"/>
    <col min="3" max="3" width="13.44140625" style="4" customWidth="1"/>
    <col min="4" max="4" width="11.44140625" style="4" customWidth="1"/>
    <col min="5" max="5" width="18.21875" style="4" bestFit="1" customWidth="1"/>
    <col min="6" max="13" width="12.77734375" style="4" customWidth="1"/>
    <col min="14" max="14" width="31" style="4" bestFit="1" customWidth="1"/>
    <col min="15" max="15" width="10.109375" style="15" customWidth="1"/>
    <col min="16" max="16" width="9.21875" style="15"/>
    <col min="17" max="17" width="44.21875" style="15" customWidth="1"/>
    <col min="18" max="16384" width="9.21875" style="15"/>
  </cols>
  <sheetData>
    <row r="1" spans="1:17" ht="13.8">
      <c r="A1" s="325" t="s">
        <v>717</v>
      </c>
      <c r="B1" s="361" t="str">
        <f>'Info '!C2</f>
        <v xml:space="preserve">PASHA Bank Georgia JSC </v>
      </c>
      <c r="C1" s="361"/>
      <c r="D1" s="361"/>
      <c r="E1" s="361"/>
      <c r="F1" s="361"/>
      <c r="G1" s="361"/>
      <c r="H1" s="361"/>
      <c r="I1" s="361"/>
      <c r="J1" s="361"/>
      <c r="K1" s="361"/>
      <c r="L1" s="361"/>
      <c r="M1" s="361"/>
      <c r="N1" s="361"/>
      <c r="O1" s="127"/>
      <c r="P1" s="127"/>
      <c r="Q1" s="127"/>
    </row>
    <row r="2" spans="1:17" ht="14.25" customHeight="1">
      <c r="A2" s="361" t="s">
        <v>718</v>
      </c>
      <c r="B2" s="326">
        <f>'1. key ratios '!B2</f>
        <v>46203</v>
      </c>
      <c r="C2" s="361"/>
      <c r="D2" s="361"/>
      <c r="E2" s="361"/>
      <c r="F2" s="361"/>
      <c r="G2" s="361"/>
      <c r="H2" s="361"/>
      <c r="I2" s="361"/>
      <c r="J2" s="361"/>
      <c r="K2" s="361"/>
      <c r="L2" s="361"/>
      <c r="M2" s="361"/>
      <c r="N2" s="361"/>
      <c r="O2" s="127"/>
      <c r="P2" s="127"/>
      <c r="Q2" s="127"/>
    </row>
    <row r="3" spans="1:17" ht="14.25" customHeight="1">
      <c r="A3" s="361"/>
      <c r="B3" s="127"/>
      <c r="C3" s="127"/>
      <c r="D3" s="127"/>
      <c r="E3" s="127"/>
      <c r="F3" s="127"/>
      <c r="G3" s="127"/>
      <c r="H3" s="127"/>
      <c r="I3" s="127"/>
      <c r="J3" s="127"/>
      <c r="K3" s="127"/>
      <c r="L3" s="127"/>
      <c r="M3" s="127"/>
      <c r="N3" s="127"/>
      <c r="O3" s="127"/>
      <c r="P3" s="127"/>
      <c r="Q3" s="127"/>
    </row>
    <row r="4" spans="1:17" ht="14.4">
      <c r="A4" s="361"/>
      <c r="B4" s="368" t="s">
        <v>719</v>
      </c>
      <c r="C4" s="127"/>
      <c r="D4" s="127"/>
      <c r="E4" s="127"/>
      <c r="F4" s="127"/>
      <c r="G4" s="127"/>
      <c r="H4" s="127"/>
      <c r="I4" s="127"/>
      <c r="J4" s="127"/>
      <c r="K4" s="127"/>
      <c r="L4" s="127"/>
      <c r="M4" s="127"/>
      <c r="N4" s="127"/>
      <c r="O4" s="127"/>
      <c r="P4" s="127"/>
      <c r="Q4" s="127"/>
    </row>
    <row r="5" spans="1:17" ht="57.6">
      <c r="A5" s="361"/>
      <c r="B5" s="369" t="s">
        <v>720</v>
      </c>
      <c r="C5" s="370" t="s">
        <v>721</v>
      </c>
      <c r="D5" s="370" t="s">
        <v>722</v>
      </c>
      <c r="E5" s="370" t="s">
        <v>723</v>
      </c>
      <c r="F5" s="370" t="s">
        <v>724</v>
      </c>
      <c r="G5" s="370" t="s">
        <v>725</v>
      </c>
      <c r="H5" s="370" t="s">
        <v>726</v>
      </c>
      <c r="I5" s="371" t="s">
        <v>727</v>
      </c>
      <c r="J5" s="372">
        <v>0.02</v>
      </c>
      <c r="K5" s="372">
        <v>0.2</v>
      </c>
      <c r="L5" s="372">
        <v>0.35</v>
      </c>
      <c r="M5" s="372">
        <v>0.5</v>
      </c>
      <c r="N5" s="372">
        <v>0.75</v>
      </c>
      <c r="O5" s="372">
        <v>1</v>
      </c>
      <c r="P5" s="372">
        <v>1.5</v>
      </c>
      <c r="Q5" s="373" t="s">
        <v>728</v>
      </c>
    </row>
    <row r="6" spans="1:17" ht="14.4">
      <c r="A6" s="361"/>
      <c r="B6" s="374"/>
      <c r="C6" s="375">
        <f>IF(C7&gt;0,C7,IF(C8&gt;0,C8,IF(C9&gt;0,C9,0)))</f>
        <v>139297032</v>
      </c>
      <c r="D6" s="375">
        <f>IF(D7&gt;0,D7,IF(D8&gt;0,D8,IF(D9&gt;0,D9,0)))</f>
        <v>2751629.1</v>
      </c>
      <c r="E6" s="375">
        <f>IF(E7&gt;0,E7,IF(E8&gt;0,E8,IF(E9&gt;0,E9,0)))</f>
        <v>24733581.289999999</v>
      </c>
      <c r="F6" s="375">
        <f>IF(F7&gt;0,F7,IF(F8&gt;0,F8,IF(F9&gt;0,F9,0)))</f>
        <v>980552.42</v>
      </c>
      <c r="G6" s="375">
        <f>IF(G7&gt;0,G7,IF(G8&gt;0,G8,IF(G9&gt;0,G9,0)))</f>
        <v>1062061.71</v>
      </c>
      <c r="H6" s="375"/>
      <c r="I6" s="375">
        <f t="shared" ref="I6" si="0">IF(I7&gt;0,I7,IF(I8&gt;0,I8,IF(I9&gt;0,I9)))</f>
        <v>2859659.7819999997</v>
      </c>
      <c r="J6" s="375">
        <f t="shared" ref="J6:Q6" si="1">IF(J7&gt;0,J7,IF(J8&gt;0,J8,IF(J9&gt;0,J9,0)))</f>
        <v>0</v>
      </c>
      <c r="K6" s="375">
        <f t="shared" si="1"/>
        <v>0</v>
      </c>
      <c r="L6" s="375">
        <f t="shared" si="1"/>
        <v>0</v>
      </c>
      <c r="M6" s="375">
        <f t="shared" si="1"/>
        <v>2803191.31</v>
      </c>
      <c r="N6" s="375">
        <f t="shared" si="1"/>
        <v>0</v>
      </c>
      <c r="O6" s="375">
        <f t="shared" si="1"/>
        <v>56468.469996079344</v>
      </c>
      <c r="P6" s="375">
        <f t="shared" si="1"/>
        <v>0</v>
      </c>
      <c r="Q6" s="375">
        <f t="shared" si="1"/>
        <v>1458064.1249960794</v>
      </c>
    </row>
    <row r="7" spans="1:17" ht="14.4">
      <c r="A7" s="361"/>
      <c r="B7" s="376" t="s">
        <v>729</v>
      </c>
      <c r="C7" s="375">
        <f>C11+C15+C19+C23+C27+C31</f>
        <v>139297032</v>
      </c>
      <c r="D7" s="375">
        <f t="shared" ref="D7:E8" si="2">D11+D15+D19+D23+D27+D31</f>
        <v>2751629.1</v>
      </c>
      <c r="E7" s="375">
        <f t="shared" si="2"/>
        <v>24733581.289999999</v>
      </c>
      <c r="F7" s="375">
        <f t="shared" ref="F7:G9" si="3">F11+F15+F19+F23+F27+F31</f>
        <v>980552.42</v>
      </c>
      <c r="G7" s="375">
        <f t="shared" si="3"/>
        <v>1062061.71</v>
      </c>
      <c r="H7" s="377">
        <v>1.4</v>
      </c>
      <c r="I7" s="378">
        <f t="shared" ref="I7:I33" si="4">(F7+G7)*H7</f>
        <v>2859659.7819999997</v>
      </c>
      <c r="J7" s="375">
        <f>J11+J15+J19+J23+J27+J31</f>
        <v>0</v>
      </c>
      <c r="K7" s="375">
        <f t="shared" ref="J7:Q9" si="5">K11+K15+K19+K23+K27+K31</f>
        <v>0</v>
      </c>
      <c r="L7" s="375">
        <f t="shared" si="5"/>
        <v>0</v>
      </c>
      <c r="M7" s="375">
        <f t="shared" si="5"/>
        <v>2803191.31</v>
      </c>
      <c r="N7" s="375">
        <f t="shared" si="5"/>
        <v>0</v>
      </c>
      <c r="O7" s="375">
        <f t="shared" si="5"/>
        <v>56468.469996079344</v>
      </c>
      <c r="P7" s="375">
        <f t="shared" si="5"/>
        <v>0</v>
      </c>
      <c r="Q7" s="375">
        <f>Q11+Q15+Q19+Q23+Q27+Q31</f>
        <v>1458064.1249960794</v>
      </c>
    </row>
    <row r="8" spans="1:17" ht="14.4">
      <c r="A8" s="361"/>
      <c r="B8" s="376" t="s">
        <v>730</v>
      </c>
      <c r="C8" s="375">
        <f>C12+C16+C20+C24+C28+C32</f>
        <v>0</v>
      </c>
      <c r="D8" s="375">
        <f t="shared" si="2"/>
        <v>0</v>
      </c>
      <c r="E8" s="375">
        <f t="shared" si="2"/>
        <v>0</v>
      </c>
      <c r="F8" s="375">
        <f t="shared" si="3"/>
        <v>0</v>
      </c>
      <c r="G8" s="375">
        <f t="shared" si="3"/>
        <v>0</v>
      </c>
      <c r="H8" s="377">
        <v>1.4</v>
      </c>
      <c r="I8" s="378">
        <f t="shared" si="4"/>
        <v>0</v>
      </c>
      <c r="J8" s="375">
        <f t="shared" si="5"/>
        <v>0</v>
      </c>
      <c r="K8" s="375">
        <f t="shared" si="5"/>
        <v>0</v>
      </c>
      <c r="L8" s="375">
        <f t="shared" si="5"/>
        <v>0</v>
      </c>
      <c r="M8" s="375">
        <f t="shared" si="5"/>
        <v>0</v>
      </c>
      <c r="N8" s="375">
        <f t="shared" si="5"/>
        <v>0</v>
      </c>
      <c r="O8" s="375">
        <f t="shared" si="5"/>
        <v>0</v>
      </c>
      <c r="P8" s="375">
        <f t="shared" si="5"/>
        <v>0</v>
      </c>
      <c r="Q8" s="375">
        <f>Q12+Q16+Q20+Q24+Q28+Q32</f>
        <v>0</v>
      </c>
    </row>
    <row r="9" spans="1:17" ht="14.4">
      <c r="A9" s="361"/>
      <c r="B9" s="376" t="s">
        <v>737</v>
      </c>
      <c r="C9" s="375">
        <f>C13+C17+C21+C25+C29+C33</f>
        <v>0</v>
      </c>
      <c r="D9" s="375">
        <f>D13+D17+D21+D25+D29+D33</f>
        <v>0</v>
      </c>
      <c r="E9" s="375">
        <f>E13+E17+E21+E25+E29+E33</f>
        <v>0</v>
      </c>
      <c r="F9" s="375">
        <f t="shared" si="3"/>
        <v>0</v>
      </c>
      <c r="G9" s="375">
        <f t="shared" si="3"/>
        <v>0</v>
      </c>
      <c r="H9" s="377">
        <v>1.4</v>
      </c>
      <c r="I9" s="378">
        <f t="shared" si="4"/>
        <v>0</v>
      </c>
      <c r="J9" s="375">
        <f t="shared" si="5"/>
        <v>0</v>
      </c>
      <c r="K9" s="375">
        <f t="shared" si="5"/>
        <v>0</v>
      </c>
      <c r="L9" s="375">
        <f t="shared" si="5"/>
        <v>0</v>
      </c>
      <c r="M9" s="375">
        <f t="shared" si="5"/>
        <v>0</v>
      </c>
      <c r="N9" s="375">
        <f t="shared" si="5"/>
        <v>0</v>
      </c>
      <c r="O9" s="375">
        <f t="shared" si="5"/>
        <v>0</v>
      </c>
      <c r="P9" s="375">
        <f t="shared" si="5"/>
        <v>0</v>
      </c>
      <c r="Q9" s="375">
        <f t="shared" si="5"/>
        <v>0</v>
      </c>
    </row>
    <row r="10" spans="1:17" ht="14.4">
      <c r="A10" s="361"/>
      <c r="B10" s="379" t="s">
        <v>731</v>
      </c>
      <c r="C10" s="380"/>
      <c r="D10" s="380"/>
      <c r="E10" s="380"/>
      <c r="F10" s="380"/>
      <c r="G10" s="380"/>
      <c r="H10" s="377">
        <v>1.4</v>
      </c>
      <c r="I10" s="378">
        <f t="shared" si="4"/>
        <v>0</v>
      </c>
      <c r="J10" s="381"/>
      <c r="K10" s="381"/>
      <c r="L10" s="381"/>
      <c r="M10" s="381"/>
      <c r="N10" s="381"/>
      <c r="O10" s="381"/>
      <c r="P10" s="381"/>
      <c r="Q10" s="375">
        <f>SUM(Q11:Q13)</f>
        <v>0</v>
      </c>
    </row>
    <row r="11" spans="1:17" ht="14.4">
      <c r="A11" s="361"/>
      <c r="B11" s="382" t="s">
        <v>729</v>
      </c>
      <c r="C11" s="380"/>
      <c r="D11" s="380"/>
      <c r="E11" s="380"/>
      <c r="F11" s="380"/>
      <c r="G11" s="380"/>
      <c r="H11" s="377">
        <v>1.4</v>
      </c>
      <c r="I11" s="378">
        <f t="shared" si="4"/>
        <v>0</v>
      </c>
      <c r="J11" s="381"/>
      <c r="K11" s="381"/>
      <c r="L11" s="381"/>
      <c r="M11" s="381"/>
      <c r="N11" s="381"/>
      <c r="O11" s="381"/>
      <c r="P11" s="381"/>
      <c r="Q11" s="375">
        <f>SUMPRODUCT($J$5:$P$5,J11:P11)</f>
        <v>0</v>
      </c>
    </row>
    <row r="12" spans="1:17" ht="14.4">
      <c r="A12" s="361"/>
      <c r="B12" s="382" t="s">
        <v>730</v>
      </c>
      <c r="C12" s="380"/>
      <c r="D12" s="380"/>
      <c r="E12" s="380"/>
      <c r="F12" s="380"/>
      <c r="G12" s="380"/>
      <c r="H12" s="377">
        <v>1.4</v>
      </c>
      <c r="I12" s="378">
        <f t="shared" si="4"/>
        <v>0</v>
      </c>
      <c r="J12" s="381"/>
      <c r="K12" s="381"/>
      <c r="L12" s="381"/>
      <c r="M12" s="381"/>
      <c r="N12" s="381"/>
      <c r="O12" s="381"/>
      <c r="P12" s="381"/>
      <c r="Q12" s="375">
        <f t="shared" ref="Q12:Q13" si="6">SUMPRODUCT($J$5:$P$5,J12:P12)</f>
        <v>0</v>
      </c>
    </row>
    <row r="13" spans="1:17" ht="14.4">
      <c r="A13" s="361"/>
      <c r="B13" s="382" t="s">
        <v>737</v>
      </c>
      <c r="C13" s="380"/>
      <c r="D13" s="380"/>
      <c r="E13" s="380"/>
      <c r="F13" s="380"/>
      <c r="G13" s="380"/>
      <c r="H13" s="377">
        <v>1.4</v>
      </c>
      <c r="I13" s="378">
        <f t="shared" si="4"/>
        <v>0</v>
      </c>
      <c r="J13" s="381"/>
      <c r="K13" s="381"/>
      <c r="L13" s="381"/>
      <c r="M13" s="381"/>
      <c r="N13" s="381"/>
      <c r="O13" s="381"/>
      <c r="P13" s="381"/>
      <c r="Q13" s="375">
        <f t="shared" si="6"/>
        <v>0</v>
      </c>
    </row>
    <row r="14" spans="1:17" ht="14.4">
      <c r="A14" s="361"/>
      <c r="B14" s="379" t="s">
        <v>732</v>
      </c>
      <c r="C14" s="380"/>
      <c r="D14" s="380"/>
      <c r="E14" s="380"/>
      <c r="F14" s="380"/>
      <c r="G14" s="380"/>
      <c r="H14" s="377">
        <v>1.4</v>
      </c>
      <c r="I14" s="378">
        <f t="shared" si="4"/>
        <v>0</v>
      </c>
      <c r="J14" s="381"/>
      <c r="K14" s="381"/>
      <c r="L14" s="381"/>
      <c r="M14" s="381"/>
      <c r="N14" s="381"/>
      <c r="O14" s="381"/>
      <c r="P14" s="381"/>
      <c r="Q14" s="375">
        <f>SUM(Q15:Q17)</f>
        <v>0</v>
      </c>
    </row>
    <row r="15" spans="1:17" ht="14.4">
      <c r="A15" s="361"/>
      <c r="B15" s="382" t="s">
        <v>729</v>
      </c>
      <c r="C15" s="380"/>
      <c r="D15" s="380"/>
      <c r="E15" s="380"/>
      <c r="F15" s="380"/>
      <c r="G15" s="380"/>
      <c r="H15" s="377">
        <v>1.4</v>
      </c>
      <c r="I15" s="378">
        <f t="shared" si="4"/>
        <v>0</v>
      </c>
      <c r="J15" s="381"/>
      <c r="K15" s="381"/>
      <c r="L15" s="381"/>
      <c r="M15" s="381"/>
      <c r="N15" s="381"/>
      <c r="O15" s="381"/>
      <c r="P15" s="381"/>
      <c r="Q15" s="375">
        <f>SUMPRODUCT($J$5:$P$5,J15:P15)</f>
        <v>0</v>
      </c>
    </row>
    <row r="16" spans="1:17" ht="14.4">
      <c r="A16" s="361"/>
      <c r="B16" s="382" t="s">
        <v>730</v>
      </c>
      <c r="C16" s="380"/>
      <c r="D16" s="380"/>
      <c r="E16" s="380"/>
      <c r="F16" s="380"/>
      <c r="G16" s="380"/>
      <c r="H16" s="377">
        <v>1.4</v>
      </c>
      <c r="I16" s="378">
        <f t="shared" si="4"/>
        <v>0</v>
      </c>
      <c r="J16" s="381"/>
      <c r="K16" s="381"/>
      <c r="L16" s="381"/>
      <c r="M16" s="381"/>
      <c r="N16" s="381"/>
      <c r="O16" s="381"/>
      <c r="P16" s="381"/>
      <c r="Q16" s="375">
        <f t="shared" ref="Q16:Q17" si="7">SUMPRODUCT($J$5:$P$5,J16:P16)</f>
        <v>0</v>
      </c>
    </row>
    <row r="17" spans="1:17" ht="14.4">
      <c r="A17" s="361"/>
      <c r="B17" s="382" t="s">
        <v>737</v>
      </c>
      <c r="C17" s="380"/>
      <c r="D17" s="380"/>
      <c r="E17" s="380"/>
      <c r="F17" s="380"/>
      <c r="G17" s="380"/>
      <c r="H17" s="377">
        <v>1.4</v>
      </c>
      <c r="I17" s="378">
        <f t="shared" si="4"/>
        <v>0</v>
      </c>
      <c r="J17" s="381"/>
      <c r="K17" s="381"/>
      <c r="L17" s="381"/>
      <c r="M17" s="381"/>
      <c r="N17" s="381"/>
      <c r="O17" s="381"/>
      <c r="P17" s="381"/>
      <c r="Q17" s="375">
        <f t="shared" si="7"/>
        <v>0</v>
      </c>
    </row>
    <row r="18" spans="1:17" ht="14.4">
      <c r="A18" s="361"/>
      <c r="B18" s="379" t="s">
        <v>733</v>
      </c>
      <c r="C18" s="380"/>
      <c r="D18" s="380"/>
      <c r="E18" s="380"/>
      <c r="F18" s="380"/>
      <c r="G18" s="380"/>
      <c r="H18" s="377">
        <v>1.4</v>
      </c>
      <c r="I18" s="378">
        <f t="shared" si="4"/>
        <v>0</v>
      </c>
      <c r="J18" s="381"/>
      <c r="K18" s="381"/>
      <c r="L18" s="381"/>
      <c r="M18" s="381"/>
      <c r="N18" s="381"/>
      <c r="O18" s="381"/>
      <c r="P18" s="381"/>
      <c r="Q18" s="375">
        <f>SUM(Q19:Q21)</f>
        <v>1391049.415</v>
      </c>
    </row>
    <row r="19" spans="1:17" ht="14.4">
      <c r="A19" s="361"/>
      <c r="B19" s="382" t="s">
        <v>729</v>
      </c>
      <c r="C19" s="380">
        <v>111890870</v>
      </c>
      <c r="D19" s="380">
        <v>980552.42</v>
      </c>
      <c r="E19" s="380">
        <v>0</v>
      </c>
      <c r="F19" s="380">
        <v>980552.42</v>
      </c>
      <c r="G19" s="380">
        <v>1006661.03</v>
      </c>
      <c r="H19" s="377">
        <v>1.4</v>
      </c>
      <c r="I19" s="378">
        <f t="shared" si="4"/>
        <v>2782098.83</v>
      </c>
      <c r="J19" s="381">
        <v>0</v>
      </c>
      <c r="K19" s="381">
        <v>0</v>
      </c>
      <c r="L19" s="381"/>
      <c r="M19" s="381">
        <v>2782098.83</v>
      </c>
      <c r="N19" s="381"/>
      <c r="O19" s="381">
        <v>0</v>
      </c>
      <c r="P19" s="381">
        <v>0</v>
      </c>
      <c r="Q19" s="375">
        <f>SUMPRODUCT($J$5:$P$5,J19:P19)</f>
        <v>1391049.415</v>
      </c>
    </row>
    <row r="20" spans="1:17" ht="14.4">
      <c r="A20" s="361"/>
      <c r="B20" s="382" t="s">
        <v>730</v>
      </c>
      <c r="C20" s="380"/>
      <c r="D20" s="380"/>
      <c r="E20" s="380"/>
      <c r="F20" s="380"/>
      <c r="G20" s="380"/>
      <c r="H20" s="377">
        <v>1.4</v>
      </c>
      <c r="I20" s="378">
        <f t="shared" si="4"/>
        <v>0</v>
      </c>
      <c r="J20" s="381"/>
      <c r="K20" s="381"/>
      <c r="L20" s="381"/>
      <c r="M20" s="381"/>
      <c r="N20" s="381"/>
      <c r="O20" s="381"/>
      <c r="P20" s="381"/>
      <c r="Q20" s="375">
        <f t="shared" ref="Q20:Q21" si="8">SUMPRODUCT($J$5:$P$5,J20:P20)</f>
        <v>0</v>
      </c>
    </row>
    <row r="21" spans="1:17" ht="14.4">
      <c r="A21" s="361"/>
      <c r="B21" s="382" t="s">
        <v>737</v>
      </c>
      <c r="C21" s="380"/>
      <c r="D21" s="380"/>
      <c r="E21" s="380"/>
      <c r="F21" s="380"/>
      <c r="G21" s="380"/>
      <c r="H21" s="377">
        <v>1.4</v>
      </c>
      <c r="I21" s="378">
        <f t="shared" si="4"/>
        <v>0</v>
      </c>
      <c r="J21" s="381"/>
      <c r="K21" s="381"/>
      <c r="L21" s="381"/>
      <c r="M21" s="381"/>
      <c r="N21" s="381"/>
      <c r="O21" s="381"/>
      <c r="P21" s="381"/>
      <c r="Q21" s="375">
        <f t="shared" si="8"/>
        <v>0</v>
      </c>
    </row>
    <row r="22" spans="1:17" ht="14.4">
      <c r="A22" s="361"/>
      <c r="B22" s="379" t="s">
        <v>734</v>
      </c>
      <c r="C22" s="380"/>
      <c r="D22" s="380"/>
      <c r="E22" s="380"/>
      <c r="F22" s="380"/>
      <c r="G22" s="380"/>
      <c r="H22" s="377">
        <v>1.4</v>
      </c>
      <c r="I22" s="378">
        <f t="shared" si="4"/>
        <v>0</v>
      </c>
      <c r="J22" s="381"/>
      <c r="K22" s="381"/>
      <c r="L22" s="381"/>
      <c r="M22" s="381"/>
      <c r="N22" s="381"/>
      <c r="O22" s="381"/>
      <c r="P22" s="381"/>
      <c r="Q22" s="375">
        <f>SUM(Q23:Q25)</f>
        <v>55978.8</v>
      </c>
    </row>
    <row r="23" spans="1:17" ht="14.4">
      <c r="A23" s="361"/>
      <c r="B23" s="382" t="s">
        <v>729</v>
      </c>
      <c r="C23" s="380">
        <v>14318979.5</v>
      </c>
      <c r="D23" s="380">
        <v>705120.22</v>
      </c>
      <c r="E23" s="380">
        <v>11043712.289999999</v>
      </c>
      <c r="F23" s="380">
        <v>0</v>
      </c>
      <c r="G23" s="380">
        <v>39984.86</v>
      </c>
      <c r="H23" s="377">
        <v>1.4</v>
      </c>
      <c r="I23" s="378">
        <f t="shared" si="4"/>
        <v>55978.803999999996</v>
      </c>
      <c r="J23" s="381">
        <v>0</v>
      </c>
      <c r="K23" s="381">
        <v>0</v>
      </c>
      <c r="L23" s="381"/>
      <c r="M23" s="381">
        <v>0</v>
      </c>
      <c r="N23" s="381"/>
      <c r="O23" s="381">
        <v>55978.8</v>
      </c>
      <c r="P23" s="381">
        <v>0</v>
      </c>
      <c r="Q23" s="375">
        <f>SUMPRODUCT($J$5:$P$5,J23:P23)</f>
        <v>55978.8</v>
      </c>
    </row>
    <row r="24" spans="1:17" ht="14.4">
      <c r="A24" s="361"/>
      <c r="B24" s="382" t="s">
        <v>730</v>
      </c>
      <c r="C24" s="380"/>
      <c r="D24" s="380"/>
      <c r="E24" s="380"/>
      <c r="F24" s="380"/>
      <c r="G24" s="380"/>
      <c r="H24" s="377">
        <v>1.4</v>
      </c>
      <c r="I24" s="378">
        <f t="shared" si="4"/>
        <v>0</v>
      </c>
      <c r="J24" s="381"/>
      <c r="K24" s="381"/>
      <c r="L24" s="381"/>
      <c r="M24" s="381"/>
      <c r="N24" s="381"/>
      <c r="O24" s="381"/>
      <c r="P24" s="381"/>
      <c r="Q24" s="375">
        <f t="shared" ref="Q24:Q25" si="9">SUMPRODUCT($J$5:$P$5,J24:P24)</f>
        <v>0</v>
      </c>
    </row>
    <row r="25" spans="1:17" ht="14.4">
      <c r="A25" s="361"/>
      <c r="B25" s="382" t="s">
        <v>737</v>
      </c>
      <c r="C25" s="380"/>
      <c r="D25" s="380"/>
      <c r="E25" s="380"/>
      <c r="F25" s="380"/>
      <c r="G25" s="380"/>
      <c r="H25" s="377">
        <v>1.4</v>
      </c>
      <c r="I25" s="378">
        <f t="shared" si="4"/>
        <v>0</v>
      </c>
      <c r="J25" s="381"/>
      <c r="K25" s="381"/>
      <c r="L25" s="381"/>
      <c r="M25" s="381"/>
      <c r="N25" s="381"/>
      <c r="O25" s="381"/>
      <c r="P25" s="381"/>
      <c r="Q25" s="375">
        <f t="shared" si="9"/>
        <v>0</v>
      </c>
    </row>
    <row r="26" spans="1:17" ht="14.4">
      <c r="A26" s="361"/>
      <c r="B26" s="379" t="s">
        <v>735</v>
      </c>
      <c r="C26" s="380"/>
      <c r="D26" s="380"/>
      <c r="E26" s="380"/>
      <c r="F26" s="380"/>
      <c r="G26" s="380"/>
      <c r="H26" s="377">
        <v>1.4</v>
      </c>
      <c r="I26" s="378">
        <f t="shared" si="4"/>
        <v>0</v>
      </c>
      <c r="J26" s="381"/>
      <c r="K26" s="381"/>
      <c r="L26" s="381"/>
      <c r="M26" s="381"/>
      <c r="N26" s="381"/>
      <c r="O26" s="381"/>
      <c r="P26" s="381"/>
      <c r="Q26" s="375">
        <f>SUM(Q27:Q29)</f>
        <v>0</v>
      </c>
    </row>
    <row r="27" spans="1:17" ht="14.4">
      <c r="A27" s="361"/>
      <c r="B27" s="382" t="s">
        <v>729</v>
      </c>
      <c r="C27" s="380">
        <v>0</v>
      </c>
      <c r="D27" s="380">
        <v>0</v>
      </c>
      <c r="E27" s="380">
        <v>0</v>
      </c>
      <c r="F27" s="380">
        <v>0</v>
      </c>
      <c r="G27" s="380">
        <v>0</v>
      </c>
      <c r="H27" s="377">
        <v>1.4</v>
      </c>
      <c r="I27" s="378">
        <f t="shared" si="4"/>
        <v>0</v>
      </c>
      <c r="J27" s="381">
        <v>0</v>
      </c>
      <c r="K27" s="381">
        <v>0</v>
      </c>
      <c r="L27" s="381"/>
      <c r="M27" s="381">
        <v>0</v>
      </c>
      <c r="N27" s="381"/>
      <c r="O27" s="381">
        <v>0</v>
      </c>
      <c r="P27" s="381">
        <v>0</v>
      </c>
      <c r="Q27" s="375">
        <f>SUMPRODUCT($J$5:$P$5,J27:P27)</f>
        <v>0</v>
      </c>
    </row>
    <row r="28" spans="1:17" ht="14.4">
      <c r="A28" s="361"/>
      <c r="B28" s="382" t="s">
        <v>730</v>
      </c>
      <c r="C28" s="380"/>
      <c r="D28" s="380"/>
      <c r="E28" s="380"/>
      <c r="F28" s="380"/>
      <c r="G28" s="380"/>
      <c r="H28" s="377">
        <v>1.4</v>
      </c>
      <c r="I28" s="378">
        <f t="shared" si="4"/>
        <v>0</v>
      </c>
      <c r="J28" s="381"/>
      <c r="K28" s="381"/>
      <c r="L28" s="381"/>
      <c r="M28" s="381"/>
      <c r="N28" s="381"/>
      <c r="O28" s="381"/>
      <c r="P28" s="381"/>
      <c r="Q28" s="375">
        <f t="shared" ref="Q28:Q29" si="10">SUMPRODUCT($J$5:$P$5,J28:P28)</f>
        <v>0</v>
      </c>
    </row>
    <row r="29" spans="1:17" ht="14.4">
      <c r="A29" s="361"/>
      <c r="B29" s="382" t="s">
        <v>737</v>
      </c>
      <c r="C29" s="380"/>
      <c r="D29" s="380"/>
      <c r="E29" s="380"/>
      <c r="F29" s="380"/>
      <c r="G29" s="380"/>
      <c r="H29" s="377">
        <v>1.4</v>
      </c>
      <c r="I29" s="378">
        <f t="shared" si="4"/>
        <v>0</v>
      </c>
      <c r="J29" s="381"/>
      <c r="K29" s="381"/>
      <c r="L29" s="381"/>
      <c r="M29" s="381"/>
      <c r="N29" s="381"/>
      <c r="O29" s="381"/>
      <c r="P29" s="381"/>
      <c r="Q29" s="375">
        <f t="shared" si="10"/>
        <v>0</v>
      </c>
    </row>
    <row r="30" spans="1:17" ht="14.4">
      <c r="A30" s="361"/>
      <c r="B30" s="383" t="s">
        <v>736</v>
      </c>
      <c r="C30" s="380"/>
      <c r="D30" s="380"/>
      <c r="E30" s="380"/>
      <c r="F30" s="380"/>
      <c r="G30" s="380"/>
      <c r="H30" s="377">
        <v>1.4</v>
      </c>
      <c r="I30" s="378">
        <f t="shared" si="4"/>
        <v>0</v>
      </c>
      <c r="J30" s="381"/>
      <c r="K30" s="381"/>
      <c r="L30" s="381"/>
      <c r="M30" s="381"/>
      <c r="N30" s="381"/>
      <c r="O30" s="381"/>
      <c r="P30" s="381"/>
      <c r="Q30" s="375">
        <f>SUM(Q31:Q33)</f>
        <v>11035.909996079343</v>
      </c>
    </row>
    <row r="31" spans="1:17" ht="14.4">
      <c r="A31" s="361"/>
      <c r="B31" s="382" t="s">
        <v>729</v>
      </c>
      <c r="C31" s="380">
        <v>13087182.5</v>
      </c>
      <c r="D31" s="380">
        <v>1065956.46</v>
      </c>
      <c r="E31" s="380">
        <v>13689869</v>
      </c>
      <c r="F31" s="380">
        <v>0</v>
      </c>
      <c r="G31" s="380">
        <v>15415.82</v>
      </c>
      <c r="H31" s="377">
        <v>1.4</v>
      </c>
      <c r="I31" s="378">
        <f t="shared" si="4"/>
        <v>21582.147999999997</v>
      </c>
      <c r="J31" s="381">
        <v>0</v>
      </c>
      <c r="K31" s="381">
        <v>0</v>
      </c>
      <c r="L31" s="381"/>
      <c r="M31" s="381">
        <v>21092.48</v>
      </c>
      <c r="N31" s="381"/>
      <c r="O31" s="381">
        <v>489.66999607934275</v>
      </c>
      <c r="P31" s="381">
        <v>0</v>
      </c>
      <c r="Q31" s="375">
        <f>SUMPRODUCT($J$5:$P$5,J31:P31)</f>
        <v>11035.909996079343</v>
      </c>
    </row>
    <row r="32" spans="1:17" ht="14.4">
      <c r="A32" s="361"/>
      <c r="B32" s="382" t="s">
        <v>730</v>
      </c>
      <c r="C32" s="380"/>
      <c r="D32" s="380"/>
      <c r="E32" s="380"/>
      <c r="F32" s="380"/>
      <c r="G32" s="380"/>
      <c r="H32" s="377">
        <v>1.4</v>
      </c>
      <c r="I32" s="378">
        <f t="shared" si="4"/>
        <v>0</v>
      </c>
      <c r="J32" s="381"/>
      <c r="K32" s="381"/>
      <c r="L32" s="381"/>
      <c r="M32" s="381"/>
      <c r="N32" s="381"/>
      <c r="O32" s="381"/>
      <c r="P32" s="381"/>
      <c r="Q32" s="375">
        <f t="shared" ref="Q32:Q33" si="11">SUMPRODUCT($J$5:$P$5,J32:P32)</f>
        <v>0</v>
      </c>
    </row>
    <row r="33" spans="1:17" ht="14.4">
      <c r="A33" s="361"/>
      <c r="B33" s="382" t="s">
        <v>737</v>
      </c>
      <c r="C33" s="380"/>
      <c r="D33" s="380"/>
      <c r="E33" s="380"/>
      <c r="F33" s="380"/>
      <c r="G33" s="380"/>
      <c r="H33" s="377">
        <v>1.4</v>
      </c>
      <c r="I33" s="378">
        <f t="shared" si="4"/>
        <v>0</v>
      </c>
      <c r="J33" s="381"/>
      <c r="K33" s="381"/>
      <c r="L33" s="381"/>
      <c r="M33" s="381"/>
      <c r="N33" s="381"/>
      <c r="O33" s="381"/>
      <c r="P33" s="381"/>
      <c r="Q33" s="375">
        <f t="shared" si="11"/>
        <v>0</v>
      </c>
    </row>
    <row r="34" spans="1:17" ht="14.4">
      <c r="A34" s="361"/>
      <c r="B34" s="384" t="s">
        <v>64</v>
      </c>
      <c r="C34" s="385">
        <f>C6</f>
        <v>139297032</v>
      </c>
      <c r="D34" s="385">
        <f t="shared" ref="D34:G34" si="12">D6</f>
        <v>2751629.1</v>
      </c>
      <c r="E34" s="385">
        <f t="shared" si="12"/>
        <v>24733581.289999999</v>
      </c>
      <c r="F34" s="385">
        <f t="shared" si="12"/>
        <v>980552.42</v>
      </c>
      <c r="G34" s="385">
        <f t="shared" si="12"/>
        <v>1062061.71</v>
      </c>
      <c r="H34" s="377">
        <v>1.4</v>
      </c>
      <c r="I34" s="378">
        <f>(F34+G34)*H34</f>
        <v>2859659.7819999997</v>
      </c>
      <c r="J34" s="385">
        <f t="shared" ref="J34:Q34" si="13">J6</f>
        <v>0</v>
      </c>
      <c r="K34" s="385">
        <f t="shared" si="13"/>
        <v>0</v>
      </c>
      <c r="L34" s="385">
        <f t="shared" si="13"/>
        <v>0</v>
      </c>
      <c r="M34" s="385">
        <f t="shared" si="13"/>
        <v>2803191.31</v>
      </c>
      <c r="N34" s="385">
        <f t="shared" si="13"/>
        <v>0</v>
      </c>
      <c r="O34" s="385">
        <f t="shared" si="13"/>
        <v>56468.469996079344</v>
      </c>
      <c r="P34" s="385">
        <f t="shared" si="13"/>
        <v>0</v>
      </c>
      <c r="Q34" s="385">
        <f t="shared" si="13"/>
        <v>1458064.1249960794</v>
      </c>
    </row>
    <row r="36" spans="1:17">
      <c r="C36" s="443"/>
      <c r="D36" s="443"/>
      <c r="E36" s="443"/>
      <c r="F36" s="443"/>
      <c r="G36" s="443"/>
      <c r="H36" s="443"/>
      <c r="I36" s="443"/>
      <c r="J36" s="443"/>
      <c r="K36" s="443"/>
      <c r="L36" s="443"/>
      <c r="M36" s="443"/>
      <c r="N36" s="443"/>
      <c r="O36" s="443"/>
      <c r="P36" s="443"/>
      <c r="Q36" s="443"/>
    </row>
    <row r="37" spans="1:17">
      <c r="C37" s="443"/>
      <c r="D37" s="443"/>
      <c r="E37" s="443"/>
      <c r="F37" s="443"/>
      <c r="G37" s="443"/>
      <c r="H37" s="443"/>
      <c r="I37" s="443"/>
      <c r="J37" s="443"/>
      <c r="K37" s="443"/>
      <c r="L37" s="443"/>
      <c r="M37" s="443"/>
      <c r="N37" s="443"/>
      <c r="O37" s="443"/>
      <c r="P37" s="443"/>
      <c r="Q37" s="443"/>
    </row>
    <row r="38" spans="1:17">
      <c r="C38" s="443"/>
      <c r="D38" s="443"/>
      <c r="E38" s="443"/>
      <c r="F38" s="443"/>
      <c r="G38" s="443"/>
      <c r="H38" s="443"/>
      <c r="I38" s="443"/>
      <c r="J38" s="443"/>
      <c r="K38" s="443"/>
      <c r="L38" s="443"/>
      <c r="M38" s="443"/>
      <c r="N38" s="443"/>
      <c r="O38" s="443"/>
      <c r="P38" s="443"/>
      <c r="Q38" s="443"/>
    </row>
    <row r="39" spans="1:17">
      <c r="C39" s="443"/>
      <c r="D39" s="443"/>
      <c r="E39" s="443"/>
      <c r="F39" s="443"/>
      <c r="G39" s="443"/>
      <c r="H39" s="443"/>
      <c r="I39" s="443"/>
      <c r="J39" s="443"/>
      <c r="K39" s="443"/>
      <c r="L39" s="443"/>
      <c r="M39" s="443"/>
      <c r="N39" s="443"/>
      <c r="O39" s="443"/>
      <c r="P39" s="443"/>
      <c r="Q39" s="443"/>
    </row>
    <row r="40" spans="1:17">
      <c r="C40" s="443"/>
      <c r="D40" s="443"/>
      <c r="E40" s="443"/>
      <c r="F40" s="443"/>
      <c r="G40" s="443"/>
      <c r="H40" s="443"/>
      <c r="I40" s="443"/>
      <c r="J40" s="443"/>
      <c r="K40" s="443"/>
      <c r="L40" s="443"/>
      <c r="M40" s="443"/>
      <c r="N40" s="443"/>
      <c r="O40" s="443"/>
      <c r="P40" s="443"/>
      <c r="Q40" s="443"/>
    </row>
    <row r="41" spans="1:17">
      <c r="C41" s="443"/>
      <c r="D41" s="443"/>
      <c r="E41" s="443"/>
      <c r="F41" s="443"/>
      <c r="G41" s="443"/>
      <c r="H41" s="443"/>
      <c r="I41" s="443"/>
      <c r="J41" s="443"/>
      <c r="K41" s="443"/>
      <c r="L41" s="443"/>
      <c r="M41" s="443"/>
      <c r="N41" s="443"/>
      <c r="O41" s="443"/>
      <c r="P41" s="443"/>
      <c r="Q41" s="443"/>
    </row>
    <row r="42" spans="1:17">
      <c r="C42" s="443"/>
      <c r="D42" s="443"/>
      <c r="E42" s="443"/>
      <c r="F42" s="443"/>
      <c r="G42" s="443"/>
      <c r="H42" s="443"/>
      <c r="I42" s="443"/>
      <c r="J42" s="443"/>
      <c r="K42" s="443"/>
      <c r="L42" s="443"/>
      <c r="M42" s="443"/>
      <c r="N42" s="443"/>
      <c r="O42" s="443"/>
      <c r="P42" s="443"/>
      <c r="Q42" s="443"/>
    </row>
    <row r="43" spans="1:17">
      <c r="C43" s="443"/>
      <c r="D43" s="443"/>
      <c r="E43" s="443"/>
      <c r="F43" s="443"/>
      <c r="G43" s="443"/>
      <c r="H43" s="443"/>
      <c r="I43" s="443"/>
      <c r="J43" s="443"/>
      <c r="K43" s="443"/>
      <c r="L43" s="443"/>
      <c r="M43" s="443"/>
      <c r="N43" s="443"/>
      <c r="O43" s="443"/>
      <c r="P43" s="443"/>
      <c r="Q43" s="443"/>
    </row>
    <row r="44" spans="1:17">
      <c r="C44" s="443"/>
      <c r="D44" s="443"/>
      <c r="E44" s="443"/>
      <c r="F44" s="443"/>
      <c r="G44" s="443"/>
      <c r="H44" s="443"/>
      <c r="I44" s="443"/>
      <c r="J44" s="443"/>
      <c r="K44" s="443"/>
      <c r="L44" s="443"/>
      <c r="M44" s="443"/>
      <c r="N44" s="443"/>
      <c r="O44" s="443"/>
      <c r="P44" s="443"/>
      <c r="Q44" s="443"/>
    </row>
    <row r="45" spans="1:17">
      <c r="C45" s="443"/>
      <c r="D45" s="443"/>
      <c r="E45" s="443"/>
      <c r="F45" s="443"/>
      <c r="G45" s="443"/>
      <c r="H45" s="443"/>
      <c r="I45" s="443"/>
      <c r="J45" s="443"/>
      <c r="K45" s="443"/>
      <c r="L45" s="443"/>
      <c r="M45" s="443"/>
      <c r="N45" s="443"/>
      <c r="O45" s="443"/>
      <c r="P45" s="443"/>
      <c r="Q45" s="443"/>
    </row>
    <row r="46" spans="1:17">
      <c r="C46" s="443"/>
      <c r="D46" s="443"/>
      <c r="E46" s="443"/>
      <c r="F46" s="443"/>
      <c r="G46" s="443"/>
      <c r="H46" s="443"/>
      <c r="I46" s="443"/>
      <c r="J46" s="443"/>
      <c r="K46" s="443"/>
      <c r="L46" s="443"/>
      <c r="M46" s="443"/>
      <c r="N46" s="443"/>
      <c r="O46" s="443"/>
      <c r="P46" s="443"/>
      <c r="Q46" s="443"/>
    </row>
    <row r="47" spans="1:17">
      <c r="C47" s="443"/>
      <c r="D47" s="443"/>
      <c r="E47" s="443"/>
      <c r="F47" s="443"/>
      <c r="G47" s="443"/>
      <c r="H47" s="443"/>
      <c r="I47" s="443"/>
      <c r="J47" s="443"/>
      <c r="K47" s="443"/>
      <c r="L47" s="443"/>
      <c r="M47" s="443"/>
      <c r="N47" s="443"/>
      <c r="O47" s="443"/>
      <c r="P47" s="443"/>
      <c r="Q47" s="443"/>
    </row>
    <row r="48" spans="1:17">
      <c r="C48" s="443"/>
      <c r="D48" s="443"/>
      <c r="E48" s="443"/>
      <c r="F48" s="443"/>
      <c r="G48" s="443"/>
      <c r="H48" s="443"/>
      <c r="I48" s="443"/>
      <c r="J48" s="443"/>
      <c r="K48" s="443"/>
      <c r="L48" s="443"/>
      <c r="M48" s="443"/>
      <c r="N48" s="443"/>
      <c r="O48" s="443"/>
      <c r="P48" s="443"/>
      <c r="Q48" s="443"/>
    </row>
    <row r="49" spans="3:17">
      <c r="C49" s="443"/>
      <c r="D49" s="443"/>
      <c r="E49" s="443"/>
      <c r="F49" s="443"/>
      <c r="G49" s="443"/>
      <c r="H49" s="443"/>
      <c r="I49" s="443"/>
      <c r="J49" s="443"/>
      <c r="K49" s="443"/>
      <c r="L49" s="443"/>
      <c r="M49" s="443"/>
      <c r="N49" s="443"/>
      <c r="O49" s="443"/>
      <c r="P49" s="443"/>
      <c r="Q49" s="443"/>
    </row>
    <row r="50" spans="3:17">
      <c r="C50" s="443"/>
      <c r="D50" s="443"/>
      <c r="E50" s="443"/>
      <c r="F50" s="443"/>
      <c r="G50" s="443"/>
      <c r="H50" s="443"/>
      <c r="I50" s="443"/>
      <c r="J50" s="443"/>
      <c r="K50" s="443"/>
      <c r="L50" s="443"/>
      <c r="M50" s="443"/>
      <c r="N50" s="443"/>
      <c r="O50" s="443"/>
      <c r="P50" s="443"/>
      <c r="Q50" s="443"/>
    </row>
    <row r="51" spans="3:17">
      <c r="C51" s="443"/>
      <c r="D51" s="443"/>
      <c r="E51" s="443"/>
      <c r="F51" s="443"/>
      <c r="G51" s="443"/>
      <c r="H51" s="443"/>
      <c r="I51" s="443"/>
      <c r="J51" s="443"/>
      <c r="K51" s="443"/>
      <c r="L51" s="443"/>
      <c r="M51" s="443"/>
      <c r="N51" s="443"/>
      <c r="O51" s="443"/>
      <c r="P51" s="443"/>
      <c r="Q51" s="443"/>
    </row>
    <row r="52" spans="3:17">
      <c r="C52" s="443"/>
      <c r="D52" s="443"/>
      <c r="E52" s="443"/>
      <c r="F52" s="443"/>
      <c r="G52" s="443"/>
      <c r="H52" s="443"/>
      <c r="I52" s="443"/>
      <c r="J52" s="443"/>
      <c r="K52" s="443"/>
      <c r="L52" s="443"/>
      <c r="M52" s="443"/>
      <c r="N52" s="443"/>
      <c r="O52" s="443"/>
      <c r="P52" s="443"/>
      <c r="Q52" s="443"/>
    </row>
    <row r="53" spans="3:17">
      <c r="C53" s="443"/>
      <c r="D53" s="443"/>
      <c r="E53" s="443"/>
      <c r="F53" s="443"/>
      <c r="G53" s="443"/>
      <c r="H53" s="443"/>
      <c r="I53" s="443"/>
      <c r="J53" s="443"/>
      <c r="K53" s="443"/>
      <c r="L53" s="443"/>
      <c r="M53" s="443"/>
      <c r="N53" s="443"/>
      <c r="O53" s="443"/>
      <c r="P53" s="443"/>
      <c r="Q53" s="443"/>
    </row>
    <row r="54" spans="3:17">
      <c r="C54" s="443"/>
      <c r="D54" s="443"/>
      <c r="E54" s="443"/>
      <c r="F54" s="443"/>
      <c r="G54" s="443"/>
      <c r="H54" s="443"/>
      <c r="I54" s="443"/>
      <c r="J54" s="443"/>
      <c r="K54" s="443"/>
      <c r="L54" s="443"/>
      <c r="M54" s="443"/>
      <c r="N54" s="443"/>
      <c r="O54" s="443"/>
      <c r="P54" s="443"/>
      <c r="Q54" s="443"/>
    </row>
    <row r="55" spans="3:17">
      <c r="C55" s="443"/>
      <c r="D55" s="443"/>
      <c r="E55" s="443"/>
      <c r="F55" s="443"/>
      <c r="G55" s="443"/>
      <c r="H55" s="443"/>
      <c r="I55" s="443"/>
      <c r="J55" s="443"/>
      <c r="K55" s="443"/>
      <c r="L55" s="443"/>
      <c r="M55" s="443"/>
      <c r="N55" s="443"/>
      <c r="O55" s="443"/>
      <c r="P55" s="443"/>
      <c r="Q55" s="443"/>
    </row>
    <row r="56" spans="3:17">
      <c r="C56" s="443"/>
      <c r="D56" s="443"/>
      <c r="E56" s="443"/>
      <c r="F56" s="443"/>
      <c r="G56" s="443"/>
      <c r="H56" s="443"/>
      <c r="I56" s="443"/>
      <c r="J56" s="443"/>
      <c r="K56" s="443"/>
      <c r="L56" s="443"/>
      <c r="M56" s="443"/>
      <c r="N56" s="443"/>
      <c r="O56" s="443"/>
      <c r="P56" s="443"/>
      <c r="Q56" s="443"/>
    </row>
    <row r="57" spans="3:17">
      <c r="C57" s="443"/>
      <c r="D57" s="443"/>
      <c r="E57" s="443"/>
      <c r="F57" s="443"/>
      <c r="G57" s="443"/>
      <c r="H57" s="443"/>
      <c r="I57" s="443"/>
      <c r="J57" s="443"/>
      <c r="K57" s="443"/>
      <c r="L57" s="443"/>
      <c r="M57" s="443"/>
      <c r="N57" s="443"/>
      <c r="O57" s="443"/>
      <c r="P57" s="443"/>
      <c r="Q57" s="443"/>
    </row>
    <row r="58" spans="3:17">
      <c r="C58" s="443"/>
      <c r="D58" s="443"/>
      <c r="E58" s="443"/>
      <c r="F58" s="443"/>
      <c r="G58" s="443"/>
      <c r="H58" s="443"/>
      <c r="I58" s="443"/>
      <c r="J58" s="443"/>
      <c r="K58" s="443"/>
      <c r="L58" s="443"/>
      <c r="M58" s="443"/>
      <c r="N58" s="443"/>
      <c r="O58" s="443"/>
      <c r="P58" s="443"/>
      <c r="Q58" s="443"/>
    </row>
    <row r="59" spans="3:17">
      <c r="C59" s="443"/>
      <c r="D59" s="443"/>
      <c r="E59" s="443"/>
      <c r="F59" s="443"/>
      <c r="G59" s="443"/>
      <c r="H59" s="443"/>
      <c r="I59" s="443"/>
      <c r="J59" s="443"/>
      <c r="K59" s="443"/>
      <c r="L59" s="443"/>
      <c r="M59" s="443"/>
      <c r="N59" s="443"/>
      <c r="O59" s="443"/>
      <c r="P59" s="443"/>
      <c r="Q59" s="443"/>
    </row>
    <row r="60" spans="3:17">
      <c r="C60" s="443"/>
      <c r="D60" s="443"/>
      <c r="E60" s="443"/>
      <c r="F60" s="443"/>
      <c r="G60" s="443"/>
      <c r="H60" s="443"/>
      <c r="I60" s="443"/>
      <c r="J60" s="443"/>
      <c r="K60" s="443"/>
      <c r="L60" s="443"/>
      <c r="M60" s="443"/>
      <c r="N60" s="443"/>
      <c r="O60" s="443"/>
      <c r="P60" s="443"/>
      <c r="Q60" s="443"/>
    </row>
    <row r="61" spans="3:17">
      <c r="C61" s="443"/>
      <c r="D61" s="443"/>
      <c r="E61" s="443"/>
      <c r="F61" s="443"/>
      <c r="G61" s="443"/>
      <c r="H61" s="443"/>
      <c r="I61" s="443"/>
      <c r="J61" s="443"/>
      <c r="K61" s="443"/>
      <c r="L61" s="443"/>
      <c r="M61" s="443"/>
      <c r="N61" s="443"/>
      <c r="O61" s="443"/>
      <c r="P61" s="443"/>
      <c r="Q61" s="443"/>
    </row>
    <row r="62" spans="3:17">
      <c r="C62" s="443"/>
      <c r="D62" s="443"/>
      <c r="E62" s="443"/>
      <c r="F62" s="443"/>
      <c r="G62" s="443"/>
      <c r="H62" s="443"/>
      <c r="I62" s="443"/>
      <c r="J62" s="443"/>
      <c r="K62" s="443"/>
      <c r="L62" s="443"/>
      <c r="M62" s="443"/>
      <c r="N62" s="443"/>
      <c r="O62" s="443"/>
      <c r="P62" s="443"/>
      <c r="Q62" s="443"/>
    </row>
    <row r="63" spans="3:17">
      <c r="C63" s="443"/>
      <c r="D63" s="443"/>
      <c r="E63" s="443"/>
      <c r="F63" s="443"/>
      <c r="G63" s="443"/>
      <c r="H63" s="443"/>
      <c r="I63" s="443"/>
      <c r="J63" s="443"/>
      <c r="K63" s="443"/>
      <c r="L63" s="443"/>
      <c r="M63" s="443"/>
      <c r="N63" s="443"/>
      <c r="O63" s="443"/>
      <c r="P63" s="443"/>
      <c r="Q63" s="443"/>
    </row>
    <row r="64" spans="3:17">
      <c r="C64" s="443"/>
      <c r="D64" s="443"/>
      <c r="E64" s="443"/>
      <c r="F64" s="443"/>
      <c r="G64" s="443"/>
      <c r="H64" s="443"/>
      <c r="I64" s="443"/>
      <c r="J64" s="443"/>
      <c r="K64" s="443"/>
      <c r="L64" s="443"/>
      <c r="M64" s="443"/>
      <c r="N64" s="443"/>
      <c r="O64" s="443"/>
      <c r="P64" s="443"/>
      <c r="Q64" s="443"/>
    </row>
    <row r="65" spans="3:3">
      <c r="C65" s="443"/>
    </row>
    <row r="66" spans="3:3">
      <c r="C66" s="443"/>
    </row>
    <row r="67" spans="3:3">
      <c r="C67" s="443"/>
    </row>
    <row r="68" spans="3:3">
      <c r="C68" s="443"/>
    </row>
    <row r="69" spans="3:3">
      <c r="C69" s="443"/>
    </row>
    <row r="70" spans="3:3">
      <c r="C70" s="443"/>
    </row>
    <row r="71" spans="3:3">
      <c r="C71" s="443"/>
    </row>
    <row r="72" spans="3:3">
      <c r="C72" s="443"/>
    </row>
    <row r="73" spans="3:3">
      <c r="C73" s="443"/>
    </row>
    <row r="74" spans="3:3">
      <c r="C74" s="443"/>
    </row>
    <row r="75" spans="3:3">
      <c r="C75" s="443"/>
    </row>
    <row r="76" spans="3:3">
      <c r="C76" s="443"/>
    </row>
    <row r="77" spans="3:3">
      <c r="C77" s="443"/>
    </row>
    <row r="78" spans="3:3">
      <c r="C78" s="443"/>
    </row>
    <row r="79" spans="3:3">
      <c r="C79" s="443"/>
    </row>
    <row r="80" spans="3:3">
      <c r="C80" s="443"/>
    </row>
    <row r="81" spans="3:3">
      <c r="C81" s="443"/>
    </row>
    <row r="82" spans="3:3">
      <c r="C82" s="443"/>
    </row>
    <row r="83" spans="3:3">
      <c r="C83" s="443"/>
    </row>
    <row r="84" spans="3:3">
      <c r="C84" s="443"/>
    </row>
    <row r="85" spans="3:3">
      <c r="C85" s="443"/>
    </row>
    <row r="86" spans="3:3">
      <c r="C86" s="443"/>
    </row>
  </sheetData>
  <conditionalFormatting sqref="I7:I34">
    <cfRule type="expression" dxfId="18" priority="1">
      <formula>(C7*#REF!)&lt;&gt;SUM(#REF!)</formula>
    </cfRule>
  </conditionalFormatting>
  <pageMargins left="0.7" right="0.7" top="0.75" bottom="0.75" header="0.3" footer="0.3"/>
  <pageSetup paperSize="9" scale="25" orientation="portrait" horizontalDpi="300" verticalDpi="300" r:id="rId1"/>
  <headerFooter>
    <oddFooter>&amp;C_x000D_&amp;1#&amp;"Aptos"&amp;10&amp;K000000 C4 - EXTERNAL CONFIDENTIAL</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5"/>
  <sheetViews>
    <sheetView zoomScale="80" zoomScaleNormal="80" workbookViewId="0">
      <pane xSplit="1" ySplit="5" topLeftCell="B6" activePane="bottomRight" state="frozen"/>
      <selection activeCell="B42" sqref="B42"/>
      <selection pane="topRight" activeCell="B42" sqref="B42"/>
      <selection pane="bottomLeft" activeCell="B42" sqref="B42"/>
      <selection pane="bottomRight" activeCell="I39" sqref="I39"/>
    </sheetView>
  </sheetViews>
  <sheetFormatPr defaultColWidth="9.21875" defaultRowHeight="13.8"/>
  <cols>
    <col min="1" max="1" width="9.5546875" style="3" bestFit="1" customWidth="1"/>
    <col min="2" max="2" width="86" style="3" customWidth="1"/>
    <col min="3" max="3" width="12.77734375" style="3" customWidth="1"/>
    <col min="4" max="7" width="12.77734375" style="4" customWidth="1"/>
    <col min="8" max="8" width="9.21875" style="5" customWidth="1"/>
    <col min="9" max="12" width="9.21875" style="5"/>
    <col min="13" max="13" width="6.77734375" style="5" customWidth="1"/>
    <col min="14" max="16384" width="9.21875" style="5"/>
  </cols>
  <sheetData>
    <row r="1" spans="1:13">
      <c r="A1" s="2" t="s">
        <v>30</v>
      </c>
      <c r="B1" s="3" t="str">
        <f>'Info '!C2</f>
        <v xml:space="preserve">PASHA Bank Georgia JSC </v>
      </c>
    </row>
    <row r="2" spans="1:13">
      <c r="A2" s="2" t="s">
        <v>31</v>
      </c>
      <c r="B2" s="209">
        <v>46203</v>
      </c>
    </row>
    <row r="3" spans="1:13" ht="14.4" thickBot="1">
      <c r="A3" s="2"/>
    </row>
    <row r="4" spans="1:13" ht="15" customHeight="1" thickBot="1">
      <c r="A4" s="6" t="s">
        <v>93</v>
      </c>
      <c r="B4" s="7" t="s">
        <v>92</v>
      </c>
      <c r="C4" s="7"/>
      <c r="D4" s="750" t="s">
        <v>664</v>
      </c>
      <c r="E4" s="751"/>
      <c r="F4" s="751"/>
      <c r="G4" s="752"/>
    </row>
    <row r="5" spans="1:13">
      <c r="A5" s="8" t="s">
        <v>6</v>
      </c>
      <c r="B5" s="9"/>
      <c r="C5" s="207" t="str">
        <f>INT((MONTH($B$2))/3)&amp;"Q"&amp;"-"&amp;YEAR($B$2)</f>
        <v>2Q-2026</v>
      </c>
      <c r="D5" s="207" t="str">
        <f>IF(INT(MONTH($B$2))=3, "4"&amp;"Q"&amp;"-"&amp;YEAR($B$2)-1, IF(INT(MONTH($B$2))=6, "1"&amp;"Q"&amp;"-"&amp;YEAR($B$2), IF(INT(MONTH($B$2))=9, "2"&amp;"Q"&amp;"-"&amp;YEAR($B$2),IF(INT(MONTH($B$2))=12, "3"&amp;"Q"&amp;"-"&amp;YEAR($B$2), 0))))</f>
        <v>1Q-2026</v>
      </c>
      <c r="E5" s="207" t="str">
        <f>IF(INT(MONTH($B$2))=3, "3"&amp;"Q"&amp;"-"&amp;YEAR($B$2)-1, IF(INT(MONTH($B$2))=6, "4"&amp;"Q"&amp;"-"&amp;YEAR($B$2)-1, IF(INT(MONTH($B$2))=9, "1"&amp;"Q"&amp;"-"&amp;YEAR($B$2),IF(INT(MONTH($B$2))=12, "2"&amp;"Q"&amp;"-"&amp;YEAR($B$2), 0))))</f>
        <v>4Q-2025</v>
      </c>
      <c r="F5" s="207" t="str">
        <f>IF(INT(MONTH($B$2))=3, "2"&amp;"Q"&amp;"-"&amp;YEAR($B$2)-1, IF(INT(MONTH($B$2))=6, "3"&amp;"Q"&amp;"-"&amp;YEAR($B$2)-1, IF(INT(MONTH($B$2))=9, "4"&amp;"Q"&amp;"-"&amp;YEAR($B$2)-1,IF(INT(MONTH($B$2))=12, "1"&amp;"Q"&amp;"-"&amp;YEAR($B$2), 0))))</f>
        <v>3Q-2025</v>
      </c>
      <c r="G5" s="208" t="str">
        <f>IF(INT(MONTH($B$2))=3, "1"&amp;"Q"&amp;"-"&amp;YEAR($B$2)-1, IF(INT(MONTH($B$2))=6, "2"&amp;"Q"&amp;"-"&amp;YEAR($B$2)-1, IF(INT(MONTH($B$2))=9, "3"&amp;"Q"&amp;"-"&amp;YEAR($B$2)-1,IF(INT(MONTH($B$2))=12, "4"&amp;"Q"&amp;"-"&amp;YEAR($B$2)-1, 0))))</f>
        <v>2Q-2025</v>
      </c>
    </row>
    <row r="6" spans="1:13">
      <c r="B6" s="92" t="s">
        <v>91</v>
      </c>
      <c r="C6" s="210"/>
      <c r="D6" s="210"/>
      <c r="E6" s="210"/>
      <c r="F6" s="210"/>
      <c r="G6" s="211"/>
    </row>
    <row r="7" spans="1:13">
      <c r="A7" s="10"/>
      <c r="B7" s="93" t="s">
        <v>89</v>
      </c>
      <c r="C7" s="210"/>
      <c r="D7" s="210"/>
      <c r="E7" s="210"/>
      <c r="F7" s="210"/>
      <c r="G7" s="211"/>
    </row>
    <row r="8" spans="1:13">
      <c r="A8" s="8">
        <v>1</v>
      </c>
      <c r="B8" s="11" t="s">
        <v>327</v>
      </c>
      <c r="C8" s="482">
        <v>124515015.9903</v>
      </c>
      <c r="D8" s="483">
        <v>123996988.23999999</v>
      </c>
      <c r="E8" s="483">
        <v>120008533</v>
      </c>
      <c r="F8" s="483">
        <v>117400529</v>
      </c>
      <c r="G8" s="484">
        <v>116349646</v>
      </c>
      <c r="H8" s="426"/>
      <c r="I8" s="426"/>
      <c r="J8" s="426"/>
      <c r="K8" s="426"/>
      <c r="L8" s="426"/>
      <c r="M8" s="425"/>
    </row>
    <row r="9" spans="1:13">
      <c r="A9" s="8">
        <v>2</v>
      </c>
      <c r="B9" s="11" t="s">
        <v>328</v>
      </c>
      <c r="C9" s="482">
        <v>137741515.9903</v>
      </c>
      <c r="D9" s="483">
        <v>137495988.24000001</v>
      </c>
      <c r="E9" s="483">
        <v>133484033</v>
      </c>
      <c r="F9" s="483">
        <v>117400529</v>
      </c>
      <c r="G9" s="484">
        <v>116349646</v>
      </c>
      <c r="H9" s="426"/>
      <c r="I9" s="426"/>
      <c r="J9" s="426"/>
      <c r="K9" s="426"/>
      <c r="L9" s="426"/>
    </row>
    <row r="10" spans="1:13">
      <c r="A10" s="8">
        <v>3</v>
      </c>
      <c r="B10" s="11" t="s">
        <v>142</v>
      </c>
      <c r="C10" s="482">
        <v>164725459.33129999</v>
      </c>
      <c r="D10" s="483">
        <v>165035870.37650001</v>
      </c>
      <c r="E10" s="483">
        <v>161784059</v>
      </c>
      <c r="F10" s="483">
        <v>148551729</v>
      </c>
      <c r="G10" s="484">
        <v>147671046</v>
      </c>
      <c r="H10" s="426"/>
      <c r="I10" s="426"/>
      <c r="J10" s="426"/>
      <c r="K10" s="426"/>
      <c r="L10" s="426"/>
    </row>
    <row r="11" spans="1:13">
      <c r="A11" s="8">
        <v>4</v>
      </c>
      <c r="B11" s="11" t="s">
        <v>330</v>
      </c>
      <c r="C11" s="482">
        <v>98887266.824053824</v>
      </c>
      <c r="D11" s="483">
        <v>103245717.77098197</v>
      </c>
      <c r="E11" s="483">
        <v>99904578</v>
      </c>
      <c r="F11" s="483">
        <v>92767886</v>
      </c>
      <c r="G11" s="484">
        <v>91960270</v>
      </c>
      <c r="H11" s="426"/>
      <c r="I11" s="426"/>
      <c r="J11" s="426"/>
      <c r="K11" s="426"/>
      <c r="L11" s="426"/>
    </row>
    <row r="12" spans="1:13">
      <c r="A12" s="8">
        <v>5</v>
      </c>
      <c r="B12" s="11" t="s">
        <v>331</v>
      </c>
      <c r="C12" s="482">
        <v>120743075.87370108</v>
      </c>
      <c r="D12" s="483">
        <v>125615571.49749964</v>
      </c>
      <c r="E12" s="483">
        <v>121785229</v>
      </c>
      <c r="F12" s="483">
        <v>112497001</v>
      </c>
      <c r="G12" s="484">
        <v>111431559</v>
      </c>
      <c r="H12" s="426"/>
      <c r="I12" s="426"/>
      <c r="J12" s="426"/>
      <c r="K12" s="426"/>
      <c r="L12" s="426"/>
    </row>
    <row r="13" spans="1:13">
      <c r="A13" s="8">
        <v>6</v>
      </c>
      <c r="B13" s="11" t="s">
        <v>329</v>
      </c>
      <c r="C13" s="482">
        <v>149669419.26419824</v>
      </c>
      <c r="D13" s="483">
        <v>155224620.89060685</v>
      </c>
      <c r="E13" s="483">
        <v>150750155</v>
      </c>
      <c r="F13" s="483">
        <v>138617933</v>
      </c>
      <c r="G13" s="484">
        <v>137213108</v>
      </c>
      <c r="H13" s="426"/>
      <c r="I13" s="426"/>
      <c r="J13" s="426"/>
      <c r="K13" s="426"/>
      <c r="L13" s="426"/>
    </row>
    <row r="14" spans="1:13">
      <c r="A14" s="10"/>
      <c r="B14" s="92" t="s">
        <v>333</v>
      </c>
      <c r="C14" s="210"/>
      <c r="D14" s="210"/>
      <c r="E14" s="210"/>
      <c r="F14" s="210"/>
      <c r="G14" s="211"/>
      <c r="H14" s="426"/>
      <c r="I14" s="426"/>
      <c r="J14" s="426"/>
      <c r="K14" s="426"/>
      <c r="L14" s="426"/>
    </row>
    <row r="15" spans="1:13" ht="15" customHeight="1">
      <c r="A15" s="8">
        <v>7</v>
      </c>
      <c r="B15" s="11" t="s">
        <v>332</v>
      </c>
      <c r="C15" s="485">
        <v>641059635.65278959</v>
      </c>
      <c r="D15" s="483">
        <v>665119061.21895492</v>
      </c>
      <c r="E15" s="483">
        <v>663462800</v>
      </c>
      <c r="F15" s="483">
        <v>613965125</v>
      </c>
      <c r="G15" s="484">
        <v>613446915</v>
      </c>
      <c r="H15" s="426"/>
      <c r="I15" s="426"/>
      <c r="J15" s="426"/>
      <c r="K15" s="426"/>
      <c r="L15" s="426"/>
    </row>
    <row r="16" spans="1:13">
      <c r="A16" s="10"/>
      <c r="B16" s="92" t="s">
        <v>334</v>
      </c>
      <c r="C16" s="210"/>
      <c r="D16" s="210"/>
      <c r="E16" s="210"/>
      <c r="F16" s="210"/>
      <c r="G16" s="211"/>
      <c r="H16" s="426"/>
      <c r="I16" s="426"/>
      <c r="J16" s="426"/>
      <c r="K16" s="426"/>
      <c r="L16" s="426"/>
    </row>
    <row r="17" spans="1:12">
      <c r="A17" s="8"/>
      <c r="B17" s="93" t="s">
        <v>715</v>
      </c>
      <c r="C17" s="486">
        <v>0.194233124447941</v>
      </c>
      <c r="D17" s="487">
        <v>0.18642825844255967</v>
      </c>
      <c r="E17" s="487">
        <v>0.18090000000000001</v>
      </c>
      <c r="F17" s="487">
        <v>0.19120000000000001</v>
      </c>
      <c r="G17" s="488">
        <v>0.18970000000000001</v>
      </c>
      <c r="H17" s="489"/>
      <c r="I17" s="489"/>
      <c r="J17" s="489"/>
      <c r="K17" s="489"/>
      <c r="L17" s="489"/>
    </row>
    <row r="18" spans="1:12">
      <c r="A18" s="8">
        <v>8</v>
      </c>
      <c r="B18" s="11" t="s">
        <v>327</v>
      </c>
      <c r="C18" s="486">
        <v>0.21486537028655395</v>
      </c>
      <c r="D18" s="487">
        <v>0.20672387284768673</v>
      </c>
      <c r="E18" s="487">
        <v>0.20119999999999999</v>
      </c>
      <c r="F18" s="487">
        <v>0.19120000000000001</v>
      </c>
      <c r="G18" s="488">
        <v>0.18970000000000001</v>
      </c>
      <c r="H18" s="489"/>
      <c r="I18" s="489"/>
      <c r="J18" s="489"/>
      <c r="K18" s="489"/>
      <c r="L18" s="489"/>
    </row>
    <row r="19" spans="1:12" ht="15" customHeight="1">
      <c r="A19" s="8">
        <v>9</v>
      </c>
      <c r="B19" s="11" t="s">
        <v>328</v>
      </c>
      <c r="C19" s="486">
        <v>0.2569580896534851</v>
      </c>
      <c r="D19" s="487">
        <v>0.24812981614756455</v>
      </c>
      <c r="E19" s="487">
        <v>0.24379999999999999</v>
      </c>
      <c r="F19" s="487">
        <v>0.24199999999999999</v>
      </c>
      <c r="G19" s="488">
        <v>0.2407</v>
      </c>
      <c r="H19" s="489"/>
      <c r="I19" s="489"/>
      <c r="J19" s="489"/>
      <c r="K19" s="489"/>
      <c r="L19" s="489"/>
    </row>
    <row r="20" spans="1:12">
      <c r="A20" s="8">
        <v>10</v>
      </c>
      <c r="B20" s="11" t="s">
        <v>142</v>
      </c>
      <c r="C20" s="486">
        <v>0.15425595580254736</v>
      </c>
      <c r="D20" s="487">
        <v>0.15522892635457614</v>
      </c>
      <c r="E20" s="487">
        <v>0.15060000000000001</v>
      </c>
      <c r="F20" s="487">
        <v>0.15110000000000001</v>
      </c>
      <c r="G20" s="488">
        <v>0.14990000000000001</v>
      </c>
      <c r="H20" s="489"/>
      <c r="I20" s="489"/>
      <c r="J20" s="489"/>
      <c r="K20" s="489"/>
      <c r="L20" s="489"/>
    </row>
    <row r="21" spans="1:12">
      <c r="A21" s="8">
        <v>11</v>
      </c>
      <c r="B21" s="11" t="s">
        <v>330</v>
      </c>
      <c r="C21" s="486">
        <v>0.18834920989955745</v>
      </c>
      <c r="D21" s="487">
        <v>0.18886178253151495</v>
      </c>
      <c r="E21" s="487">
        <v>0.18360000000000001</v>
      </c>
      <c r="F21" s="487">
        <v>0.1832</v>
      </c>
      <c r="G21" s="488">
        <v>0.18160000000000001</v>
      </c>
      <c r="H21" s="489"/>
      <c r="I21" s="489"/>
      <c r="J21" s="489"/>
      <c r="K21" s="489"/>
      <c r="L21" s="489"/>
    </row>
    <row r="22" spans="1:12">
      <c r="A22" s="8">
        <v>12</v>
      </c>
      <c r="B22" s="11" t="s">
        <v>331</v>
      </c>
      <c r="C22" s="486">
        <v>0.23347191265878128</v>
      </c>
      <c r="D22" s="487">
        <v>0.23337869855380289</v>
      </c>
      <c r="E22" s="487">
        <v>0.22720000000000001</v>
      </c>
      <c r="F22" s="487">
        <v>0.2258</v>
      </c>
      <c r="G22" s="488">
        <v>0.22370000000000001</v>
      </c>
      <c r="H22" s="489"/>
      <c r="I22" s="489"/>
      <c r="J22" s="489"/>
      <c r="K22" s="489"/>
      <c r="L22" s="489"/>
    </row>
    <row r="23" spans="1:12">
      <c r="A23" s="8">
        <v>13</v>
      </c>
      <c r="B23" s="11" t="s">
        <v>329</v>
      </c>
      <c r="C23" s="142"/>
      <c r="D23" s="12"/>
      <c r="E23" s="12"/>
      <c r="F23" s="12"/>
      <c r="G23" s="13"/>
      <c r="H23" s="489"/>
      <c r="I23" s="489"/>
      <c r="J23" s="489"/>
      <c r="K23" s="489"/>
      <c r="L23" s="489"/>
    </row>
    <row r="24" spans="1:12">
      <c r="A24" s="359"/>
      <c r="B24" s="92" t="s">
        <v>700</v>
      </c>
      <c r="C24" s="149"/>
      <c r="D24" s="149"/>
      <c r="E24" s="149"/>
      <c r="F24" s="149"/>
      <c r="G24" s="358"/>
      <c r="H24" s="497"/>
      <c r="I24" s="497"/>
      <c r="J24" s="497"/>
      <c r="K24" s="497"/>
      <c r="L24" s="497"/>
    </row>
    <row r="25" spans="1:12" ht="26.4">
      <c r="A25" s="8">
        <v>14</v>
      </c>
      <c r="B25" s="11" t="s">
        <v>701</v>
      </c>
      <c r="C25" s="486">
        <v>0</v>
      </c>
      <c r="D25" s="486">
        <v>0</v>
      </c>
      <c r="E25" s="486">
        <v>0</v>
      </c>
      <c r="F25" s="486">
        <v>0</v>
      </c>
      <c r="G25" s="488">
        <v>0</v>
      </c>
      <c r="H25" s="426"/>
      <c r="I25" s="426"/>
      <c r="J25" s="426"/>
      <c r="K25" s="426"/>
      <c r="L25" s="426"/>
    </row>
    <row r="26" spans="1:12">
      <c r="A26" s="10"/>
      <c r="B26" s="92" t="s">
        <v>88</v>
      </c>
      <c r="C26" s="210"/>
      <c r="D26" s="210"/>
      <c r="E26" s="210"/>
      <c r="F26" s="210"/>
      <c r="G26" s="211"/>
      <c r="H26" s="426"/>
      <c r="I26" s="426"/>
      <c r="J26" s="426"/>
      <c r="K26" s="426"/>
      <c r="L26" s="426"/>
    </row>
    <row r="27" spans="1:12" ht="15" customHeight="1">
      <c r="A27" s="212">
        <v>15</v>
      </c>
      <c r="B27" s="11" t="s">
        <v>87</v>
      </c>
      <c r="C27" s="468">
        <v>8.4360417563882739E-2</v>
      </c>
      <c r="D27" s="469">
        <v>8.5284165021927899E-2</v>
      </c>
      <c r="E27" s="469">
        <v>8.0500000000000002E-2</v>
      </c>
      <c r="F27" s="469">
        <v>7.9100000000000004E-2</v>
      </c>
      <c r="G27" s="470">
        <v>7.7700000000000005E-2</v>
      </c>
      <c r="H27" s="426"/>
      <c r="I27" s="426"/>
      <c r="J27" s="426"/>
      <c r="K27" s="426"/>
      <c r="L27" s="426"/>
    </row>
    <row r="28" spans="1:12">
      <c r="A28" s="212">
        <v>16</v>
      </c>
      <c r="B28" s="11" t="s">
        <v>86</v>
      </c>
      <c r="C28" s="468">
        <v>5.2470061470031894E-2</v>
      </c>
      <c r="D28" s="469">
        <v>5.1469192318924724E-2</v>
      </c>
      <c r="E28" s="469">
        <v>4.4900000000000002E-2</v>
      </c>
      <c r="F28" s="469">
        <v>4.3499999999999997E-2</v>
      </c>
      <c r="G28" s="470">
        <v>4.07E-2</v>
      </c>
      <c r="H28" s="426"/>
      <c r="I28" s="426"/>
      <c r="J28" s="426"/>
      <c r="K28" s="426"/>
      <c r="L28" s="426"/>
    </row>
    <row r="29" spans="1:12">
      <c r="A29" s="212">
        <v>17</v>
      </c>
      <c r="B29" s="11" t="s">
        <v>85</v>
      </c>
      <c r="C29" s="468">
        <v>0.10204814064837808</v>
      </c>
      <c r="D29" s="469">
        <v>9.3205095786762476E-2</v>
      </c>
      <c r="E29" s="469">
        <v>8.2400000000000001E-2</v>
      </c>
      <c r="F29" s="469">
        <v>7.6300000000000007E-2</v>
      </c>
      <c r="G29" s="470">
        <v>7.0800000000000002E-2</v>
      </c>
      <c r="H29" s="426"/>
      <c r="I29" s="426"/>
      <c r="J29" s="426"/>
      <c r="K29" s="426"/>
      <c r="L29" s="426"/>
    </row>
    <row r="30" spans="1:12">
      <c r="A30" s="212">
        <v>18</v>
      </c>
      <c r="B30" s="11" t="s">
        <v>84</v>
      </c>
      <c r="C30" s="468">
        <v>3.1890356093850838E-2</v>
      </c>
      <c r="D30" s="469">
        <v>3.3814972703003161E-2</v>
      </c>
      <c r="E30" s="469">
        <v>3.56E-2</v>
      </c>
      <c r="F30" s="469">
        <v>3.56E-2</v>
      </c>
      <c r="G30" s="470">
        <v>3.6999999999999998E-2</v>
      </c>
      <c r="H30" s="426"/>
      <c r="I30" s="426"/>
      <c r="J30" s="426"/>
      <c r="K30" s="426"/>
      <c r="L30" s="426"/>
    </row>
    <row r="31" spans="1:12">
      <c r="A31" s="212">
        <v>19</v>
      </c>
      <c r="B31" s="11" t="s">
        <v>154</v>
      </c>
      <c r="C31" s="468">
        <v>1.1908674081630813E-2</v>
      </c>
      <c r="D31" s="469">
        <v>2.4163580114995285E-2</v>
      </c>
      <c r="E31" s="469">
        <v>3.7000000000000002E-3</v>
      </c>
      <c r="F31" s="469">
        <v>2.3999999999999998E-3</v>
      </c>
      <c r="G31" s="470">
        <v>1.2999999999999999E-3</v>
      </c>
      <c r="H31" s="426"/>
      <c r="I31" s="426"/>
      <c r="J31" s="426"/>
      <c r="K31" s="426"/>
      <c r="L31" s="426"/>
    </row>
    <row r="32" spans="1:12">
      <c r="A32" s="212">
        <v>20</v>
      </c>
      <c r="B32" s="11" t="s">
        <v>155</v>
      </c>
      <c r="C32" s="468">
        <v>5.5620008993700683E-2</v>
      </c>
      <c r="D32" s="469">
        <v>0.11424270030463911</v>
      </c>
      <c r="E32" s="469">
        <v>1.9E-2</v>
      </c>
      <c r="F32" s="469">
        <v>1.2500000000000001E-2</v>
      </c>
      <c r="G32" s="470">
        <v>7.0000000000000001E-3</v>
      </c>
      <c r="H32" s="426"/>
      <c r="I32" s="426"/>
      <c r="J32" s="426"/>
      <c r="K32" s="426"/>
      <c r="L32" s="426"/>
    </row>
    <row r="33" spans="1:12">
      <c r="A33" s="10"/>
      <c r="B33" s="92" t="s">
        <v>216</v>
      </c>
      <c r="C33" s="149"/>
      <c r="D33" s="149"/>
      <c r="E33" s="149"/>
      <c r="F33" s="149"/>
      <c r="G33" s="358"/>
      <c r="H33" s="426"/>
      <c r="I33" s="426"/>
      <c r="J33" s="426"/>
      <c r="K33" s="426"/>
      <c r="L33" s="426"/>
    </row>
    <row r="34" spans="1:12">
      <c r="A34" s="212">
        <v>21</v>
      </c>
      <c r="B34" s="11" t="s">
        <v>83</v>
      </c>
      <c r="C34" s="468">
        <v>5.9003939694883122E-2</v>
      </c>
      <c r="D34" s="469">
        <v>4.6527966556930679E-2</v>
      </c>
      <c r="E34" s="469">
        <v>6.6400000000000001E-2</v>
      </c>
      <c r="F34" s="469">
        <v>8.5300000000000001E-2</v>
      </c>
      <c r="G34" s="470">
        <v>8.2600000000000007E-2</v>
      </c>
      <c r="H34" s="426"/>
      <c r="I34" s="426"/>
      <c r="J34" s="426"/>
      <c r="K34" s="426"/>
      <c r="L34" s="426"/>
    </row>
    <row r="35" spans="1:12" ht="15" customHeight="1">
      <c r="A35" s="212">
        <v>22</v>
      </c>
      <c r="B35" s="11" t="s">
        <v>674</v>
      </c>
      <c r="C35" s="468">
        <v>1.9728912940887775E-2</v>
      </c>
      <c r="D35" s="469">
        <v>1.5491246782364073E-2</v>
      </c>
      <c r="E35" s="469">
        <v>2.1999999999999999E-2</v>
      </c>
      <c r="F35" s="469">
        <v>3.1399999999999997E-2</v>
      </c>
      <c r="G35" s="470">
        <v>3.1E-2</v>
      </c>
      <c r="H35" s="426"/>
      <c r="I35" s="426"/>
      <c r="J35" s="426"/>
      <c r="K35" s="426"/>
      <c r="L35" s="426"/>
    </row>
    <row r="36" spans="1:12">
      <c r="A36" s="212">
        <v>23</v>
      </c>
      <c r="B36" s="11" t="s">
        <v>82</v>
      </c>
      <c r="C36" s="468">
        <v>0.70518679031151688</v>
      </c>
      <c r="D36" s="469">
        <v>0.70836656931216735</v>
      </c>
      <c r="E36" s="469">
        <v>0.6875</v>
      </c>
      <c r="F36" s="469">
        <v>0.61539999999999995</v>
      </c>
      <c r="G36" s="470">
        <v>0.57599999999999996</v>
      </c>
      <c r="H36" s="426"/>
      <c r="I36" s="426"/>
      <c r="J36" s="426"/>
      <c r="K36" s="426"/>
      <c r="L36" s="426"/>
    </row>
    <row r="37" spans="1:12" ht="15" customHeight="1">
      <c r="A37" s="212">
        <v>24</v>
      </c>
      <c r="B37" s="11" t="s">
        <v>81</v>
      </c>
      <c r="C37" s="468">
        <v>0.59413694917021898</v>
      </c>
      <c r="D37" s="469">
        <v>0.56579689118153498</v>
      </c>
      <c r="E37" s="469">
        <v>0.57999999999999996</v>
      </c>
      <c r="F37" s="469">
        <v>0.50580000000000003</v>
      </c>
      <c r="G37" s="470">
        <v>0.52739999999999998</v>
      </c>
      <c r="H37" s="426"/>
      <c r="I37" s="426"/>
      <c r="J37" s="426"/>
      <c r="K37" s="426"/>
      <c r="L37" s="426"/>
    </row>
    <row r="38" spans="1:12">
      <c r="A38" s="212">
        <v>25</v>
      </c>
      <c r="B38" s="11" t="s">
        <v>80</v>
      </c>
      <c r="C38" s="468">
        <v>-1.8037414535314156E-2</v>
      </c>
      <c r="D38" s="469">
        <v>-1.4049809363959609E-2</v>
      </c>
      <c r="E38" s="469">
        <v>0.19170000000000001</v>
      </c>
      <c r="F38" s="469">
        <v>3.3500000000000002E-2</v>
      </c>
      <c r="G38" s="470">
        <v>3.7600000000000001E-2</v>
      </c>
      <c r="H38" s="426"/>
      <c r="I38" s="426"/>
      <c r="J38" s="426"/>
      <c r="K38" s="426"/>
      <c r="L38" s="426"/>
    </row>
    <row r="39" spans="1:12" ht="15" customHeight="1">
      <c r="A39" s="10"/>
      <c r="B39" s="92" t="s">
        <v>217</v>
      </c>
      <c r="C39" s="149"/>
      <c r="D39" s="149"/>
      <c r="E39" s="149"/>
      <c r="F39" s="149"/>
      <c r="G39" s="358"/>
      <c r="H39" s="426"/>
      <c r="I39" s="426"/>
      <c r="J39" s="426"/>
      <c r="K39" s="426"/>
      <c r="L39" s="426"/>
    </row>
    <row r="40" spans="1:12" ht="15" customHeight="1">
      <c r="A40" s="212">
        <v>26</v>
      </c>
      <c r="B40" s="11" t="s">
        <v>79</v>
      </c>
      <c r="C40" s="468">
        <v>0.23722960730610218</v>
      </c>
      <c r="D40" s="468">
        <v>0.21930046878339277</v>
      </c>
      <c r="E40" s="468">
        <v>0.1971</v>
      </c>
      <c r="F40" s="468">
        <v>0.17910000000000001</v>
      </c>
      <c r="G40" s="471">
        <v>0.18859999999999999</v>
      </c>
      <c r="H40" s="426"/>
      <c r="I40" s="426"/>
      <c r="J40" s="426"/>
      <c r="K40" s="426"/>
      <c r="L40" s="426"/>
    </row>
    <row r="41" spans="1:12" ht="15" customHeight="1">
      <c r="A41" s="212">
        <v>27</v>
      </c>
      <c r="B41" s="11" t="s">
        <v>78</v>
      </c>
      <c r="C41" s="468">
        <v>0.4870475859570661</v>
      </c>
      <c r="D41" s="468">
        <v>0.47902588809589547</v>
      </c>
      <c r="E41" s="468">
        <v>0.51749999999999996</v>
      </c>
      <c r="F41" s="468">
        <v>0.57420000000000004</v>
      </c>
      <c r="G41" s="471">
        <v>0.58089999999999997</v>
      </c>
      <c r="H41" s="426"/>
      <c r="I41" s="426"/>
      <c r="J41" s="426"/>
      <c r="K41" s="426"/>
      <c r="L41" s="426"/>
    </row>
    <row r="42" spans="1:12" ht="15" customHeight="1">
      <c r="A42" s="212">
        <v>28</v>
      </c>
      <c r="B42" s="11" t="s">
        <v>77</v>
      </c>
      <c r="C42" s="468">
        <v>0.10597900122853528</v>
      </c>
      <c r="D42" s="468">
        <v>0.12481885918537233</v>
      </c>
      <c r="E42" s="468">
        <v>0.12759999999999999</v>
      </c>
      <c r="F42" s="468">
        <v>0.14180000000000001</v>
      </c>
      <c r="G42" s="471">
        <v>0.17219999999999999</v>
      </c>
      <c r="H42" s="426"/>
      <c r="I42" s="426"/>
      <c r="J42" s="426"/>
      <c r="K42" s="426"/>
      <c r="L42" s="426"/>
    </row>
    <row r="43" spans="1:12" ht="15" customHeight="1">
      <c r="A43" s="213"/>
      <c r="B43" s="92" t="s">
        <v>258</v>
      </c>
      <c r="C43" s="149"/>
      <c r="D43" s="149"/>
      <c r="E43" s="149"/>
      <c r="F43" s="149"/>
      <c r="G43" s="358"/>
      <c r="H43" s="426"/>
      <c r="I43" s="426"/>
      <c r="J43" s="426"/>
      <c r="K43" s="426"/>
      <c r="L43" s="426"/>
    </row>
    <row r="44" spans="1:12">
      <c r="A44" s="212">
        <v>29</v>
      </c>
      <c r="B44" s="11" t="s">
        <v>241</v>
      </c>
      <c r="C44" s="472">
        <v>187706981.03969789</v>
      </c>
      <c r="D44" s="472">
        <v>194765241.62771997</v>
      </c>
      <c r="E44" s="472">
        <v>204256224</v>
      </c>
      <c r="F44" s="472">
        <v>184076299</v>
      </c>
      <c r="G44" s="473">
        <v>174812887</v>
      </c>
      <c r="H44" s="426"/>
      <c r="I44" s="426"/>
      <c r="J44" s="426"/>
      <c r="K44" s="426"/>
      <c r="L44" s="426"/>
    </row>
    <row r="45" spans="1:12" ht="15" customHeight="1">
      <c r="A45" s="212">
        <v>30</v>
      </c>
      <c r="B45" s="11" t="s">
        <v>253</v>
      </c>
      <c r="C45" s="472">
        <v>141923232.89658523</v>
      </c>
      <c r="D45" s="474">
        <v>137418651.47069088</v>
      </c>
      <c r="E45" s="474">
        <v>126810871</v>
      </c>
      <c r="F45" s="474">
        <v>139724965</v>
      </c>
      <c r="G45" s="475">
        <v>138848413</v>
      </c>
      <c r="H45" s="426"/>
      <c r="I45" s="426"/>
      <c r="J45" s="426"/>
      <c r="K45" s="426"/>
      <c r="L45" s="426"/>
    </row>
    <row r="46" spans="1:12" ht="15" customHeight="1">
      <c r="A46" s="242">
        <v>31</v>
      </c>
      <c r="B46" s="243" t="s">
        <v>242</v>
      </c>
      <c r="C46" s="468">
        <v>1.3225951608393374</v>
      </c>
      <c r="D46" s="468">
        <v>1.4173130033171675</v>
      </c>
      <c r="E46" s="468">
        <v>1.6107</v>
      </c>
      <c r="F46" s="468">
        <v>1.3173999999999999</v>
      </c>
      <c r="G46" s="471">
        <v>1.2589999999999999</v>
      </c>
      <c r="H46" s="426"/>
      <c r="I46" s="426"/>
      <c r="J46" s="426"/>
      <c r="K46" s="426"/>
      <c r="L46" s="426"/>
    </row>
    <row r="47" spans="1:12" ht="15" customHeight="1">
      <c r="A47" s="242"/>
      <c r="B47" s="92" t="s">
        <v>337</v>
      </c>
      <c r="C47" s="149"/>
      <c r="D47" s="149"/>
      <c r="E47" s="149"/>
      <c r="F47" s="149"/>
      <c r="G47" s="358"/>
      <c r="H47" s="426"/>
      <c r="I47" s="426"/>
      <c r="J47" s="426"/>
      <c r="K47" s="426"/>
      <c r="L47" s="426"/>
    </row>
    <row r="48" spans="1:12" ht="15" customHeight="1">
      <c r="A48" s="242">
        <v>32</v>
      </c>
      <c r="B48" s="243" t="s">
        <v>344</v>
      </c>
      <c r="C48" s="476">
        <v>414880047.99405277</v>
      </c>
      <c r="D48" s="477">
        <v>429841400.50814503</v>
      </c>
      <c r="E48" s="477">
        <v>428942261</v>
      </c>
      <c r="F48" s="477">
        <v>416365639</v>
      </c>
      <c r="G48" s="478">
        <v>391474580</v>
      </c>
      <c r="H48" s="426"/>
      <c r="I48" s="426"/>
      <c r="J48" s="426"/>
      <c r="K48" s="426"/>
      <c r="L48" s="426"/>
    </row>
    <row r="49" spans="1:12" ht="15" customHeight="1">
      <c r="A49" s="242">
        <v>33</v>
      </c>
      <c r="B49" s="243" t="s">
        <v>359</v>
      </c>
      <c r="C49" s="476">
        <v>371792812.10154259</v>
      </c>
      <c r="D49" s="477">
        <v>375128577.87517488</v>
      </c>
      <c r="E49" s="477">
        <v>364704269</v>
      </c>
      <c r="F49" s="477">
        <v>309508979</v>
      </c>
      <c r="G49" s="478">
        <v>299001893</v>
      </c>
      <c r="H49" s="426"/>
      <c r="I49" s="426"/>
      <c r="J49" s="426"/>
      <c r="K49" s="426"/>
      <c r="L49" s="426"/>
    </row>
    <row r="50" spans="1:12" ht="14.4" thickBot="1">
      <c r="A50" s="214">
        <v>34</v>
      </c>
      <c r="B50" s="94" t="s">
        <v>377</v>
      </c>
      <c r="C50" s="479">
        <v>1.1158904489007238</v>
      </c>
      <c r="D50" s="480">
        <v>1.1458508518409281</v>
      </c>
      <c r="E50" s="480">
        <v>1.1760999999999999</v>
      </c>
      <c r="F50" s="480">
        <v>1.3452</v>
      </c>
      <c r="G50" s="481">
        <v>1.3092999999999999</v>
      </c>
      <c r="H50" s="426"/>
      <c r="I50" s="426"/>
      <c r="J50" s="426"/>
      <c r="K50" s="426"/>
      <c r="L50" s="426"/>
    </row>
    <row r="51" spans="1:12">
      <c r="A51" s="14"/>
    </row>
    <row r="52" spans="1:12">
      <c r="B52" s="144"/>
    </row>
    <row r="53" spans="1:12" ht="52.8">
      <c r="B53" s="144" t="s">
        <v>257</v>
      </c>
    </row>
    <row r="55" spans="1:12" ht="14.4">
      <c r="B55" s="143"/>
    </row>
  </sheetData>
  <mergeCells count="1">
    <mergeCell ref="D4:G4"/>
  </mergeCells>
  <pageMargins left="0.7" right="0.7" top="0.75" bottom="0.75" header="0.3" footer="0.3"/>
  <pageSetup paperSize="9" scale="51" orientation="portrait" horizontalDpi="300" verticalDpi="300" r:id="rId1"/>
  <headerFooter>
    <oddFooter>&amp;C_x000D_&amp;1#&amp;"Aptos"&amp;10&amp;K000000 C4 - EXTERNAL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37"/>
  <sheetViews>
    <sheetView zoomScale="80" zoomScaleNormal="80" workbookViewId="0">
      <selection activeCell="H37" sqref="H37"/>
    </sheetView>
  </sheetViews>
  <sheetFormatPr defaultColWidth="8.77734375" defaultRowHeight="13.8"/>
  <cols>
    <col min="1" max="1" width="11.44140625" style="361" customWidth="1"/>
    <col min="2" max="2" width="76.77734375" style="407" customWidth="1"/>
    <col min="3" max="3" width="22.77734375" style="361" customWidth="1"/>
    <col min="4" max="16384" width="8.77734375" style="361"/>
  </cols>
  <sheetData>
    <row r="1" spans="1:4">
      <c r="A1" s="107" t="s">
        <v>30</v>
      </c>
      <c r="B1" s="360" t="str">
        <f>'Info '!C2</f>
        <v xml:space="preserve">PASHA Bank Georgia JSC </v>
      </c>
    </row>
    <row r="2" spans="1:4">
      <c r="A2" s="107" t="s">
        <v>31</v>
      </c>
      <c r="B2" s="362">
        <f>'1. key ratios '!B2</f>
        <v>46203</v>
      </c>
    </row>
    <row r="3" spans="1:4">
      <c r="B3" s="361"/>
    </row>
    <row r="4" spans="1:4">
      <c r="A4" s="361" t="s">
        <v>295</v>
      </c>
      <c r="B4" s="361" t="s">
        <v>296</v>
      </c>
    </row>
    <row r="5" spans="1:4">
      <c r="A5" s="390" t="s">
        <v>297</v>
      </c>
      <c r="B5" s="391"/>
      <c r="C5" s="392"/>
    </row>
    <row r="6" spans="1:4" ht="27.6">
      <c r="A6" s="396">
        <v>1</v>
      </c>
      <c r="B6" s="397" t="s">
        <v>751</v>
      </c>
      <c r="C6" s="398">
        <v>661164041.18210006</v>
      </c>
      <c r="D6" s="410"/>
    </row>
    <row r="7" spans="1:4">
      <c r="A7" s="396">
        <v>2</v>
      </c>
      <c r="B7" s="397" t="s">
        <v>298</v>
      </c>
      <c r="C7" s="398">
        <v>-5081138.0199999996</v>
      </c>
      <c r="D7" s="410"/>
    </row>
    <row r="8" spans="1:4" ht="27.6">
      <c r="A8" s="399">
        <v>3</v>
      </c>
      <c r="B8" s="400" t="s">
        <v>299</v>
      </c>
      <c r="C8" s="404">
        <f>C6+C7</f>
        <v>656082903.16210008</v>
      </c>
      <c r="D8" s="410"/>
    </row>
    <row r="9" spans="1:4">
      <c r="A9" s="390" t="s">
        <v>300</v>
      </c>
      <c r="B9" s="391"/>
      <c r="C9" s="393"/>
      <c r="D9" s="410"/>
    </row>
    <row r="10" spans="1:4" ht="25.8" customHeight="1">
      <c r="A10" s="396">
        <v>4</v>
      </c>
      <c r="B10" s="401" t="s">
        <v>749</v>
      </c>
      <c r="C10" s="398">
        <f>'15. CCR '!F34</f>
        <v>980552.42</v>
      </c>
      <c r="D10" s="410"/>
    </row>
    <row r="11" spans="1:4" ht="25.8" customHeight="1">
      <c r="A11" s="396">
        <v>5</v>
      </c>
      <c r="B11" s="402" t="s">
        <v>750</v>
      </c>
      <c r="C11" s="398">
        <f>'15. CCR '!G34</f>
        <v>1062061.71</v>
      </c>
      <c r="D11" s="410"/>
    </row>
    <row r="12" spans="1:4" ht="25.8" customHeight="1">
      <c r="A12" s="396">
        <v>6</v>
      </c>
      <c r="B12" s="402" t="s">
        <v>743</v>
      </c>
      <c r="C12" s="398">
        <f>'15. CCR '!I34</f>
        <v>2859659.7819999997</v>
      </c>
      <c r="D12" s="410"/>
    </row>
    <row r="13" spans="1:4" ht="25.8" customHeight="1">
      <c r="A13" s="403">
        <v>7</v>
      </c>
      <c r="B13" s="401" t="s">
        <v>744</v>
      </c>
      <c r="C13" s="398">
        <f>'15. CCR '!E34</f>
        <v>24733581.289999999</v>
      </c>
      <c r="D13" s="410"/>
    </row>
    <row r="14" spans="1:4" ht="25.8" customHeight="1">
      <c r="A14" s="399">
        <v>8</v>
      </c>
      <c r="B14" s="394" t="s">
        <v>301</v>
      </c>
      <c r="C14" s="404">
        <f>C12</f>
        <v>2859659.7819999997</v>
      </c>
      <c r="D14" s="410"/>
    </row>
    <row r="15" spans="1:4">
      <c r="A15" s="390" t="s">
        <v>302</v>
      </c>
      <c r="B15" s="391"/>
      <c r="C15" s="393"/>
      <c r="D15" s="410"/>
    </row>
    <row r="16" spans="1:4" ht="27.6">
      <c r="A16" s="403">
        <v>9</v>
      </c>
      <c r="B16" s="401" t="s">
        <v>303</v>
      </c>
      <c r="C16" s="398"/>
      <c r="D16" s="410"/>
    </row>
    <row r="17" spans="1:4">
      <c r="A17" s="403">
        <v>10</v>
      </c>
      <c r="B17" s="401" t="s">
        <v>304</v>
      </c>
      <c r="C17" s="398"/>
      <c r="D17" s="410"/>
    </row>
    <row r="18" spans="1:4">
      <c r="A18" s="403">
        <v>11</v>
      </c>
      <c r="B18" s="401" t="s">
        <v>305</v>
      </c>
      <c r="C18" s="398"/>
      <c r="D18" s="410"/>
    </row>
    <row r="19" spans="1:4" ht="27.6">
      <c r="A19" s="403">
        <v>12</v>
      </c>
      <c r="B19" s="401" t="s">
        <v>306</v>
      </c>
      <c r="C19" s="398"/>
      <c r="D19" s="410"/>
    </row>
    <row r="20" spans="1:4">
      <c r="A20" s="403">
        <v>14</v>
      </c>
      <c r="B20" s="401" t="s">
        <v>307</v>
      </c>
      <c r="C20" s="398"/>
      <c r="D20" s="410"/>
    </row>
    <row r="21" spans="1:4">
      <c r="A21" s="403">
        <v>14</v>
      </c>
      <c r="B21" s="401" t="s">
        <v>308</v>
      </c>
      <c r="C21" s="398"/>
      <c r="D21" s="410"/>
    </row>
    <row r="22" spans="1:4">
      <c r="A22" s="399">
        <v>15</v>
      </c>
      <c r="B22" s="394" t="s">
        <v>309</v>
      </c>
      <c r="C22" s="404">
        <f>SUM(C16:C21)</f>
        <v>0</v>
      </c>
      <c r="D22" s="410"/>
    </row>
    <row r="23" spans="1:4">
      <c r="A23" s="390" t="s">
        <v>310</v>
      </c>
      <c r="B23" s="391"/>
      <c r="C23" s="393"/>
      <c r="D23" s="410"/>
    </row>
    <row r="24" spans="1:4">
      <c r="A24" s="408">
        <v>16</v>
      </c>
      <c r="B24" s="402" t="s">
        <v>311</v>
      </c>
      <c r="C24" s="398">
        <v>95712982.127900004</v>
      </c>
      <c r="D24" s="410"/>
    </row>
    <row r="25" spans="1:4">
      <c r="A25" s="408">
        <v>17</v>
      </c>
      <c r="B25" s="402" t="s">
        <v>312</v>
      </c>
      <c r="C25" s="398">
        <v>-57698375.939120002</v>
      </c>
      <c r="D25" s="410"/>
    </row>
    <row r="26" spans="1:4">
      <c r="A26" s="409">
        <v>18</v>
      </c>
      <c r="B26" s="394" t="s">
        <v>313</v>
      </c>
      <c r="C26" s="404">
        <f>C24+C25</f>
        <v>38014606.188780002</v>
      </c>
      <c r="D26" s="410"/>
    </row>
    <row r="27" spans="1:4">
      <c r="A27" s="390" t="s">
        <v>314</v>
      </c>
      <c r="B27" s="391"/>
      <c r="C27" s="393"/>
      <c r="D27" s="410"/>
    </row>
    <row r="28" spans="1:4" ht="27.6">
      <c r="A28" s="408">
        <v>19</v>
      </c>
      <c r="B28" s="401" t="s">
        <v>315</v>
      </c>
      <c r="C28" s="405"/>
      <c r="D28" s="410"/>
    </row>
    <row r="29" spans="1:4">
      <c r="A29" s="408">
        <v>20</v>
      </c>
      <c r="B29" s="402" t="s">
        <v>316</v>
      </c>
      <c r="C29" s="405"/>
      <c r="D29" s="410"/>
    </row>
    <row r="30" spans="1:4">
      <c r="A30" s="390" t="s">
        <v>748</v>
      </c>
      <c r="B30" s="391"/>
      <c r="C30" s="393"/>
      <c r="D30" s="410"/>
    </row>
    <row r="31" spans="1:4">
      <c r="A31" s="409">
        <v>21</v>
      </c>
      <c r="B31" s="395" t="s">
        <v>317</v>
      </c>
      <c r="C31" s="404">
        <v>137741515.9903</v>
      </c>
      <c r="D31" s="410"/>
    </row>
    <row r="32" spans="1:4">
      <c r="A32" s="409">
        <v>22</v>
      </c>
      <c r="B32" s="394" t="s">
        <v>318</v>
      </c>
      <c r="C32" s="404">
        <f>C8+C14+C22+C26</f>
        <v>696957169.13287997</v>
      </c>
      <c r="D32" s="410"/>
    </row>
    <row r="33" spans="1:4">
      <c r="A33" s="390" t="s">
        <v>319</v>
      </c>
      <c r="B33" s="391"/>
      <c r="C33" s="393"/>
      <c r="D33" s="410"/>
    </row>
    <row r="34" spans="1:4">
      <c r="A34" s="399">
        <v>23</v>
      </c>
      <c r="B34" s="394" t="s">
        <v>319</v>
      </c>
      <c r="C34" s="505">
        <f>IFERROR(C31/C32,0)</f>
        <v>0.1976326840308871</v>
      </c>
      <c r="D34" s="410"/>
    </row>
    <row r="35" spans="1:4">
      <c r="A35" s="390" t="s">
        <v>320</v>
      </c>
      <c r="B35" s="391"/>
      <c r="C35" s="393"/>
      <c r="D35" s="410"/>
    </row>
    <row r="36" spans="1:4">
      <c r="A36" s="406" t="s">
        <v>321</v>
      </c>
      <c r="B36" s="401" t="s">
        <v>322</v>
      </c>
      <c r="C36" s="405"/>
      <c r="D36" s="410"/>
    </row>
    <row r="37" spans="1:4" ht="27.6">
      <c r="A37" s="406" t="s">
        <v>323</v>
      </c>
      <c r="B37" s="397" t="s">
        <v>324</v>
      </c>
      <c r="C37" s="405"/>
      <c r="D37" s="410"/>
    </row>
  </sheetData>
  <pageMargins left="0.7" right="0.7" top="0.75" bottom="0.75" header="0.3" footer="0.3"/>
  <pageSetup paperSize="9" scale="78" orientation="portrait" horizontalDpi="300" verticalDpi="300" r:id="rId1"/>
  <headerFooter>
    <oddFooter>&amp;C_x000D_&amp;1#&amp;"Aptos"&amp;10&amp;K000000 C4 - EXTERNAL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15"/>
  <sheetViews>
    <sheetView zoomScale="80" zoomScaleNormal="80" workbookViewId="0">
      <selection activeCell="E19" sqref="E19"/>
    </sheetView>
  </sheetViews>
  <sheetFormatPr defaultColWidth="8.88671875" defaultRowHeight="14.4"/>
  <cols>
    <col min="1" max="1" width="11.44140625" customWidth="1"/>
    <col min="2" max="2" width="76.77734375" style="179" customWidth="1"/>
    <col min="3" max="6" width="25.33203125" customWidth="1"/>
  </cols>
  <sheetData>
    <row r="1" spans="1:6">
      <c r="A1" s="2" t="s">
        <v>30</v>
      </c>
      <c r="B1" s="3" t="str">
        <f>'Info '!C2</f>
        <v xml:space="preserve">PASHA Bank Georgia JSC </v>
      </c>
    </row>
    <row r="2" spans="1:6">
      <c r="A2" s="2" t="s">
        <v>31</v>
      </c>
      <c r="B2" s="209">
        <f>'1. key ratios '!B2</f>
        <v>46203</v>
      </c>
    </row>
    <row r="3" spans="1:6">
      <c r="A3" s="4"/>
      <c r="B3"/>
    </row>
    <row r="4" spans="1:6">
      <c r="A4" s="386" t="s">
        <v>738</v>
      </c>
    </row>
    <row r="5" spans="1:6" ht="43.2">
      <c r="B5" s="381"/>
      <c r="C5" s="387" t="s">
        <v>739</v>
      </c>
      <c r="D5" s="387" t="s">
        <v>741</v>
      </c>
      <c r="E5" s="387" t="s">
        <v>740</v>
      </c>
      <c r="F5" s="387" t="s">
        <v>742</v>
      </c>
    </row>
    <row r="6" spans="1:6">
      <c r="B6" s="388" t="s">
        <v>716</v>
      </c>
      <c r="C6" s="375">
        <f>IF(C7&gt;0,C7,IF(C8&gt;0,C8,IF(C9&gt;0,C9,0)))</f>
        <v>2855560.8870655652</v>
      </c>
      <c r="D6" s="375">
        <f>IF(D7&gt;0,D7,IF(D8&gt;0,D8,IF(D9&gt;0,D9,0)))</f>
        <v>6085.5685794510928</v>
      </c>
      <c r="E6" s="375">
        <f>IF(E7&gt;0,E7,IF(E8&gt;0,E8,IF(E9&gt;0,E9,0)))</f>
        <v>0</v>
      </c>
      <c r="F6" s="375">
        <f>IF(F7&gt;0,F7,IF(F8&gt;0,F8,IF(F9&gt;0,F9,0)))</f>
        <v>76069.607243138656</v>
      </c>
    </row>
    <row r="7" spans="1:6">
      <c r="B7" s="376" t="s">
        <v>729</v>
      </c>
      <c r="C7" s="389">
        <v>2855560.8870655652</v>
      </c>
      <c r="D7" s="389">
        <v>6085.5685794510928</v>
      </c>
      <c r="E7" s="389">
        <v>0</v>
      </c>
      <c r="F7" s="389">
        <v>76069.607243138656</v>
      </c>
    </row>
    <row r="8" spans="1:6">
      <c r="B8" s="376" t="s">
        <v>730</v>
      </c>
      <c r="C8" s="389"/>
      <c r="D8" s="389"/>
      <c r="E8" s="389"/>
      <c r="F8" s="389"/>
    </row>
    <row r="9" spans="1:6">
      <c r="B9" s="376" t="s">
        <v>737</v>
      </c>
      <c r="C9" s="389"/>
      <c r="D9" s="389"/>
      <c r="E9" s="389"/>
      <c r="F9" s="389"/>
    </row>
    <row r="11" spans="1:6">
      <c r="C11" s="444"/>
      <c r="D11" s="444"/>
      <c r="E11" s="444"/>
      <c r="F11" s="444"/>
    </row>
    <row r="12" spans="1:6">
      <c r="C12" s="444"/>
      <c r="D12" s="444"/>
      <c r="E12" s="444"/>
      <c r="F12" s="444"/>
    </row>
    <row r="13" spans="1:6">
      <c r="C13" s="444"/>
      <c r="D13" s="444"/>
      <c r="E13" s="444"/>
      <c r="F13" s="444"/>
    </row>
    <row r="14" spans="1:6">
      <c r="C14" s="444"/>
      <c r="D14" s="444"/>
      <c r="E14" s="444"/>
      <c r="F14" s="444"/>
    </row>
    <row r="15" spans="1:6">
      <c r="C15" s="444"/>
      <c r="D15" s="444"/>
      <c r="E15" s="444"/>
      <c r="F15" s="444"/>
    </row>
  </sheetData>
  <pageMargins left="0.7" right="0.7" top="0.75" bottom="0.75" header="0.3" footer="0.3"/>
  <pageSetup paperSize="9" scale="46" orientation="portrait" horizontalDpi="300" verticalDpi="300" r:id="rId1"/>
  <headerFooter>
    <oddFooter>&amp;C_x000D_&amp;1#&amp;"Aptos"&amp;10&amp;K000000 C4 - EXTERNAL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42"/>
  <sheetViews>
    <sheetView zoomScale="80" zoomScaleNormal="80" workbookViewId="0">
      <pane xSplit="2" ySplit="6" topLeftCell="C7" activePane="bottomRight" state="frozen"/>
      <selection activeCell="B42" sqref="B42"/>
      <selection pane="topRight" activeCell="B42" sqref="B42"/>
      <selection pane="bottomLeft" activeCell="B42" sqref="B42"/>
      <selection pane="bottomRight" activeCell="O36" sqref="O36"/>
    </sheetView>
  </sheetViews>
  <sheetFormatPr defaultRowHeight="14.4"/>
  <cols>
    <col min="1" max="1" width="8.77734375" style="109"/>
    <col min="2" max="2" width="82.6640625" style="116" customWidth="1"/>
    <col min="3" max="7" width="17.5546875" style="109" customWidth="1"/>
    <col min="8" max="8" width="12.5546875" customWidth="1"/>
    <col min="9" max="9" width="11.21875" bestFit="1" customWidth="1"/>
  </cols>
  <sheetData>
    <row r="1" spans="1:12">
      <c r="A1" s="109" t="s">
        <v>30</v>
      </c>
      <c r="B1" s="3" t="str">
        <f>'Info '!C2</f>
        <v xml:space="preserve">PASHA Bank Georgia JSC </v>
      </c>
    </row>
    <row r="2" spans="1:12">
      <c r="A2" s="109" t="s">
        <v>31</v>
      </c>
      <c r="B2" s="209">
        <f>'1. key ratios '!B2</f>
        <v>46203</v>
      </c>
    </row>
    <row r="4" spans="1:12" ht="15" thickBot="1">
      <c r="A4" s="109" t="s">
        <v>376</v>
      </c>
      <c r="B4" s="215" t="s">
        <v>337</v>
      </c>
    </row>
    <row r="5" spans="1:12">
      <c r="A5" s="216"/>
      <c r="B5" s="217"/>
      <c r="C5" s="814" t="s">
        <v>338</v>
      </c>
      <c r="D5" s="814"/>
      <c r="E5" s="814"/>
      <c r="F5" s="814"/>
      <c r="G5" s="815" t="s">
        <v>339</v>
      </c>
    </row>
    <row r="6" spans="1:12">
      <c r="A6" s="218"/>
      <c r="B6" s="219"/>
      <c r="C6" s="220" t="s">
        <v>340</v>
      </c>
      <c r="D6" s="220" t="s">
        <v>341</v>
      </c>
      <c r="E6" s="220" t="s">
        <v>342</v>
      </c>
      <c r="F6" s="220" t="s">
        <v>343</v>
      </c>
      <c r="G6" s="816"/>
    </row>
    <row r="7" spans="1:12">
      <c r="A7" s="221"/>
      <c r="B7" s="222" t="s">
        <v>344</v>
      </c>
      <c r="C7" s="223"/>
      <c r="D7" s="223"/>
      <c r="E7" s="223"/>
      <c r="F7" s="223"/>
      <c r="G7" s="224"/>
    </row>
    <row r="8" spans="1:12">
      <c r="A8" s="225">
        <v>1</v>
      </c>
      <c r="B8" s="226" t="s">
        <v>345</v>
      </c>
      <c r="C8" s="694">
        <f>SUM(C9:C10)</f>
        <v>164725459.28169999</v>
      </c>
      <c r="D8" s="694">
        <f>SUM(D9:D10)</f>
        <v>0</v>
      </c>
      <c r="E8" s="694">
        <f>SUM(E9:E10)</f>
        <v>0</v>
      </c>
      <c r="F8" s="694">
        <f>SUM(F9:F10)</f>
        <v>118950977.40035279</v>
      </c>
      <c r="G8" s="695">
        <f>SUM(G9:G10)</f>
        <v>283676436.68205279</v>
      </c>
      <c r="H8" s="420"/>
      <c r="I8" s="420"/>
      <c r="J8" s="420"/>
      <c r="K8" s="420"/>
      <c r="L8" s="420"/>
    </row>
    <row r="9" spans="1:12">
      <c r="A9" s="225">
        <v>2</v>
      </c>
      <c r="B9" s="227" t="s">
        <v>346</v>
      </c>
      <c r="C9" s="694">
        <v>164725459.28169999</v>
      </c>
      <c r="D9" s="694"/>
      <c r="E9" s="694"/>
      <c r="F9" s="694"/>
      <c r="G9" s="695">
        <v>164725459.28169999</v>
      </c>
      <c r="H9" s="420"/>
      <c r="I9" s="420"/>
      <c r="J9" s="420"/>
      <c r="K9" s="420"/>
      <c r="L9" s="420"/>
    </row>
    <row r="10" spans="1:12" ht="27.6">
      <c r="A10" s="225">
        <v>3</v>
      </c>
      <c r="B10" s="227" t="s">
        <v>347</v>
      </c>
      <c r="C10" s="696"/>
      <c r="D10" s="696"/>
      <c r="E10" s="696"/>
      <c r="F10" s="694">
        <v>118950977.40035279</v>
      </c>
      <c r="G10" s="695">
        <v>118950977.40035279</v>
      </c>
      <c r="H10" s="420"/>
      <c r="I10" s="420"/>
      <c r="J10" s="420"/>
      <c r="K10" s="420"/>
      <c r="L10" s="420"/>
    </row>
    <row r="11" spans="1:12" ht="14.55" customHeight="1">
      <c r="A11" s="225">
        <v>4</v>
      </c>
      <c r="B11" s="226" t="s">
        <v>348</v>
      </c>
      <c r="C11" s="694">
        <f t="shared" ref="C11:F11" si="0">SUM(C12:C13)</f>
        <v>8258174</v>
      </c>
      <c r="D11" s="694">
        <f t="shared" si="0"/>
        <v>52953661.07</v>
      </c>
      <c r="E11" s="694">
        <f t="shared" si="0"/>
        <v>10402854.76</v>
      </c>
      <c r="F11" s="694">
        <f t="shared" si="0"/>
        <v>310600.50999999978</v>
      </c>
      <c r="G11" s="695">
        <f>SUM(G12:G13)</f>
        <v>44949699.776999995</v>
      </c>
      <c r="H11" s="420"/>
      <c r="I11" s="420"/>
      <c r="J11" s="420"/>
      <c r="K11" s="420"/>
      <c r="L11" s="420"/>
    </row>
    <row r="12" spans="1:12">
      <c r="A12" s="225">
        <v>5</v>
      </c>
      <c r="B12" s="227" t="s">
        <v>349</v>
      </c>
      <c r="C12" s="694">
        <v>2513390</v>
      </c>
      <c r="D12" s="669">
        <v>13649167.4</v>
      </c>
      <c r="E12" s="694">
        <v>3588542.26</v>
      </c>
      <c r="F12" s="694">
        <v>220132.79999999981</v>
      </c>
      <c r="G12" s="695">
        <v>18972670.836999997</v>
      </c>
      <c r="H12" s="420"/>
      <c r="I12" s="420"/>
      <c r="J12" s="420"/>
      <c r="K12" s="420"/>
      <c r="L12" s="420"/>
    </row>
    <row r="13" spans="1:12">
      <c r="A13" s="225">
        <v>6</v>
      </c>
      <c r="B13" s="227" t="s">
        <v>350</v>
      </c>
      <c r="C13" s="694">
        <v>5744784</v>
      </c>
      <c r="D13" s="669">
        <v>39304493.670000002</v>
      </c>
      <c r="E13" s="694">
        <v>6814312.5</v>
      </c>
      <c r="F13" s="694">
        <v>90467.709999999963</v>
      </c>
      <c r="G13" s="695">
        <v>25977028.940000001</v>
      </c>
      <c r="H13" s="420"/>
      <c r="I13" s="420"/>
      <c r="J13" s="420"/>
      <c r="K13" s="420"/>
      <c r="L13" s="420"/>
    </row>
    <row r="14" spans="1:12">
      <c r="A14" s="225">
        <v>7</v>
      </c>
      <c r="B14" s="226" t="s">
        <v>351</v>
      </c>
      <c r="C14" s="694">
        <f t="shared" ref="C14:F14" si="1">SUM(C15:C16)</f>
        <v>81843145.140000001</v>
      </c>
      <c r="D14" s="694">
        <f t="shared" si="1"/>
        <v>142033976.47999999</v>
      </c>
      <c r="E14" s="694">
        <f t="shared" si="1"/>
        <v>62759770.82</v>
      </c>
      <c r="F14" s="694">
        <f t="shared" si="1"/>
        <v>51452.769999995828</v>
      </c>
      <c r="G14" s="695">
        <f>SUM(G15:G16)</f>
        <v>86253911.534999996</v>
      </c>
      <c r="H14" s="420"/>
      <c r="I14" s="420"/>
      <c r="J14" s="420"/>
      <c r="K14" s="420"/>
      <c r="L14" s="420"/>
    </row>
    <row r="15" spans="1:12" ht="41.4">
      <c r="A15" s="225">
        <v>8</v>
      </c>
      <c r="B15" s="227" t="s">
        <v>352</v>
      </c>
      <c r="C15" s="694">
        <v>68577606</v>
      </c>
      <c r="D15" s="669">
        <v>41118993.479999989</v>
      </c>
      <c r="E15" s="694">
        <v>38020920.82</v>
      </c>
      <c r="F15" s="694">
        <v>51452.769999995828</v>
      </c>
      <c r="G15" s="695">
        <v>73884486.534999996</v>
      </c>
      <c r="H15" s="420"/>
      <c r="I15" s="420"/>
      <c r="J15" s="420"/>
      <c r="K15" s="420"/>
      <c r="L15" s="420"/>
    </row>
    <row r="16" spans="1:12" ht="27.6">
      <c r="A16" s="225">
        <v>9</v>
      </c>
      <c r="B16" s="227" t="s">
        <v>353</v>
      </c>
      <c r="C16" s="694">
        <v>13265539.140000001</v>
      </c>
      <c r="D16" s="669">
        <v>100914983</v>
      </c>
      <c r="E16" s="694">
        <v>24738850</v>
      </c>
      <c r="F16" s="694">
        <v>0</v>
      </c>
      <c r="G16" s="695">
        <v>12369425</v>
      </c>
      <c r="H16" s="420"/>
      <c r="I16" s="420"/>
      <c r="J16" s="420"/>
      <c r="K16" s="420"/>
      <c r="L16" s="420"/>
    </row>
    <row r="17" spans="1:12">
      <c r="A17" s="225">
        <v>10</v>
      </c>
      <c r="B17" s="226" t="s">
        <v>354</v>
      </c>
      <c r="C17" s="694"/>
      <c r="D17" s="669"/>
      <c r="E17" s="694"/>
      <c r="F17" s="694"/>
      <c r="G17" s="695"/>
      <c r="H17" s="420"/>
      <c r="I17" s="420"/>
      <c r="J17" s="420"/>
      <c r="K17" s="420"/>
      <c r="L17" s="420"/>
    </row>
    <row r="18" spans="1:12">
      <c r="A18" s="225">
        <v>11</v>
      </c>
      <c r="B18" s="226" t="s">
        <v>355</v>
      </c>
      <c r="C18" s="697">
        <f>SUM(C19:C20)</f>
        <v>0</v>
      </c>
      <c r="D18" s="697">
        <f>SUM(D19:D20)</f>
        <v>12557630.239699999</v>
      </c>
      <c r="E18" s="697">
        <f>SUM(E19:E20)</f>
        <v>0</v>
      </c>
      <c r="F18" s="697">
        <f>SUM(F19:F20)</f>
        <v>0</v>
      </c>
      <c r="G18" s="697">
        <f>SUM(G19:G20)</f>
        <v>0</v>
      </c>
      <c r="H18" s="420"/>
      <c r="I18" s="420"/>
      <c r="J18" s="420"/>
      <c r="K18" s="420"/>
      <c r="L18" s="420"/>
    </row>
    <row r="19" spans="1:12">
      <c r="A19" s="225">
        <v>12</v>
      </c>
      <c r="B19" s="227" t="s">
        <v>356</v>
      </c>
      <c r="C19" s="696"/>
      <c r="D19" s="669">
        <v>147649.30970000001</v>
      </c>
      <c r="E19" s="694"/>
      <c r="F19" s="694"/>
      <c r="G19" s="695"/>
      <c r="H19" s="420"/>
      <c r="I19" s="420"/>
      <c r="J19" s="420"/>
      <c r="K19" s="420"/>
      <c r="L19" s="420"/>
    </row>
    <row r="20" spans="1:12">
      <c r="A20" s="225">
        <v>13</v>
      </c>
      <c r="B20" s="227" t="s">
        <v>357</v>
      </c>
      <c r="C20" s="694"/>
      <c r="D20" s="694">
        <v>12409980.93</v>
      </c>
      <c r="E20" s="694"/>
      <c r="F20" s="694"/>
      <c r="G20" s="695"/>
      <c r="H20" s="420"/>
      <c r="I20" s="420"/>
      <c r="J20" s="420"/>
      <c r="K20" s="420"/>
      <c r="L20" s="420"/>
    </row>
    <row r="21" spans="1:12">
      <c r="A21" s="228">
        <v>14</v>
      </c>
      <c r="B21" s="229" t="s">
        <v>358</v>
      </c>
      <c r="C21" s="696"/>
      <c r="D21" s="696"/>
      <c r="E21" s="696"/>
      <c r="F21" s="696"/>
      <c r="G21" s="698">
        <f>SUM(G8,G11,G14,G17,G18)</f>
        <v>414880047.99405277</v>
      </c>
      <c r="H21" s="420"/>
      <c r="I21" s="420"/>
      <c r="J21" s="420"/>
      <c r="K21" s="420"/>
      <c r="L21" s="420"/>
    </row>
    <row r="22" spans="1:12">
      <c r="A22" s="230"/>
      <c r="B22" s="231" t="s">
        <v>359</v>
      </c>
      <c r="C22" s="232"/>
      <c r="D22" s="233"/>
      <c r="E22" s="232"/>
      <c r="F22" s="232"/>
      <c r="G22" s="234"/>
      <c r="H22" s="420"/>
      <c r="I22" s="420"/>
      <c r="J22" s="420"/>
      <c r="K22" s="420"/>
      <c r="L22" s="420"/>
    </row>
    <row r="23" spans="1:12">
      <c r="A23" s="225">
        <v>15</v>
      </c>
      <c r="B23" s="226" t="s">
        <v>360</v>
      </c>
      <c r="C23" s="699">
        <v>105645776.13150001</v>
      </c>
      <c r="D23" s="697">
        <v>87830600</v>
      </c>
      <c r="E23" s="699">
        <v>0</v>
      </c>
      <c r="F23" s="699">
        <v>0</v>
      </c>
      <c r="G23" s="695">
        <v>8074045.0126350001</v>
      </c>
      <c r="H23" s="420"/>
      <c r="I23" s="420"/>
      <c r="J23" s="420"/>
      <c r="K23" s="420"/>
      <c r="L23" s="420"/>
    </row>
    <row r="24" spans="1:12">
      <c r="A24" s="225">
        <v>16</v>
      </c>
      <c r="B24" s="226" t="s">
        <v>361</v>
      </c>
      <c r="C24" s="694">
        <f>SUM(C25:C27,C29,C31)</f>
        <v>1122552.4434</v>
      </c>
      <c r="D24" s="669">
        <f t="shared" ref="D24:F24" si="2">SUM(D25:D27,D29,D31)</f>
        <v>51899463.429471001</v>
      </c>
      <c r="E24" s="694">
        <f t="shared" si="2"/>
        <v>77791343.05353801</v>
      </c>
      <c r="F24" s="694">
        <f t="shared" si="2"/>
        <v>276871739.15060204</v>
      </c>
      <c r="G24" s="695">
        <v>304450512.57965422</v>
      </c>
      <c r="H24" s="420"/>
      <c r="I24" s="420"/>
      <c r="J24" s="420"/>
      <c r="K24" s="420"/>
      <c r="L24" s="420"/>
    </row>
    <row r="25" spans="1:12">
      <c r="A25" s="225">
        <v>17</v>
      </c>
      <c r="B25" s="227" t="s">
        <v>362</v>
      </c>
      <c r="C25" s="694"/>
      <c r="D25" s="669"/>
      <c r="E25" s="694"/>
      <c r="F25" s="694"/>
      <c r="G25" s="695"/>
      <c r="H25" s="420"/>
      <c r="I25" s="420"/>
      <c r="J25" s="420"/>
      <c r="K25" s="420"/>
      <c r="L25" s="420"/>
    </row>
    <row r="26" spans="1:12" ht="27.6">
      <c r="A26" s="225">
        <v>18</v>
      </c>
      <c r="B26" s="227" t="s">
        <v>363</v>
      </c>
      <c r="C26" s="694">
        <v>1122552.4434</v>
      </c>
      <c r="D26" s="669">
        <v>5442503.9597100001</v>
      </c>
      <c r="E26" s="694">
        <v>18607746.113538001</v>
      </c>
      <c r="F26" s="694">
        <v>40004163.863510005</v>
      </c>
      <c r="G26" s="695">
        <v>50292795.380745508</v>
      </c>
      <c r="H26" s="420"/>
      <c r="I26" s="420"/>
      <c r="J26" s="420"/>
      <c r="K26" s="420"/>
      <c r="L26" s="420"/>
    </row>
    <row r="27" spans="1:12">
      <c r="A27" s="225">
        <v>19</v>
      </c>
      <c r="B27" s="227" t="s">
        <v>364</v>
      </c>
      <c r="C27" s="694">
        <v>0</v>
      </c>
      <c r="D27" s="669">
        <v>46456959.469760999</v>
      </c>
      <c r="E27" s="694">
        <v>57678728.43</v>
      </c>
      <c r="F27" s="694">
        <v>210387897.44569203</v>
      </c>
      <c r="G27" s="695">
        <v>230897556.77871871</v>
      </c>
      <c r="H27" s="420"/>
      <c r="I27" s="420"/>
      <c r="J27" s="420"/>
      <c r="K27" s="420"/>
      <c r="L27" s="420"/>
    </row>
    <row r="28" spans="1:12">
      <c r="A28" s="225">
        <v>20</v>
      </c>
      <c r="B28" s="235" t="s">
        <v>365</v>
      </c>
      <c r="C28" s="694"/>
      <c r="D28" s="669"/>
      <c r="E28" s="694"/>
      <c r="F28" s="694"/>
      <c r="G28" s="695"/>
      <c r="H28" s="420"/>
      <c r="I28" s="420"/>
      <c r="J28" s="420"/>
      <c r="K28" s="420"/>
      <c r="L28" s="420"/>
    </row>
    <row r="29" spans="1:12">
      <c r="A29" s="225">
        <v>21</v>
      </c>
      <c r="B29" s="227" t="s">
        <v>366</v>
      </c>
      <c r="C29" s="694"/>
      <c r="D29" s="669"/>
      <c r="E29" s="694"/>
      <c r="F29" s="694"/>
      <c r="G29" s="695"/>
      <c r="H29" s="420"/>
      <c r="I29" s="420"/>
      <c r="J29" s="420"/>
      <c r="K29" s="420"/>
      <c r="L29" s="420"/>
    </row>
    <row r="30" spans="1:12">
      <c r="A30" s="225">
        <v>22</v>
      </c>
      <c r="B30" s="235" t="s">
        <v>365</v>
      </c>
      <c r="C30" s="694"/>
      <c r="D30" s="669"/>
      <c r="E30" s="694"/>
      <c r="F30" s="694"/>
      <c r="G30" s="695"/>
      <c r="H30" s="420"/>
      <c r="I30" s="420"/>
      <c r="J30" s="420"/>
      <c r="K30" s="420"/>
      <c r="L30" s="420"/>
    </row>
    <row r="31" spans="1:12">
      <c r="A31" s="225">
        <v>23</v>
      </c>
      <c r="B31" s="227" t="s">
        <v>367</v>
      </c>
      <c r="C31" s="694">
        <v>0</v>
      </c>
      <c r="D31" s="669">
        <v>0</v>
      </c>
      <c r="E31" s="694">
        <v>1504868.51</v>
      </c>
      <c r="F31" s="694">
        <v>26479677.841400001</v>
      </c>
      <c r="G31" s="695">
        <v>23260160.420189999</v>
      </c>
      <c r="H31" s="420"/>
      <c r="I31" s="420"/>
      <c r="J31" s="420"/>
      <c r="K31" s="420"/>
      <c r="L31" s="420"/>
    </row>
    <row r="32" spans="1:12">
      <c r="A32" s="225">
        <v>24</v>
      </c>
      <c r="B32" s="226" t="s">
        <v>368</v>
      </c>
      <c r="C32" s="694"/>
      <c r="D32" s="669"/>
      <c r="E32" s="694"/>
      <c r="F32" s="694"/>
      <c r="G32" s="695"/>
      <c r="H32" s="420"/>
      <c r="I32" s="420"/>
      <c r="J32" s="420"/>
      <c r="K32" s="420"/>
      <c r="L32" s="420"/>
    </row>
    <row r="33" spans="1:12">
      <c r="A33" s="225">
        <v>25</v>
      </c>
      <c r="B33" s="226" t="s">
        <v>369</v>
      </c>
      <c r="C33" s="699">
        <f>C34+C35</f>
        <v>3769422.66</v>
      </c>
      <c r="D33" s="699">
        <f>D34+D35</f>
        <v>16377797.7399</v>
      </c>
      <c r="E33" s="699">
        <f>E34+E35</f>
        <v>417021.62</v>
      </c>
      <c r="F33" s="699">
        <f>F34+F35</f>
        <v>36624980.854698911</v>
      </c>
      <c r="G33" s="695">
        <f>G34+G35</f>
        <v>50243174.569598913</v>
      </c>
      <c r="H33" s="420"/>
      <c r="I33" s="420"/>
      <c r="J33" s="420"/>
      <c r="K33" s="420"/>
      <c r="L33" s="420"/>
    </row>
    <row r="34" spans="1:12">
      <c r="A34" s="225">
        <v>26</v>
      </c>
      <c r="B34" s="227" t="s">
        <v>370</v>
      </c>
      <c r="C34" s="696">
        <v>0</v>
      </c>
      <c r="D34" s="669">
        <v>2902722.7499000002</v>
      </c>
      <c r="E34" s="694">
        <v>0</v>
      </c>
      <c r="F34" s="694">
        <v>0</v>
      </c>
      <c r="G34" s="695">
        <v>2902722.7499000002</v>
      </c>
      <c r="H34" s="420"/>
      <c r="I34" s="420"/>
      <c r="J34" s="420"/>
      <c r="K34" s="420"/>
      <c r="L34" s="420"/>
    </row>
    <row r="35" spans="1:12">
      <c r="A35" s="225">
        <v>27</v>
      </c>
      <c r="B35" s="227" t="s">
        <v>371</v>
      </c>
      <c r="C35" s="694">
        <v>3769422.66</v>
      </c>
      <c r="D35" s="669">
        <v>13475074.99</v>
      </c>
      <c r="E35" s="694">
        <v>417021.62</v>
      </c>
      <c r="F35" s="694">
        <v>36624980.854698911</v>
      </c>
      <c r="G35" s="695">
        <v>47340451.819698915</v>
      </c>
      <c r="H35" s="420"/>
      <c r="I35" s="420"/>
      <c r="J35" s="420"/>
      <c r="K35" s="420"/>
      <c r="L35" s="420"/>
    </row>
    <row r="36" spans="1:12">
      <c r="A36" s="225">
        <v>28</v>
      </c>
      <c r="B36" s="226" t="s">
        <v>372</v>
      </c>
      <c r="C36" s="694">
        <v>0</v>
      </c>
      <c r="D36" s="669">
        <v>31962799.353088997</v>
      </c>
      <c r="E36" s="694">
        <v>42660721.57</v>
      </c>
      <c r="F36" s="694">
        <v>21072452.100000001</v>
      </c>
      <c r="G36" s="695">
        <v>9025079.9396544509</v>
      </c>
      <c r="H36" s="420"/>
      <c r="I36" s="420"/>
      <c r="J36" s="420"/>
      <c r="K36" s="420"/>
      <c r="L36" s="420"/>
    </row>
    <row r="37" spans="1:12">
      <c r="A37" s="228">
        <v>29</v>
      </c>
      <c r="B37" s="229" t="s">
        <v>373</v>
      </c>
      <c r="C37" s="696"/>
      <c r="D37" s="696"/>
      <c r="E37" s="696"/>
      <c r="F37" s="696"/>
      <c r="G37" s="698">
        <f>SUM(G23:G24,G32:G33,G36)</f>
        <v>371792812.10154259</v>
      </c>
      <c r="H37" s="420"/>
      <c r="I37" s="420"/>
      <c r="J37" s="420"/>
      <c r="K37" s="420"/>
      <c r="L37" s="420"/>
    </row>
    <row r="38" spans="1:12">
      <c r="A38" s="221"/>
      <c r="B38" s="236"/>
      <c r="C38" s="237"/>
      <c r="D38" s="237"/>
      <c r="E38" s="237"/>
      <c r="F38" s="237"/>
      <c r="G38" s="238"/>
      <c r="H38" s="420"/>
      <c r="I38" s="420"/>
      <c r="J38" s="420"/>
      <c r="K38" s="420"/>
      <c r="L38" s="420"/>
    </row>
    <row r="39" spans="1:12" ht="15" thickBot="1">
      <c r="A39" s="239">
        <v>30</v>
      </c>
      <c r="B39" s="240" t="s">
        <v>374</v>
      </c>
      <c r="C39" s="152"/>
      <c r="D39" s="153"/>
      <c r="E39" s="153"/>
      <c r="F39" s="154"/>
      <c r="G39" s="241">
        <f>IFERROR(G21/G37,0)</f>
        <v>1.1158904489007238</v>
      </c>
      <c r="H39" s="420"/>
      <c r="I39" s="420"/>
      <c r="J39" s="420"/>
      <c r="K39" s="420"/>
      <c r="L39" s="420"/>
    </row>
    <row r="42" spans="1:12" ht="41.4">
      <c r="B42" s="116" t="s">
        <v>375</v>
      </c>
    </row>
  </sheetData>
  <mergeCells count="2">
    <mergeCell ref="C5:F5"/>
    <mergeCell ref="G5:G6"/>
  </mergeCells>
  <pageMargins left="0.7" right="0.7" top="0.75" bottom="0.75" header="0.3" footer="0.3"/>
  <pageSetup paperSize="9" scale="45" orientation="portrait" horizontalDpi="300" verticalDpi="300" r:id="rId1"/>
  <headerFooter>
    <oddFooter>&amp;C_x000D_&amp;1#&amp;"Aptos"&amp;10&amp;K000000 C4 - EXTERNAL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9"/>
  <sheetViews>
    <sheetView showGridLines="0" zoomScale="80" zoomScaleNormal="80" workbookViewId="0">
      <selection activeCell="C8" sqref="C8:G21"/>
    </sheetView>
  </sheetViews>
  <sheetFormatPr defaultColWidth="9.21875" defaultRowHeight="12"/>
  <cols>
    <col min="1" max="1" width="11.77734375" style="246" bestFit="1" customWidth="1"/>
    <col min="2" max="2" width="105.21875" style="246" bestFit="1" customWidth="1"/>
    <col min="3" max="3" width="14.109375" style="246" bestFit="1" customWidth="1"/>
    <col min="4" max="4" width="15.109375" style="246" bestFit="1" customWidth="1"/>
    <col min="5" max="5" width="17.5546875" style="246" bestFit="1" customWidth="1"/>
    <col min="6" max="6" width="15.109375" style="246" bestFit="1" customWidth="1"/>
    <col min="7" max="7" width="30.44140625" style="246" customWidth="1"/>
    <col min="8" max="8" width="13.88671875" style="246" customWidth="1"/>
    <col min="9" max="16384" width="9.21875" style="246"/>
  </cols>
  <sheetData>
    <row r="1" spans="1:8" ht="13.8">
      <c r="A1" s="244" t="s">
        <v>30</v>
      </c>
      <c r="B1" s="273" t="str">
        <f>'Info '!C2</f>
        <v xml:space="preserve">PASHA Bank Georgia JSC </v>
      </c>
    </row>
    <row r="2" spans="1:8">
      <c r="A2" s="244" t="s">
        <v>31</v>
      </c>
      <c r="B2" s="272">
        <f>'1. key ratios '!B2</f>
        <v>46203</v>
      </c>
    </row>
    <row r="3" spans="1:8">
      <c r="A3" s="245" t="s">
        <v>380</v>
      </c>
    </row>
    <row r="5" spans="1:8" ht="12" customHeight="1">
      <c r="A5" s="817" t="s">
        <v>381</v>
      </c>
      <c r="B5" s="818"/>
      <c r="C5" s="823" t="s">
        <v>382</v>
      </c>
      <c r="D5" s="824"/>
      <c r="E5" s="824"/>
      <c r="F5" s="824"/>
      <c r="G5" s="824"/>
      <c r="H5" s="825"/>
    </row>
    <row r="6" spans="1:8">
      <c r="A6" s="819"/>
      <c r="B6" s="820"/>
      <c r="C6" s="826"/>
      <c r="D6" s="827"/>
      <c r="E6" s="827"/>
      <c r="F6" s="827"/>
      <c r="G6" s="827"/>
      <c r="H6" s="828"/>
    </row>
    <row r="7" spans="1:8">
      <c r="A7" s="821"/>
      <c r="B7" s="822"/>
      <c r="C7" s="271" t="s">
        <v>383</v>
      </c>
      <c r="D7" s="271" t="s">
        <v>384</v>
      </c>
      <c r="E7" s="271" t="s">
        <v>385</v>
      </c>
      <c r="F7" s="271" t="s">
        <v>386</v>
      </c>
      <c r="G7" s="271" t="s">
        <v>387</v>
      </c>
      <c r="H7" s="271" t="s">
        <v>64</v>
      </c>
    </row>
    <row r="8" spans="1:8">
      <c r="A8" s="267">
        <v>1</v>
      </c>
      <c r="B8" s="266" t="s">
        <v>51</v>
      </c>
      <c r="C8" s="445">
        <v>7562051.5872999979</v>
      </c>
      <c r="D8" s="445"/>
      <c r="E8" s="445">
        <v>5469399.9699999997</v>
      </c>
      <c r="F8" s="445"/>
      <c r="G8" s="445">
        <v>21089628.773499999</v>
      </c>
      <c r="H8" s="446">
        <f t="shared" ref="H8:H21" si="0">SUM(C8:G8)</f>
        <v>34121080.330799997</v>
      </c>
    </row>
    <row r="9" spans="1:8">
      <c r="A9" s="267">
        <v>2</v>
      </c>
      <c r="B9" s="266" t="s">
        <v>52</v>
      </c>
      <c r="C9" s="445"/>
      <c r="D9" s="445"/>
      <c r="E9" s="445"/>
      <c r="F9" s="445"/>
      <c r="G9" s="445"/>
      <c r="H9" s="446">
        <f t="shared" si="0"/>
        <v>0</v>
      </c>
    </row>
    <row r="10" spans="1:8">
      <c r="A10" s="267">
        <v>3</v>
      </c>
      <c r="B10" s="266" t="s">
        <v>152</v>
      </c>
      <c r="C10" s="445"/>
      <c r="D10" s="445"/>
      <c r="E10" s="445"/>
      <c r="F10" s="445"/>
      <c r="G10" s="445"/>
      <c r="H10" s="446">
        <f t="shared" si="0"/>
        <v>0</v>
      </c>
    </row>
    <row r="11" spans="1:8">
      <c r="A11" s="267">
        <v>4</v>
      </c>
      <c r="B11" s="266" t="s">
        <v>53</v>
      </c>
      <c r="C11" s="445"/>
      <c r="D11" s="445"/>
      <c r="E11" s="445"/>
      <c r="F11" s="445"/>
      <c r="G11" s="445"/>
      <c r="H11" s="446">
        <f t="shared" si="0"/>
        <v>0</v>
      </c>
    </row>
    <row r="12" spans="1:8">
      <c r="A12" s="267">
        <v>5</v>
      </c>
      <c r="B12" s="266" t="s">
        <v>54</v>
      </c>
      <c r="C12" s="445"/>
      <c r="D12" s="445"/>
      <c r="E12" s="445"/>
      <c r="F12" s="445"/>
      <c r="G12" s="445"/>
      <c r="H12" s="446">
        <f t="shared" si="0"/>
        <v>0</v>
      </c>
    </row>
    <row r="13" spans="1:8">
      <c r="A13" s="267">
        <v>6</v>
      </c>
      <c r="B13" s="266" t="s">
        <v>55</v>
      </c>
      <c r="C13" s="445">
        <v>46679495.129400007</v>
      </c>
      <c r="D13" s="445">
        <v>38204114.113700002</v>
      </c>
      <c r="E13" s="445">
        <v>7026040.3461999996</v>
      </c>
      <c r="F13" s="445"/>
      <c r="G13" s="445"/>
      <c r="H13" s="446">
        <f t="shared" si="0"/>
        <v>91909649.589300022</v>
      </c>
    </row>
    <row r="14" spans="1:8">
      <c r="A14" s="267">
        <v>7</v>
      </c>
      <c r="B14" s="266" t="s">
        <v>56</v>
      </c>
      <c r="C14" s="445"/>
      <c r="D14" s="445">
        <v>59951380.549699999</v>
      </c>
      <c r="E14" s="445">
        <v>231051252.71900001</v>
      </c>
      <c r="F14" s="445">
        <v>223271710.76950002</v>
      </c>
      <c r="G14" s="445"/>
      <c r="H14" s="446">
        <f t="shared" si="0"/>
        <v>514274344.03820002</v>
      </c>
    </row>
    <row r="15" spans="1:8">
      <c r="A15" s="267">
        <v>8</v>
      </c>
      <c r="B15" s="268" t="s">
        <v>57</v>
      </c>
      <c r="C15" s="445"/>
      <c r="D15" s="445"/>
      <c r="E15" s="445"/>
      <c r="F15" s="445"/>
      <c r="G15" s="445"/>
      <c r="H15" s="446">
        <f t="shared" si="0"/>
        <v>0</v>
      </c>
    </row>
    <row r="16" spans="1:8">
      <c r="A16" s="267">
        <v>9</v>
      </c>
      <c r="B16" s="266" t="s">
        <v>58</v>
      </c>
      <c r="C16" s="445"/>
      <c r="D16" s="445"/>
      <c r="E16" s="445"/>
      <c r="F16" s="445"/>
      <c r="G16" s="445"/>
      <c r="H16" s="446">
        <f t="shared" si="0"/>
        <v>0</v>
      </c>
    </row>
    <row r="17" spans="1:8">
      <c r="A17" s="267">
        <v>10</v>
      </c>
      <c r="B17" s="270" t="s">
        <v>395</v>
      </c>
      <c r="C17" s="445"/>
      <c r="D17" s="445">
        <v>694752.63230000006</v>
      </c>
      <c r="E17" s="445">
        <v>958506.04</v>
      </c>
      <c r="F17" s="445">
        <v>9758331.8945000004</v>
      </c>
      <c r="G17" s="445"/>
      <c r="H17" s="446">
        <f t="shared" si="0"/>
        <v>11411590.5668</v>
      </c>
    </row>
    <row r="18" spans="1:8">
      <c r="A18" s="267">
        <v>11</v>
      </c>
      <c r="B18" s="266" t="s">
        <v>60</v>
      </c>
      <c r="C18" s="445"/>
      <c r="D18" s="445"/>
      <c r="E18" s="445"/>
      <c r="F18" s="445"/>
      <c r="G18" s="445"/>
      <c r="H18" s="446">
        <f t="shared" si="0"/>
        <v>0</v>
      </c>
    </row>
    <row r="19" spans="1:8">
      <c r="A19" s="267">
        <v>12</v>
      </c>
      <c r="B19" s="266" t="s">
        <v>61</v>
      </c>
      <c r="C19" s="445"/>
      <c r="D19" s="445"/>
      <c r="E19" s="445"/>
      <c r="F19" s="445"/>
      <c r="G19" s="445"/>
      <c r="H19" s="446">
        <f t="shared" si="0"/>
        <v>0</v>
      </c>
    </row>
    <row r="20" spans="1:8">
      <c r="A20" s="269">
        <v>13</v>
      </c>
      <c r="B20" s="268" t="s">
        <v>144</v>
      </c>
      <c r="C20" s="445"/>
      <c r="D20" s="445"/>
      <c r="E20" s="445"/>
      <c r="F20" s="445"/>
      <c r="G20" s="445"/>
      <c r="H20" s="446">
        <f t="shared" si="0"/>
        <v>0</v>
      </c>
    </row>
    <row r="21" spans="1:8">
      <c r="A21" s="267">
        <v>14</v>
      </c>
      <c r="B21" s="266" t="s">
        <v>63</v>
      </c>
      <c r="C21" s="445">
        <v>3343795.5180000002</v>
      </c>
      <c r="D21" s="445">
        <v>11432203.9154</v>
      </c>
      <c r="E21" s="445"/>
      <c r="F21" s="445"/>
      <c r="G21" s="445">
        <v>1001829.7699999986</v>
      </c>
      <c r="H21" s="446">
        <f t="shared" si="0"/>
        <v>15777829.203400001</v>
      </c>
    </row>
    <row r="22" spans="1:8">
      <c r="A22" s="265">
        <v>15</v>
      </c>
      <c r="B22" s="264" t="s">
        <v>64</v>
      </c>
      <c r="C22" s="446">
        <f>SUM(C18:C21)+SUM(C8:C16)</f>
        <v>57585342.234700002</v>
      </c>
      <c r="D22" s="446">
        <f t="shared" ref="D22:H22" si="1">SUM(D18:D21)+SUM(D8:D16)</f>
        <v>109587698.57879999</v>
      </c>
      <c r="E22" s="446">
        <f t="shared" si="1"/>
        <v>243546693.0352</v>
      </c>
      <c r="F22" s="446">
        <f t="shared" si="1"/>
        <v>223271710.76950002</v>
      </c>
      <c r="G22" s="446">
        <f t="shared" si="1"/>
        <v>22091458.543499999</v>
      </c>
      <c r="H22" s="446">
        <f t="shared" si="1"/>
        <v>656082903.16170001</v>
      </c>
    </row>
    <row r="24" spans="1:8">
      <c r="C24" s="447"/>
      <c r="D24" s="447"/>
      <c r="E24" s="447"/>
      <c r="F24" s="447"/>
      <c r="G24" s="447"/>
      <c r="H24" s="447"/>
    </row>
    <row r="25" spans="1:8">
      <c r="C25" s="447"/>
      <c r="D25" s="447"/>
      <c r="E25" s="447"/>
      <c r="F25" s="447"/>
      <c r="G25" s="447"/>
      <c r="H25" s="447"/>
    </row>
    <row r="26" spans="1:8" ht="24">
      <c r="B26" s="249" t="s">
        <v>482</v>
      </c>
      <c r="C26" s="447"/>
      <c r="D26" s="447"/>
      <c r="E26" s="447"/>
      <c r="F26" s="447"/>
      <c r="G26" s="447"/>
      <c r="H26" s="447"/>
    </row>
    <row r="27" spans="1:8">
      <c r="C27" s="447"/>
      <c r="D27" s="447"/>
      <c r="E27" s="447"/>
      <c r="F27" s="447"/>
      <c r="G27" s="447"/>
      <c r="H27" s="447"/>
    </row>
    <row r="28" spans="1:8">
      <c r="C28" s="447"/>
      <c r="D28" s="447"/>
      <c r="E28" s="447"/>
      <c r="F28" s="447"/>
      <c r="G28" s="447"/>
      <c r="H28" s="447"/>
    </row>
    <row r="29" spans="1:8">
      <c r="C29" s="447"/>
      <c r="D29" s="447"/>
      <c r="E29" s="447"/>
      <c r="F29" s="447"/>
      <c r="G29" s="447"/>
      <c r="H29" s="447"/>
    </row>
    <row r="30" spans="1:8">
      <c r="C30" s="447"/>
      <c r="D30" s="447"/>
      <c r="E30" s="447"/>
      <c r="F30" s="447"/>
      <c r="G30" s="447"/>
      <c r="H30" s="447"/>
    </row>
    <row r="31" spans="1:8">
      <c r="C31" s="447"/>
      <c r="D31" s="447"/>
      <c r="E31" s="447"/>
      <c r="F31" s="447"/>
      <c r="G31" s="447"/>
      <c r="H31" s="447"/>
    </row>
    <row r="32" spans="1:8">
      <c r="C32" s="447"/>
      <c r="D32" s="447"/>
      <c r="E32" s="447"/>
      <c r="F32" s="447"/>
      <c r="G32" s="447"/>
      <c r="H32" s="447"/>
    </row>
    <row r="33" spans="3:8">
      <c r="C33" s="447"/>
      <c r="D33" s="447"/>
      <c r="E33" s="447"/>
      <c r="F33" s="447"/>
      <c r="G33" s="447"/>
      <c r="H33" s="447"/>
    </row>
    <row r="34" spans="3:8">
      <c r="C34" s="447"/>
      <c r="D34" s="447"/>
      <c r="E34" s="447"/>
      <c r="F34" s="447"/>
      <c r="G34" s="447"/>
      <c r="H34" s="447"/>
    </row>
    <row r="35" spans="3:8">
      <c r="C35" s="447"/>
      <c r="D35" s="447"/>
      <c r="E35" s="447"/>
      <c r="F35" s="447"/>
      <c r="G35" s="447"/>
      <c r="H35" s="447"/>
    </row>
    <row r="36" spans="3:8">
      <c r="C36" s="447"/>
      <c r="D36" s="447"/>
      <c r="E36" s="447"/>
      <c r="F36" s="447"/>
      <c r="G36" s="447"/>
      <c r="H36" s="447"/>
    </row>
    <row r="37" spans="3:8">
      <c r="C37" s="447"/>
      <c r="D37" s="447"/>
      <c r="E37" s="447"/>
      <c r="F37" s="447"/>
      <c r="G37" s="447"/>
      <c r="H37" s="447"/>
    </row>
    <row r="38" spans="3:8">
      <c r="C38" s="447"/>
      <c r="D38" s="447"/>
      <c r="E38" s="447"/>
      <c r="F38" s="447"/>
      <c r="G38" s="447"/>
      <c r="H38" s="447"/>
    </row>
    <row r="39" spans="3:8">
      <c r="C39" s="447"/>
      <c r="D39" s="447"/>
      <c r="E39" s="447"/>
      <c r="F39" s="447"/>
      <c r="G39" s="447"/>
      <c r="H39" s="447"/>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scale="39" orientation="portrait" horizontalDpi="300" verticalDpi="300" r:id="rId1"/>
  <headerFooter>
    <oddFooter>&amp;C_x000D_&amp;1#&amp;"Aptos"&amp;10&amp;K000000 C4 - EXTERNAL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43"/>
  <sheetViews>
    <sheetView showGridLines="0" zoomScale="80" zoomScaleNormal="80" workbookViewId="0">
      <selection activeCell="C34" sqref="C34"/>
    </sheetView>
  </sheetViews>
  <sheetFormatPr defaultColWidth="9.21875" defaultRowHeight="12"/>
  <cols>
    <col min="1" max="1" width="11.77734375" style="274" bestFit="1" customWidth="1"/>
    <col min="2" max="2" width="86.77734375" style="246" customWidth="1"/>
    <col min="3" max="4" width="31.5546875" style="246" customWidth="1"/>
    <col min="5" max="5" width="15.109375" style="246" bestFit="1" customWidth="1"/>
    <col min="6" max="6" width="11.77734375" style="246" bestFit="1" customWidth="1"/>
    <col min="7" max="7" width="21.5546875" style="246" bestFit="1" customWidth="1"/>
    <col min="8" max="8" width="41.44140625" style="246" customWidth="1"/>
    <col min="9" max="16384" width="9.21875" style="246"/>
  </cols>
  <sheetData>
    <row r="1" spans="1:8" ht="13.8">
      <c r="A1" s="244" t="s">
        <v>30</v>
      </c>
      <c r="B1" s="273" t="str">
        <f>'Info '!C2</f>
        <v xml:space="preserve">PASHA Bank Georgia JSC </v>
      </c>
      <c r="C1" s="286"/>
      <c r="D1" s="286"/>
      <c r="E1" s="286"/>
      <c r="F1" s="286"/>
      <c r="G1" s="286"/>
      <c r="H1" s="286"/>
    </row>
    <row r="2" spans="1:8">
      <c r="A2" s="244" t="s">
        <v>31</v>
      </c>
      <c r="B2" s="272">
        <f>'1. key ratios '!B2</f>
        <v>46203</v>
      </c>
      <c r="C2" s="286"/>
      <c r="D2" s="286"/>
      <c r="E2" s="286"/>
      <c r="F2" s="286"/>
      <c r="G2" s="286"/>
      <c r="H2" s="286"/>
    </row>
    <row r="3" spans="1:8">
      <c r="A3" s="245" t="s">
        <v>388</v>
      </c>
      <c r="B3" s="286"/>
      <c r="C3" s="286"/>
      <c r="D3" s="286"/>
      <c r="E3" s="286"/>
      <c r="F3" s="286"/>
      <c r="G3" s="286"/>
      <c r="H3" s="286"/>
    </row>
    <row r="4" spans="1:8">
      <c r="A4" s="287"/>
      <c r="B4" s="286"/>
      <c r="C4" s="285" t="s">
        <v>0</v>
      </c>
      <c r="D4" s="285" t="s">
        <v>1</v>
      </c>
      <c r="E4" s="285" t="s">
        <v>2</v>
      </c>
      <c r="F4" s="285" t="s">
        <v>3</v>
      </c>
      <c r="G4" s="285" t="s">
        <v>4</v>
      </c>
      <c r="H4" s="285" t="s">
        <v>5</v>
      </c>
    </row>
    <row r="5" spans="1:8" ht="34.049999999999997" customHeight="1">
      <c r="A5" s="817" t="s">
        <v>389</v>
      </c>
      <c r="B5" s="818"/>
      <c r="C5" s="831" t="s">
        <v>390</v>
      </c>
      <c r="D5" s="831"/>
      <c r="E5" s="831" t="s">
        <v>627</v>
      </c>
      <c r="F5" s="829" t="s">
        <v>391</v>
      </c>
      <c r="G5" s="829" t="s">
        <v>392</v>
      </c>
      <c r="H5" s="283" t="s">
        <v>626</v>
      </c>
    </row>
    <row r="6" spans="1:8" ht="24">
      <c r="A6" s="821"/>
      <c r="B6" s="822"/>
      <c r="C6" s="284" t="s">
        <v>393</v>
      </c>
      <c r="D6" s="284" t="s">
        <v>394</v>
      </c>
      <c r="E6" s="831"/>
      <c r="F6" s="830"/>
      <c r="G6" s="830"/>
      <c r="H6" s="283" t="s">
        <v>625</v>
      </c>
    </row>
    <row r="7" spans="1:8">
      <c r="A7" s="281">
        <v>1</v>
      </c>
      <c r="B7" s="266" t="s">
        <v>51</v>
      </c>
      <c r="C7" s="448"/>
      <c r="D7" s="448">
        <v>34121080.330799997</v>
      </c>
      <c r="E7" s="448"/>
      <c r="F7" s="448"/>
      <c r="G7" s="448"/>
      <c r="H7" s="449">
        <f>C7+D7-E7-F7</f>
        <v>34121080.330799997</v>
      </c>
    </row>
    <row r="8" spans="1:8">
      <c r="A8" s="281">
        <v>2</v>
      </c>
      <c r="B8" s="266" t="s">
        <v>52</v>
      </c>
      <c r="C8" s="448"/>
      <c r="D8" s="448"/>
      <c r="E8" s="448"/>
      <c r="F8" s="448"/>
      <c r="G8" s="448"/>
      <c r="H8" s="449">
        <f t="shared" ref="H8:H20" si="0">C8+D8-E8-F8</f>
        <v>0</v>
      </c>
    </row>
    <row r="9" spans="1:8">
      <c r="A9" s="281">
        <v>3</v>
      </c>
      <c r="B9" s="266" t="s">
        <v>152</v>
      </c>
      <c r="C9" s="448"/>
      <c r="D9" s="448"/>
      <c r="E9" s="448"/>
      <c r="F9" s="448"/>
      <c r="G9" s="448"/>
      <c r="H9" s="449">
        <f t="shared" si="0"/>
        <v>0</v>
      </c>
    </row>
    <row r="10" spans="1:8">
      <c r="A10" s="281">
        <v>4</v>
      </c>
      <c r="B10" s="266" t="s">
        <v>53</v>
      </c>
      <c r="C10" s="448"/>
      <c r="D10" s="448"/>
      <c r="E10" s="448"/>
      <c r="F10" s="448"/>
      <c r="G10" s="448"/>
      <c r="H10" s="449">
        <f t="shared" si="0"/>
        <v>0</v>
      </c>
    </row>
    <row r="11" spans="1:8">
      <c r="A11" s="281">
        <v>5</v>
      </c>
      <c r="B11" s="266" t="s">
        <v>54</v>
      </c>
      <c r="C11" s="448"/>
      <c r="D11" s="448"/>
      <c r="E11" s="448"/>
      <c r="F11" s="448"/>
      <c r="G11" s="448"/>
      <c r="H11" s="449">
        <f t="shared" si="0"/>
        <v>0</v>
      </c>
    </row>
    <row r="12" spans="1:8">
      <c r="A12" s="281">
        <v>6</v>
      </c>
      <c r="B12" s="266" t="s">
        <v>55</v>
      </c>
      <c r="C12" s="448"/>
      <c r="D12" s="448">
        <v>92007347.793899998</v>
      </c>
      <c r="E12" s="448">
        <v>97698.204599999997</v>
      </c>
      <c r="F12" s="448"/>
      <c r="G12" s="448"/>
      <c r="H12" s="449">
        <f t="shared" si="0"/>
        <v>91909649.589299992</v>
      </c>
    </row>
    <row r="13" spans="1:8">
      <c r="A13" s="281">
        <v>7</v>
      </c>
      <c r="B13" s="266" t="s">
        <v>56</v>
      </c>
      <c r="C13" s="448">
        <v>25100966.3369</v>
      </c>
      <c r="D13" s="448">
        <v>498236497.97689998</v>
      </c>
      <c r="E13" s="448">
        <v>9123015.6033999994</v>
      </c>
      <c r="F13" s="448"/>
      <c r="G13" s="448"/>
      <c r="H13" s="449">
        <f t="shared" si="0"/>
        <v>514214448.71039999</v>
      </c>
    </row>
    <row r="14" spans="1:8">
      <c r="A14" s="281">
        <v>8</v>
      </c>
      <c r="B14" s="268" t="s">
        <v>57</v>
      </c>
      <c r="C14" s="448">
        <v>15336.0998</v>
      </c>
      <c r="D14" s="448">
        <v>58481.9692</v>
      </c>
      <c r="E14" s="448">
        <v>13922.7412</v>
      </c>
      <c r="F14" s="448"/>
      <c r="G14" s="448"/>
      <c r="H14" s="449">
        <f t="shared" si="0"/>
        <v>59895.327799999999</v>
      </c>
    </row>
    <row r="15" spans="1:8">
      <c r="A15" s="281">
        <v>9</v>
      </c>
      <c r="B15" s="266" t="s">
        <v>58</v>
      </c>
      <c r="C15" s="448"/>
      <c r="D15" s="448"/>
      <c r="E15" s="448"/>
      <c r="F15" s="448"/>
      <c r="G15" s="448"/>
      <c r="H15" s="449">
        <f t="shared" si="0"/>
        <v>0</v>
      </c>
    </row>
    <row r="16" spans="1:8">
      <c r="A16" s="281">
        <v>10</v>
      </c>
      <c r="B16" s="270" t="s">
        <v>395</v>
      </c>
      <c r="C16" s="448">
        <v>15323872.2839</v>
      </c>
      <c r="D16" s="448">
        <v>0</v>
      </c>
      <c r="E16" s="448">
        <v>3911950.2371999999</v>
      </c>
      <c r="F16" s="448"/>
      <c r="G16" s="448"/>
      <c r="H16" s="449">
        <f t="shared" si="0"/>
        <v>11411922.046700001</v>
      </c>
    </row>
    <row r="17" spans="1:8">
      <c r="A17" s="281">
        <v>11</v>
      </c>
      <c r="B17" s="266" t="s">
        <v>60</v>
      </c>
      <c r="C17" s="448"/>
      <c r="D17" s="448"/>
      <c r="E17" s="448"/>
      <c r="F17" s="448"/>
      <c r="G17" s="448"/>
      <c r="H17" s="449">
        <f t="shared" si="0"/>
        <v>0</v>
      </c>
    </row>
    <row r="18" spans="1:8">
      <c r="A18" s="281">
        <v>12</v>
      </c>
      <c r="B18" s="266" t="s">
        <v>61</v>
      </c>
      <c r="C18" s="448"/>
      <c r="D18" s="448"/>
      <c r="E18" s="448"/>
      <c r="F18" s="448"/>
      <c r="G18" s="448"/>
      <c r="H18" s="449">
        <f t="shared" si="0"/>
        <v>0</v>
      </c>
    </row>
    <row r="19" spans="1:8">
      <c r="A19" s="282">
        <v>13</v>
      </c>
      <c r="B19" s="268" t="s">
        <v>144</v>
      </c>
      <c r="C19" s="448"/>
      <c r="D19" s="448"/>
      <c r="E19" s="448"/>
      <c r="F19" s="448"/>
      <c r="G19" s="448"/>
      <c r="H19" s="449">
        <f t="shared" si="0"/>
        <v>0</v>
      </c>
    </row>
    <row r="20" spans="1:8">
      <c r="A20" s="281">
        <v>14</v>
      </c>
      <c r="B20" s="266" t="s">
        <v>63</v>
      </c>
      <c r="C20" s="448"/>
      <c r="D20" s="448">
        <v>20858967.223300003</v>
      </c>
      <c r="E20" s="448"/>
      <c r="F20" s="448"/>
      <c r="G20" s="448"/>
      <c r="H20" s="449">
        <f t="shared" si="0"/>
        <v>20858967.223300003</v>
      </c>
    </row>
    <row r="21" spans="1:8" s="278" customFormat="1">
      <c r="A21" s="280">
        <v>15</v>
      </c>
      <c r="B21" s="279" t="s">
        <v>64</v>
      </c>
      <c r="C21" s="450">
        <f t="shared" ref="C21:H21" si="1">SUM(C7:C15)+SUM(C17:C20)</f>
        <v>25116302.436700001</v>
      </c>
      <c r="D21" s="450">
        <f t="shared" si="1"/>
        <v>645282375.29409993</v>
      </c>
      <c r="E21" s="450">
        <f t="shared" si="1"/>
        <v>9234636.5492000002</v>
      </c>
      <c r="F21" s="450">
        <f t="shared" si="1"/>
        <v>0</v>
      </c>
      <c r="G21" s="450">
        <f t="shared" si="1"/>
        <v>0</v>
      </c>
      <c r="H21" s="449">
        <f t="shared" si="1"/>
        <v>661164041.18159997</v>
      </c>
    </row>
    <row r="22" spans="1:8">
      <c r="A22" s="277">
        <v>16</v>
      </c>
      <c r="B22" s="276" t="s">
        <v>396</v>
      </c>
      <c r="C22" s="448">
        <v>24907351.006700002</v>
      </c>
      <c r="D22" s="448">
        <v>397222953.15829998</v>
      </c>
      <c r="E22" s="448">
        <v>8328172.0193999996</v>
      </c>
      <c r="F22" s="448"/>
      <c r="G22" s="448"/>
      <c r="H22" s="449">
        <f>C22+D22-E22-F22</f>
        <v>413802132.14559996</v>
      </c>
    </row>
    <row r="23" spans="1:8">
      <c r="A23" s="277">
        <v>17</v>
      </c>
      <c r="B23" s="276" t="s">
        <v>397</v>
      </c>
      <c r="C23" s="448"/>
      <c r="D23" s="448">
        <v>101006058.0448</v>
      </c>
      <c r="E23" s="448">
        <v>621588.08499999996</v>
      </c>
      <c r="F23" s="448"/>
      <c r="G23" s="448"/>
      <c r="H23" s="449">
        <f>C23+D23-E23-F23</f>
        <v>100384469.9598</v>
      </c>
    </row>
    <row r="25" spans="1:8">
      <c r="C25" s="447"/>
      <c r="D25" s="447"/>
      <c r="E25" s="447"/>
      <c r="F25" s="447"/>
      <c r="G25" s="447"/>
      <c r="H25" s="447"/>
    </row>
    <row r="26" spans="1:8" ht="42.45" customHeight="1">
      <c r="B26" s="249" t="s">
        <v>482</v>
      </c>
      <c r="C26" s="447"/>
      <c r="D26" s="447"/>
      <c r="E26" s="447"/>
      <c r="F26" s="447"/>
      <c r="G26" s="447"/>
      <c r="H26" s="447"/>
    </row>
    <row r="27" spans="1:8">
      <c r="C27" s="447"/>
      <c r="D27" s="447"/>
      <c r="E27" s="447"/>
      <c r="F27" s="447"/>
      <c r="G27" s="447"/>
      <c r="H27" s="447"/>
    </row>
    <row r="28" spans="1:8">
      <c r="C28" s="447"/>
      <c r="D28" s="447"/>
      <c r="E28" s="447"/>
      <c r="F28" s="447"/>
      <c r="G28" s="447"/>
      <c r="H28" s="447"/>
    </row>
    <row r="29" spans="1:8">
      <c r="C29" s="447"/>
      <c r="D29" s="447"/>
      <c r="E29" s="447"/>
      <c r="F29" s="447"/>
      <c r="G29" s="447"/>
      <c r="H29" s="447"/>
    </row>
    <row r="30" spans="1:8">
      <c r="C30" s="447"/>
      <c r="D30" s="447"/>
      <c r="E30" s="447"/>
      <c r="F30" s="447"/>
      <c r="G30" s="447"/>
      <c r="H30" s="447"/>
    </row>
    <row r="31" spans="1:8">
      <c r="C31" s="447"/>
      <c r="D31" s="447"/>
      <c r="E31" s="447"/>
      <c r="F31" s="447"/>
      <c r="G31" s="447"/>
      <c r="H31" s="447"/>
    </row>
    <row r="32" spans="1:8">
      <c r="C32" s="447"/>
      <c r="D32" s="447"/>
      <c r="E32" s="447"/>
      <c r="F32" s="447"/>
      <c r="G32" s="447"/>
      <c r="H32" s="447"/>
    </row>
    <row r="33" spans="3:8">
      <c r="C33" s="447"/>
      <c r="D33" s="447"/>
      <c r="E33" s="447"/>
      <c r="F33" s="447"/>
      <c r="G33" s="447"/>
      <c r="H33" s="447"/>
    </row>
    <row r="34" spans="3:8">
      <c r="C34" s="447"/>
      <c r="D34" s="447"/>
      <c r="E34" s="447"/>
      <c r="F34" s="447"/>
      <c r="G34" s="447"/>
      <c r="H34" s="447"/>
    </row>
    <row r="35" spans="3:8">
      <c r="C35" s="447"/>
      <c r="D35" s="447"/>
      <c r="E35" s="447"/>
      <c r="F35" s="447"/>
      <c r="G35" s="447"/>
      <c r="H35" s="447"/>
    </row>
    <row r="36" spans="3:8">
      <c r="C36" s="447"/>
      <c r="D36" s="447"/>
      <c r="E36" s="447"/>
      <c r="F36" s="447"/>
      <c r="G36" s="447"/>
      <c r="H36" s="447"/>
    </row>
    <row r="37" spans="3:8">
      <c r="C37" s="447"/>
      <c r="D37" s="447"/>
      <c r="E37" s="447"/>
      <c r="F37" s="447"/>
      <c r="G37" s="447"/>
      <c r="H37" s="447"/>
    </row>
    <row r="38" spans="3:8">
      <c r="C38" s="447"/>
      <c r="D38" s="447"/>
      <c r="E38" s="447"/>
      <c r="F38" s="447"/>
      <c r="G38" s="447"/>
      <c r="H38" s="447"/>
    </row>
    <row r="39" spans="3:8">
      <c r="C39" s="447"/>
      <c r="D39" s="447"/>
      <c r="E39" s="447"/>
      <c r="F39" s="447"/>
      <c r="G39" s="447"/>
      <c r="H39" s="447"/>
    </row>
    <row r="40" spans="3:8">
      <c r="C40" s="447"/>
      <c r="D40" s="447"/>
      <c r="E40" s="447"/>
      <c r="F40" s="447"/>
      <c r="G40" s="447"/>
      <c r="H40" s="447"/>
    </row>
    <row r="41" spans="3:8">
      <c r="C41" s="447"/>
      <c r="D41" s="447"/>
      <c r="E41" s="447"/>
      <c r="F41" s="447"/>
      <c r="G41" s="447"/>
      <c r="H41" s="447"/>
    </row>
    <row r="42" spans="3:8">
      <c r="C42" s="447"/>
      <c r="D42" s="447"/>
      <c r="E42" s="447"/>
      <c r="F42" s="447"/>
      <c r="G42" s="447"/>
      <c r="H42" s="447"/>
    </row>
    <row r="43" spans="3:8">
      <c r="C43" s="447"/>
      <c r="D43" s="447"/>
      <c r="E43" s="447"/>
      <c r="F43" s="447"/>
      <c r="G43" s="447"/>
      <c r="H43" s="447"/>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paperSize="9" scale="34" orientation="portrait" horizontalDpi="300" verticalDpi="300" r:id="rId1"/>
  <headerFooter>
    <oddFooter>&amp;C_x000D_&amp;1#&amp;"Aptos"&amp;10&amp;K000000 C4 - EXTERNAL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65"/>
  <sheetViews>
    <sheetView showGridLines="0" zoomScale="80" zoomScaleNormal="80" workbookViewId="0">
      <selection activeCell="A41" sqref="A41"/>
    </sheetView>
  </sheetViews>
  <sheetFormatPr defaultColWidth="9.21875" defaultRowHeight="12"/>
  <cols>
    <col min="1" max="1" width="11" style="246" bestFit="1" customWidth="1"/>
    <col min="2" max="2" width="93.44140625" style="246" customWidth="1"/>
    <col min="3" max="4" width="35" style="246" customWidth="1"/>
    <col min="5" max="5" width="15.109375" style="246" bestFit="1" customWidth="1"/>
    <col min="6" max="6" width="11.77734375" style="246" bestFit="1" customWidth="1"/>
    <col min="7" max="7" width="22" style="246" customWidth="1"/>
    <col min="8" max="8" width="19.88671875" style="246" customWidth="1"/>
    <col min="9" max="16384" width="9.21875" style="246"/>
  </cols>
  <sheetData>
    <row r="1" spans="1:8" ht="13.8">
      <c r="A1" s="244" t="s">
        <v>30</v>
      </c>
      <c r="B1" s="273" t="str">
        <f>'Info '!C2</f>
        <v xml:space="preserve">PASHA Bank Georgia JSC </v>
      </c>
      <c r="C1" s="286"/>
      <c r="D1" s="286"/>
      <c r="E1" s="286"/>
      <c r="F1" s="286"/>
      <c r="G1" s="286"/>
      <c r="H1" s="286"/>
    </row>
    <row r="2" spans="1:8">
      <c r="A2" s="244" t="s">
        <v>31</v>
      </c>
      <c r="B2" s="272">
        <f>'1. key ratios '!B2</f>
        <v>46203</v>
      </c>
      <c r="C2" s="286"/>
      <c r="D2" s="286"/>
      <c r="E2" s="286"/>
      <c r="F2" s="286"/>
      <c r="G2" s="286"/>
      <c r="H2" s="286"/>
    </row>
    <row r="3" spans="1:8">
      <c r="A3" s="245" t="s">
        <v>398</v>
      </c>
      <c r="B3" s="286"/>
      <c r="C3" s="286"/>
      <c r="D3" s="286"/>
      <c r="E3" s="286"/>
      <c r="F3" s="286"/>
      <c r="G3" s="286"/>
      <c r="H3" s="286"/>
    </row>
    <row r="4" spans="1:8">
      <c r="A4" s="287"/>
      <c r="B4" s="286"/>
      <c r="C4" s="285" t="s">
        <v>0</v>
      </c>
      <c r="D4" s="285" t="s">
        <v>1</v>
      </c>
      <c r="E4" s="285" t="s">
        <v>2</v>
      </c>
      <c r="F4" s="285" t="s">
        <v>3</v>
      </c>
      <c r="G4" s="285" t="s">
        <v>4</v>
      </c>
      <c r="H4" s="285" t="s">
        <v>5</v>
      </c>
    </row>
    <row r="5" spans="1:8" ht="41.55" customHeight="1">
      <c r="A5" s="817" t="s">
        <v>389</v>
      </c>
      <c r="B5" s="818"/>
      <c r="C5" s="831" t="s">
        <v>390</v>
      </c>
      <c r="D5" s="831"/>
      <c r="E5" s="831" t="s">
        <v>627</v>
      </c>
      <c r="F5" s="829" t="s">
        <v>391</v>
      </c>
      <c r="G5" s="829" t="s">
        <v>392</v>
      </c>
      <c r="H5" s="283" t="s">
        <v>626</v>
      </c>
    </row>
    <row r="6" spans="1:8" ht="24">
      <c r="A6" s="821"/>
      <c r="B6" s="822"/>
      <c r="C6" s="284" t="s">
        <v>393</v>
      </c>
      <c r="D6" s="284" t="s">
        <v>394</v>
      </c>
      <c r="E6" s="831"/>
      <c r="F6" s="830"/>
      <c r="G6" s="830"/>
      <c r="H6" s="283" t="s">
        <v>625</v>
      </c>
    </row>
    <row r="7" spans="1:8">
      <c r="A7" s="275">
        <v>1</v>
      </c>
      <c r="B7" s="290" t="s">
        <v>486</v>
      </c>
      <c r="C7" s="448">
        <v>0</v>
      </c>
      <c r="D7" s="448">
        <v>34720682.000799999</v>
      </c>
      <c r="E7" s="448">
        <v>1209.3630000000001</v>
      </c>
      <c r="F7" s="448"/>
      <c r="G7" s="448"/>
      <c r="H7" s="449">
        <f t="shared" ref="H7:H34" si="0">C7+D7-E7-F7</f>
        <v>34719472.637800001</v>
      </c>
    </row>
    <row r="8" spans="1:8">
      <c r="A8" s="275">
        <v>2</v>
      </c>
      <c r="B8" s="290" t="s">
        <v>399</v>
      </c>
      <c r="C8" s="448">
        <v>172579.89</v>
      </c>
      <c r="D8" s="448">
        <v>201487272.36089998</v>
      </c>
      <c r="E8" s="448">
        <v>741310.35110000009</v>
      </c>
      <c r="F8" s="448"/>
      <c r="G8" s="448"/>
      <c r="H8" s="449">
        <f t="shared" si="0"/>
        <v>200918541.89979997</v>
      </c>
    </row>
    <row r="9" spans="1:8">
      <c r="A9" s="275">
        <v>3</v>
      </c>
      <c r="B9" s="290" t="s">
        <v>400</v>
      </c>
      <c r="C9" s="448"/>
      <c r="D9" s="448"/>
      <c r="E9" s="448"/>
      <c r="F9" s="448"/>
      <c r="G9" s="448"/>
      <c r="H9" s="449">
        <f t="shared" si="0"/>
        <v>0</v>
      </c>
    </row>
    <row r="10" spans="1:8">
      <c r="A10" s="275">
        <v>4</v>
      </c>
      <c r="B10" s="290" t="s">
        <v>487</v>
      </c>
      <c r="C10" s="448">
        <v>1645630.7605999999</v>
      </c>
      <c r="D10" s="448">
        <v>41311703.952500001</v>
      </c>
      <c r="E10" s="448">
        <v>419467.33649999998</v>
      </c>
      <c r="F10" s="448"/>
      <c r="G10" s="448"/>
      <c r="H10" s="449">
        <f t="shared" si="0"/>
        <v>42537867.376600005</v>
      </c>
    </row>
    <row r="11" spans="1:8">
      <c r="A11" s="275">
        <v>5</v>
      </c>
      <c r="B11" s="290" t="s">
        <v>401</v>
      </c>
      <c r="C11" s="448">
        <v>0</v>
      </c>
      <c r="D11" s="448">
        <v>48117795.831500001</v>
      </c>
      <c r="E11" s="448">
        <v>122841.32610000001</v>
      </c>
      <c r="F11" s="448"/>
      <c r="G11" s="448"/>
      <c r="H11" s="449">
        <f t="shared" si="0"/>
        <v>47994954.505400002</v>
      </c>
    </row>
    <row r="12" spans="1:8">
      <c r="A12" s="275">
        <v>6</v>
      </c>
      <c r="B12" s="290" t="s">
        <v>402</v>
      </c>
      <c r="C12" s="448">
        <v>0</v>
      </c>
      <c r="D12" s="448">
        <v>3231913.75</v>
      </c>
      <c r="E12" s="448">
        <v>23790.5281</v>
      </c>
      <c r="F12" s="448"/>
      <c r="G12" s="448"/>
      <c r="H12" s="449">
        <f t="shared" si="0"/>
        <v>3208123.2218999998</v>
      </c>
    </row>
    <row r="13" spans="1:8">
      <c r="A13" s="275">
        <v>7</v>
      </c>
      <c r="B13" s="290" t="s">
        <v>403</v>
      </c>
      <c r="C13" s="448">
        <v>622.42999999999995</v>
      </c>
      <c r="D13" s="448">
        <v>31377580.032600001</v>
      </c>
      <c r="E13" s="448">
        <v>313222.20429999998</v>
      </c>
      <c r="F13" s="448"/>
      <c r="G13" s="448"/>
      <c r="H13" s="449">
        <f t="shared" si="0"/>
        <v>31064980.258299999</v>
      </c>
    </row>
    <row r="14" spans="1:8">
      <c r="A14" s="275">
        <v>8</v>
      </c>
      <c r="B14" s="290" t="s">
        <v>404</v>
      </c>
      <c r="C14" s="448">
        <v>1032266.8674</v>
      </c>
      <c r="D14" s="448">
        <v>19116493.191399999</v>
      </c>
      <c r="E14" s="448">
        <v>202401.71660000001</v>
      </c>
      <c r="F14" s="448"/>
      <c r="G14" s="448"/>
      <c r="H14" s="449">
        <f t="shared" si="0"/>
        <v>19946358.3422</v>
      </c>
    </row>
    <row r="15" spans="1:8">
      <c r="A15" s="275">
        <v>9</v>
      </c>
      <c r="B15" s="290" t="s">
        <v>405</v>
      </c>
      <c r="C15" s="448">
        <v>0</v>
      </c>
      <c r="D15" s="448">
        <v>3241446.8113000002</v>
      </c>
      <c r="E15" s="448">
        <v>8827.3083000000006</v>
      </c>
      <c r="F15" s="448"/>
      <c r="G15" s="448"/>
      <c r="H15" s="449">
        <f t="shared" si="0"/>
        <v>3232619.503</v>
      </c>
    </row>
    <row r="16" spans="1:8">
      <c r="A16" s="275">
        <v>10</v>
      </c>
      <c r="B16" s="290" t="s">
        <v>406</v>
      </c>
      <c r="C16" s="448">
        <v>0</v>
      </c>
      <c r="D16" s="448">
        <v>1183304.0451</v>
      </c>
      <c r="E16" s="448">
        <v>3618.0140999999999</v>
      </c>
      <c r="F16" s="448"/>
      <c r="G16" s="448"/>
      <c r="H16" s="449">
        <f t="shared" si="0"/>
        <v>1179686.031</v>
      </c>
    </row>
    <row r="17" spans="1:8">
      <c r="A17" s="275">
        <v>11</v>
      </c>
      <c r="B17" s="290" t="s">
        <v>407</v>
      </c>
      <c r="C17" s="448"/>
      <c r="D17" s="448"/>
      <c r="E17" s="448"/>
      <c r="F17" s="448"/>
      <c r="G17" s="448"/>
      <c r="H17" s="449">
        <f t="shared" si="0"/>
        <v>0</v>
      </c>
    </row>
    <row r="18" spans="1:8">
      <c r="A18" s="275">
        <v>12</v>
      </c>
      <c r="B18" s="290" t="s">
        <v>408</v>
      </c>
      <c r="C18" s="448">
        <v>639.67999999999995</v>
      </c>
      <c r="D18" s="448">
        <v>35360261.541299999</v>
      </c>
      <c r="E18" s="448">
        <v>242185.43160000001</v>
      </c>
      <c r="F18" s="448"/>
      <c r="G18" s="448"/>
      <c r="H18" s="449">
        <f t="shared" si="0"/>
        <v>35118715.789700001</v>
      </c>
    </row>
    <row r="19" spans="1:8">
      <c r="A19" s="275">
        <v>13</v>
      </c>
      <c r="B19" s="290" t="s">
        <v>409</v>
      </c>
      <c r="C19" s="448">
        <v>437875.37150000001</v>
      </c>
      <c r="D19" s="448">
        <v>6021428.0344000002</v>
      </c>
      <c r="E19" s="448">
        <v>100997.0966</v>
      </c>
      <c r="F19" s="448"/>
      <c r="G19" s="448"/>
      <c r="H19" s="449">
        <f t="shared" si="0"/>
        <v>6358306.3093000008</v>
      </c>
    </row>
    <row r="20" spans="1:8">
      <c r="A20" s="275">
        <v>14</v>
      </c>
      <c r="B20" s="290" t="s">
        <v>410</v>
      </c>
      <c r="C20" s="448">
        <v>8854345.7786999997</v>
      </c>
      <c r="D20" s="448">
        <v>4998338.8726000004</v>
      </c>
      <c r="E20" s="448">
        <v>1974826.8011</v>
      </c>
      <c r="F20" s="448"/>
      <c r="G20" s="448"/>
      <c r="H20" s="449">
        <f t="shared" si="0"/>
        <v>11877857.850199999</v>
      </c>
    </row>
    <row r="21" spans="1:8">
      <c r="A21" s="275">
        <v>15</v>
      </c>
      <c r="B21" s="290" t="s">
        <v>411</v>
      </c>
      <c r="C21" s="448">
        <v>9489721.1456000004</v>
      </c>
      <c r="D21" s="448">
        <v>14450173.793500001</v>
      </c>
      <c r="E21" s="448">
        <v>1611300.3524</v>
      </c>
      <c r="F21" s="448"/>
      <c r="G21" s="448"/>
      <c r="H21" s="449">
        <f t="shared" si="0"/>
        <v>22328594.5867</v>
      </c>
    </row>
    <row r="22" spans="1:8">
      <c r="A22" s="275">
        <v>16</v>
      </c>
      <c r="B22" s="290" t="s">
        <v>412</v>
      </c>
      <c r="C22" s="448"/>
      <c r="D22" s="448"/>
      <c r="E22" s="448"/>
      <c r="F22" s="448"/>
      <c r="G22" s="448"/>
      <c r="H22" s="449">
        <f t="shared" si="0"/>
        <v>0</v>
      </c>
    </row>
    <row r="23" spans="1:8">
      <c r="A23" s="275">
        <v>17</v>
      </c>
      <c r="B23" s="290" t="s">
        <v>490</v>
      </c>
      <c r="C23" s="448">
        <v>0</v>
      </c>
      <c r="D23" s="448">
        <v>8515132.7473000009</v>
      </c>
      <c r="E23" s="448">
        <v>8274.1088999999993</v>
      </c>
      <c r="F23" s="448"/>
      <c r="G23" s="448"/>
      <c r="H23" s="449">
        <f t="shared" si="0"/>
        <v>8506858.6384000015</v>
      </c>
    </row>
    <row r="24" spans="1:8">
      <c r="A24" s="275">
        <v>18</v>
      </c>
      <c r="B24" s="290" t="s">
        <v>413</v>
      </c>
      <c r="C24" s="448">
        <v>0</v>
      </c>
      <c r="D24" s="448">
        <v>111456310.0376</v>
      </c>
      <c r="E24" s="448">
        <v>471298.3395</v>
      </c>
      <c r="F24" s="448"/>
      <c r="G24" s="448"/>
      <c r="H24" s="449">
        <f t="shared" si="0"/>
        <v>110985011.6981</v>
      </c>
    </row>
    <row r="25" spans="1:8">
      <c r="A25" s="275">
        <v>19</v>
      </c>
      <c r="B25" s="290" t="s">
        <v>414</v>
      </c>
      <c r="C25" s="448"/>
      <c r="D25" s="448"/>
      <c r="E25" s="448"/>
      <c r="F25" s="448"/>
      <c r="G25" s="448"/>
      <c r="H25" s="449">
        <f t="shared" si="0"/>
        <v>0</v>
      </c>
    </row>
    <row r="26" spans="1:8">
      <c r="A26" s="275">
        <v>20</v>
      </c>
      <c r="B26" s="290" t="s">
        <v>489</v>
      </c>
      <c r="C26" s="448">
        <v>0</v>
      </c>
      <c r="D26" s="448">
        <v>12953763.0024</v>
      </c>
      <c r="E26" s="448">
        <v>210147.84700000001</v>
      </c>
      <c r="F26" s="448"/>
      <c r="G26" s="448"/>
      <c r="H26" s="449">
        <f t="shared" si="0"/>
        <v>12743615.155400001</v>
      </c>
    </row>
    <row r="27" spans="1:8">
      <c r="A27" s="275">
        <v>21</v>
      </c>
      <c r="B27" s="290" t="s">
        <v>415</v>
      </c>
      <c r="C27" s="448"/>
      <c r="D27" s="448"/>
      <c r="E27" s="448"/>
      <c r="F27" s="448"/>
      <c r="G27" s="448"/>
      <c r="H27" s="449">
        <f t="shared" si="0"/>
        <v>0</v>
      </c>
    </row>
    <row r="28" spans="1:8">
      <c r="A28" s="275">
        <v>22</v>
      </c>
      <c r="B28" s="290" t="s">
        <v>416</v>
      </c>
      <c r="C28" s="448">
        <v>0</v>
      </c>
      <c r="D28" s="448">
        <v>20932278.081099998</v>
      </c>
      <c r="E28" s="448">
        <v>225285.99100000001</v>
      </c>
      <c r="F28" s="448"/>
      <c r="G28" s="448"/>
      <c r="H28" s="449">
        <f t="shared" si="0"/>
        <v>20706992.090099998</v>
      </c>
    </row>
    <row r="29" spans="1:8">
      <c r="A29" s="275">
        <v>23</v>
      </c>
      <c r="B29" s="290" t="s">
        <v>417</v>
      </c>
      <c r="C29" s="448">
        <v>943134.37410000002</v>
      </c>
      <c r="D29" s="448">
        <v>9275827.9593000002</v>
      </c>
      <c r="E29" s="448">
        <v>176498.54939999999</v>
      </c>
      <c r="F29" s="448"/>
      <c r="G29" s="448"/>
      <c r="H29" s="449">
        <f t="shared" si="0"/>
        <v>10042463.784</v>
      </c>
    </row>
    <row r="30" spans="1:8">
      <c r="A30" s="275">
        <v>24</v>
      </c>
      <c r="B30" s="290" t="s">
        <v>488</v>
      </c>
      <c r="C30" s="448">
        <v>2538651.5488</v>
      </c>
      <c r="D30" s="448">
        <v>15372469.3508</v>
      </c>
      <c r="E30" s="448">
        <v>2366386.5872999998</v>
      </c>
      <c r="F30" s="448"/>
      <c r="G30" s="448"/>
      <c r="H30" s="449">
        <f t="shared" si="0"/>
        <v>15544734.3123</v>
      </c>
    </row>
    <row r="31" spans="1:8">
      <c r="A31" s="275">
        <v>25</v>
      </c>
      <c r="B31" s="290" t="s">
        <v>418</v>
      </c>
      <c r="C31" s="448">
        <v>0</v>
      </c>
      <c r="D31" s="448">
        <v>1274187.1555999999</v>
      </c>
      <c r="E31" s="448">
        <v>9948.8410999999996</v>
      </c>
      <c r="F31" s="448"/>
      <c r="G31" s="448"/>
      <c r="H31" s="449">
        <f t="shared" si="0"/>
        <v>1264238.3144999999</v>
      </c>
    </row>
    <row r="32" spans="1:8">
      <c r="A32" s="275">
        <v>26</v>
      </c>
      <c r="B32" s="290" t="s">
        <v>485</v>
      </c>
      <c r="C32" s="448">
        <v>834.52980000000002</v>
      </c>
      <c r="D32" s="448">
        <v>25045.519199999999</v>
      </c>
      <c r="E32" s="448">
        <v>798.45519999999999</v>
      </c>
      <c r="F32" s="448"/>
      <c r="G32" s="448"/>
      <c r="H32" s="449">
        <f t="shared" si="0"/>
        <v>25081.593799999999</v>
      </c>
    </row>
    <row r="33" spans="1:8">
      <c r="A33" s="275">
        <v>27</v>
      </c>
      <c r="B33" s="275" t="s">
        <v>419</v>
      </c>
      <c r="C33" s="448"/>
      <c r="D33" s="448">
        <v>15777829.203300001</v>
      </c>
      <c r="E33" s="448"/>
      <c r="F33" s="448"/>
      <c r="G33" s="448"/>
      <c r="H33" s="449">
        <f t="shared" si="0"/>
        <v>15777829.203300001</v>
      </c>
    </row>
    <row r="34" spans="1:8">
      <c r="A34" s="275">
        <v>28</v>
      </c>
      <c r="B34" s="279" t="s">
        <v>64</v>
      </c>
      <c r="C34" s="450">
        <f>SUM(C7:C33)</f>
        <v>25116302.376499999</v>
      </c>
      <c r="D34" s="450">
        <f>SUM(D7:D33)</f>
        <v>640201237.27450001</v>
      </c>
      <c r="E34" s="450">
        <f>SUM(E7:E33)</f>
        <v>9234636.5492000002</v>
      </c>
      <c r="F34" s="450">
        <f>SUM(F7:F33)</f>
        <v>0</v>
      </c>
      <c r="G34" s="450">
        <f>SUM(G7:G33)</f>
        <v>0</v>
      </c>
      <c r="H34" s="449">
        <f t="shared" si="0"/>
        <v>656082903.10179996</v>
      </c>
    </row>
    <row r="36" spans="1:8">
      <c r="B36" s="289"/>
      <c r="C36" s="494"/>
      <c r="D36" s="494"/>
      <c r="E36" s="494"/>
      <c r="F36" s="494"/>
      <c r="G36" s="494"/>
      <c r="H36" s="494"/>
    </row>
    <row r="37" spans="1:8">
      <c r="C37" s="494"/>
      <c r="D37" s="494"/>
      <c r="E37" s="494"/>
      <c r="F37" s="494"/>
      <c r="G37" s="494"/>
      <c r="H37" s="494"/>
    </row>
    <row r="38" spans="1:8">
      <c r="C38" s="494"/>
      <c r="D38" s="494"/>
      <c r="E38" s="494"/>
      <c r="F38" s="494"/>
      <c r="G38" s="494"/>
      <c r="H38" s="494"/>
    </row>
    <row r="39" spans="1:8">
      <c r="C39" s="494"/>
      <c r="D39" s="494"/>
      <c r="E39" s="494"/>
      <c r="F39" s="494"/>
      <c r="G39" s="494"/>
      <c r="H39" s="494"/>
    </row>
    <row r="40" spans="1:8">
      <c r="C40" s="494"/>
      <c r="D40" s="494"/>
      <c r="E40" s="494"/>
      <c r="F40" s="494"/>
      <c r="G40" s="494"/>
      <c r="H40" s="494"/>
    </row>
    <row r="41" spans="1:8">
      <c r="C41" s="494"/>
      <c r="D41" s="494"/>
      <c r="E41" s="494"/>
      <c r="F41" s="494"/>
      <c r="G41" s="494"/>
      <c r="H41" s="494"/>
    </row>
    <row r="42" spans="1:8">
      <c r="C42" s="494"/>
      <c r="D42" s="494"/>
      <c r="E42" s="494"/>
      <c r="F42" s="494"/>
      <c r="G42" s="494"/>
      <c r="H42" s="494"/>
    </row>
    <row r="43" spans="1:8">
      <c r="C43" s="494"/>
      <c r="D43" s="494"/>
      <c r="E43" s="494"/>
      <c r="F43" s="494"/>
      <c r="G43" s="494"/>
      <c r="H43" s="494"/>
    </row>
    <row r="44" spans="1:8">
      <c r="C44" s="494"/>
      <c r="D44" s="494"/>
      <c r="E44" s="494"/>
      <c r="F44" s="494"/>
      <c r="G44" s="494"/>
      <c r="H44" s="494"/>
    </row>
    <row r="45" spans="1:8">
      <c r="C45" s="494"/>
      <c r="D45" s="494"/>
      <c r="E45" s="494"/>
      <c r="F45" s="494"/>
      <c r="G45" s="494"/>
      <c r="H45" s="494"/>
    </row>
    <row r="46" spans="1:8">
      <c r="C46" s="494"/>
      <c r="D46" s="494"/>
      <c r="E46" s="494"/>
      <c r="F46" s="494"/>
      <c r="G46" s="494"/>
      <c r="H46" s="494"/>
    </row>
    <row r="47" spans="1:8">
      <c r="C47" s="494"/>
      <c r="D47" s="494"/>
      <c r="E47" s="494"/>
      <c r="F47" s="494"/>
      <c r="G47" s="494"/>
      <c r="H47" s="494"/>
    </row>
    <row r="48" spans="1:8">
      <c r="C48" s="494"/>
      <c r="D48" s="494"/>
      <c r="E48" s="494"/>
      <c r="F48" s="494"/>
      <c r="G48" s="494"/>
      <c r="H48" s="494"/>
    </row>
    <row r="49" spans="3:8">
      <c r="C49" s="494"/>
      <c r="D49" s="494"/>
      <c r="E49" s="494"/>
      <c r="F49" s="494"/>
      <c r="G49" s="494"/>
      <c r="H49" s="494"/>
    </row>
    <row r="50" spans="3:8">
      <c r="C50" s="494"/>
      <c r="D50" s="494"/>
      <c r="E50" s="494"/>
      <c r="F50" s="494"/>
      <c r="G50" s="494"/>
      <c r="H50" s="494"/>
    </row>
    <row r="51" spans="3:8">
      <c r="C51" s="494"/>
      <c r="D51" s="494"/>
      <c r="E51" s="494"/>
      <c r="F51" s="494"/>
      <c r="G51" s="494"/>
      <c r="H51" s="494"/>
    </row>
    <row r="52" spans="3:8">
      <c r="C52" s="494"/>
      <c r="D52" s="494"/>
      <c r="E52" s="494"/>
      <c r="F52" s="494"/>
      <c r="G52" s="494"/>
      <c r="H52" s="494"/>
    </row>
    <row r="53" spans="3:8">
      <c r="C53" s="494"/>
      <c r="D53" s="494"/>
      <c r="E53" s="494"/>
      <c r="F53" s="494"/>
      <c r="G53" s="494"/>
      <c r="H53" s="494"/>
    </row>
    <row r="54" spans="3:8">
      <c r="C54" s="494"/>
      <c r="D54" s="494"/>
      <c r="E54" s="494"/>
      <c r="F54" s="494"/>
      <c r="G54" s="494"/>
      <c r="H54" s="494"/>
    </row>
    <row r="55" spans="3:8">
      <c r="C55" s="494"/>
      <c r="D55" s="494"/>
      <c r="E55" s="494"/>
      <c r="F55" s="494"/>
      <c r="G55" s="494"/>
      <c r="H55" s="494"/>
    </row>
    <row r="56" spans="3:8">
      <c r="C56" s="494"/>
      <c r="D56" s="494"/>
      <c r="E56" s="494"/>
      <c r="F56" s="494"/>
      <c r="G56" s="494"/>
      <c r="H56" s="494"/>
    </row>
    <row r="57" spans="3:8">
      <c r="C57" s="494"/>
      <c r="D57" s="494"/>
      <c r="E57" s="494"/>
      <c r="F57" s="494"/>
      <c r="G57" s="494"/>
      <c r="H57" s="494"/>
    </row>
    <row r="58" spans="3:8">
      <c r="C58" s="494"/>
      <c r="D58" s="494"/>
      <c r="E58" s="494"/>
      <c r="F58" s="494"/>
      <c r="G58" s="494"/>
      <c r="H58" s="494"/>
    </row>
    <row r="59" spans="3:8">
      <c r="C59" s="494"/>
      <c r="D59" s="494"/>
      <c r="E59" s="494"/>
      <c r="F59" s="494"/>
      <c r="G59" s="494"/>
      <c r="H59" s="494"/>
    </row>
    <row r="60" spans="3:8">
      <c r="C60" s="494"/>
      <c r="D60" s="494"/>
      <c r="E60" s="494"/>
      <c r="F60" s="494"/>
      <c r="G60" s="494"/>
      <c r="H60" s="494"/>
    </row>
    <row r="61" spans="3:8">
      <c r="C61" s="494"/>
      <c r="D61" s="494"/>
      <c r="E61" s="494"/>
      <c r="F61" s="494"/>
      <c r="G61" s="494"/>
      <c r="H61" s="494"/>
    </row>
    <row r="62" spans="3:8">
      <c r="C62" s="494"/>
      <c r="D62" s="494"/>
      <c r="E62" s="494"/>
      <c r="F62" s="494"/>
      <c r="G62" s="494"/>
      <c r="H62" s="494"/>
    </row>
    <row r="63" spans="3:8">
      <c r="C63" s="494"/>
      <c r="D63" s="494"/>
      <c r="E63" s="494"/>
      <c r="F63" s="494"/>
      <c r="G63" s="494"/>
      <c r="H63" s="494"/>
    </row>
    <row r="64" spans="3:8">
      <c r="C64" s="447"/>
      <c r="D64" s="447"/>
      <c r="E64" s="447"/>
      <c r="F64" s="447"/>
      <c r="G64" s="447"/>
      <c r="H64" s="447"/>
    </row>
    <row r="65" spans="3:3">
      <c r="C65" s="447"/>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paperSize="9" scale="35" orientation="portrait" horizontalDpi="300" verticalDpi="300" r:id="rId1"/>
  <headerFooter>
    <oddFooter>&amp;C_x000D_&amp;1#&amp;"Aptos"&amp;10&amp;K000000 C4 - EXTERNAL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30"/>
  <sheetViews>
    <sheetView showGridLines="0" zoomScale="80" zoomScaleNormal="80" workbookViewId="0">
      <selection activeCell="C22" sqref="C22"/>
    </sheetView>
  </sheetViews>
  <sheetFormatPr defaultColWidth="9.21875" defaultRowHeight="12"/>
  <cols>
    <col min="1" max="1" width="11.77734375" style="246" bestFit="1" customWidth="1"/>
    <col min="2" max="2" width="108" style="246" bestFit="1" customWidth="1"/>
    <col min="3" max="3" width="35.5546875" style="246" customWidth="1"/>
    <col min="4" max="4" width="38.44140625" style="246" customWidth="1"/>
    <col min="5" max="16384" width="9.21875" style="246"/>
  </cols>
  <sheetData>
    <row r="1" spans="1:6" ht="13.8">
      <c r="A1" s="244" t="s">
        <v>30</v>
      </c>
      <c r="B1" s="273" t="str">
        <f>'Info '!C2</f>
        <v xml:space="preserve">PASHA Bank Georgia JSC </v>
      </c>
    </row>
    <row r="2" spans="1:6">
      <c r="A2" s="244" t="s">
        <v>31</v>
      </c>
      <c r="B2" s="272">
        <f>'1. key ratios '!B2</f>
        <v>46203</v>
      </c>
    </row>
    <row r="3" spans="1:6">
      <c r="A3" s="245" t="s">
        <v>420</v>
      </c>
    </row>
    <row r="5" spans="1:6">
      <c r="A5" s="832" t="s">
        <v>634</v>
      </c>
      <c r="B5" s="832"/>
      <c r="C5" s="271" t="s">
        <v>437</v>
      </c>
      <c r="D5" s="271" t="s">
        <v>478</v>
      </c>
    </row>
    <row r="6" spans="1:6">
      <c r="A6" s="297">
        <v>1</v>
      </c>
      <c r="B6" s="291" t="s">
        <v>633</v>
      </c>
      <c r="C6" s="700">
        <v>6565879.9479999999</v>
      </c>
      <c r="D6" s="700">
        <v>657822.3395</v>
      </c>
      <c r="E6" s="447"/>
      <c r="F6" s="447"/>
    </row>
    <row r="7" spans="1:6">
      <c r="A7" s="295">
        <v>2</v>
      </c>
      <c r="B7" s="291" t="s">
        <v>632</v>
      </c>
      <c r="C7" s="701">
        <f>SUM(C8:C9)</f>
        <v>2933836.1623</v>
      </c>
      <c r="D7" s="701">
        <f>SUM(D8:D9)</f>
        <v>31590.8086</v>
      </c>
      <c r="E7" s="447"/>
      <c r="F7" s="447"/>
    </row>
    <row r="8" spans="1:6">
      <c r="A8" s="295">
        <v>2.1</v>
      </c>
      <c r="B8" s="296" t="s">
        <v>493</v>
      </c>
      <c r="C8" s="702">
        <v>2174549.8774999999</v>
      </c>
      <c r="D8" s="702">
        <v>31590.8086</v>
      </c>
      <c r="E8" s="447"/>
      <c r="F8" s="447"/>
    </row>
    <row r="9" spans="1:6">
      <c r="A9" s="295">
        <v>2.2000000000000002</v>
      </c>
      <c r="B9" s="296" t="s">
        <v>491</v>
      </c>
      <c r="C9" s="702">
        <v>759286.28480000002</v>
      </c>
      <c r="D9" s="702">
        <v>0</v>
      </c>
      <c r="E9" s="447"/>
      <c r="F9" s="447"/>
    </row>
    <row r="10" spans="1:6">
      <c r="A10" s="297">
        <v>3</v>
      </c>
      <c r="B10" s="291" t="s">
        <v>631</v>
      </c>
      <c r="C10" s="701">
        <f>SUM(C11:C13)</f>
        <v>1076419.4439999999</v>
      </c>
      <c r="D10" s="701">
        <f>SUM(D11:D13)</f>
        <v>67654.684899999993</v>
      </c>
      <c r="E10" s="447"/>
      <c r="F10" s="447"/>
    </row>
    <row r="11" spans="1:6">
      <c r="A11" s="295">
        <v>3.1</v>
      </c>
      <c r="B11" s="296" t="s">
        <v>422</v>
      </c>
      <c r="C11" s="702">
        <v>0</v>
      </c>
      <c r="D11" s="702"/>
      <c r="E11" s="447"/>
      <c r="F11" s="447"/>
    </row>
    <row r="12" spans="1:6">
      <c r="A12" s="295">
        <v>3.2</v>
      </c>
      <c r="B12" s="296" t="s">
        <v>630</v>
      </c>
      <c r="C12" s="702">
        <v>644003.12089999998</v>
      </c>
      <c r="D12" s="702">
        <v>0</v>
      </c>
      <c r="E12" s="447"/>
      <c r="F12" s="447"/>
    </row>
    <row r="13" spans="1:6">
      <c r="A13" s="295">
        <v>3.3</v>
      </c>
      <c r="B13" s="296" t="s">
        <v>492</v>
      </c>
      <c r="C13" s="702">
        <v>432416.32309999998</v>
      </c>
      <c r="D13" s="702">
        <v>67654.684899999993</v>
      </c>
      <c r="E13" s="447"/>
      <c r="F13" s="447"/>
    </row>
    <row r="14" spans="1:6">
      <c r="A14" s="295">
        <v>4</v>
      </c>
      <c r="B14" s="294" t="s">
        <v>629</v>
      </c>
      <c r="C14" s="702">
        <v>-95124.65</v>
      </c>
      <c r="D14" s="702">
        <v>-170.37819999999999</v>
      </c>
      <c r="E14" s="447"/>
      <c r="F14" s="447"/>
    </row>
    <row r="15" spans="1:6">
      <c r="A15" s="292">
        <v>5</v>
      </c>
      <c r="B15" s="291" t="s">
        <v>628</v>
      </c>
      <c r="C15" s="701">
        <f>C6+C7-C10+C14</f>
        <v>8328172.0163000003</v>
      </c>
      <c r="D15" s="701">
        <f>D6+D7-D10+D14</f>
        <v>621588.08499999996</v>
      </c>
      <c r="E15" s="447"/>
      <c r="F15" s="447"/>
    </row>
    <row r="18" spans="3:4">
      <c r="C18" s="447"/>
      <c r="D18" s="447"/>
    </row>
    <row r="19" spans="3:4">
      <c r="C19" s="447"/>
      <c r="D19" s="447"/>
    </row>
    <row r="20" spans="3:4">
      <c r="C20" s="447"/>
      <c r="D20" s="447"/>
    </row>
    <row r="21" spans="3:4">
      <c r="C21" s="447"/>
      <c r="D21" s="447"/>
    </row>
    <row r="22" spans="3:4">
      <c r="C22" s="447"/>
      <c r="D22" s="447"/>
    </row>
    <row r="23" spans="3:4">
      <c r="C23" s="447"/>
      <c r="D23" s="447"/>
    </row>
    <row r="24" spans="3:4">
      <c r="C24" s="447"/>
      <c r="D24" s="447"/>
    </row>
    <row r="25" spans="3:4">
      <c r="C25" s="447"/>
      <c r="D25" s="447"/>
    </row>
    <row r="26" spans="3:4">
      <c r="C26" s="447"/>
      <c r="D26" s="447"/>
    </row>
    <row r="27" spans="3:4">
      <c r="C27" s="447"/>
      <c r="D27" s="447"/>
    </row>
    <row r="28" spans="3:4">
      <c r="C28" s="447"/>
      <c r="D28" s="447"/>
    </row>
    <row r="29" spans="3:4">
      <c r="C29" s="447"/>
      <c r="D29" s="447"/>
    </row>
    <row r="30" spans="3:4">
      <c r="C30" s="447"/>
      <c r="D30" s="447"/>
    </row>
  </sheetData>
  <mergeCells count="1">
    <mergeCell ref="A5:B5"/>
  </mergeCells>
  <pageMargins left="0.7" right="0.7" top="0.75" bottom="0.75" header="0.3" footer="0.3"/>
  <pageSetup paperSize="9" scale="45" orientation="portrait" horizontalDpi="300" verticalDpi="300" r:id="rId1"/>
  <headerFooter>
    <oddFooter>&amp;C_x000D_&amp;1#&amp;"Aptos"&amp;10&amp;K000000 C4 - EXTERNAL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33"/>
  <sheetViews>
    <sheetView showGridLines="0" zoomScale="80" zoomScaleNormal="80" workbookViewId="0">
      <selection activeCell="C26" sqref="C26"/>
    </sheetView>
  </sheetViews>
  <sheetFormatPr defaultColWidth="9.21875" defaultRowHeight="12"/>
  <cols>
    <col min="1" max="1" width="11.77734375" style="246" bestFit="1" customWidth="1"/>
    <col min="2" max="2" width="128.88671875" style="246" bestFit="1" customWidth="1"/>
    <col min="3" max="3" width="37" style="246" customWidth="1"/>
    <col min="4" max="4" width="50.5546875" style="246" customWidth="1"/>
    <col min="5" max="16384" width="9.21875" style="246"/>
  </cols>
  <sheetData>
    <row r="1" spans="1:5" ht="13.8">
      <c r="A1" s="244" t="s">
        <v>30</v>
      </c>
      <c r="B1" s="273" t="str">
        <f>'Info '!C2</f>
        <v xml:space="preserve">PASHA Bank Georgia JSC </v>
      </c>
    </row>
    <row r="2" spans="1:5">
      <c r="A2" s="244" t="s">
        <v>31</v>
      </c>
      <c r="B2" s="272">
        <f>'1. key ratios '!B2</f>
        <v>46203</v>
      </c>
    </row>
    <row r="3" spans="1:5">
      <c r="A3" s="245" t="s">
        <v>424</v>
      </c>
    </row>
    <row r="4" spans="1:5">
      <c r="A4" s="245"/>
    </row>
    <row r="5" spans="1:5" ht="15" customHeight="1">
      <c r="A5" s="833" t="s">
        <v>494</v>
      </c>
      <c r="B5" s="834"/>
      <c r="C5" s="837" t="s">
        <v>425</v>
      </c>
      <c r="D5" s="837" t="s">
        <v>426</v>
      </c>
    </row>
    <row r="6" spans="1:5">
      <c r="A6" s="835"/>
      <c r="B6" s="836"/>
      <c r="C6" s="837"/>
      <c r="D6" s="837"/>
    </row>
    <row r="7" spans="1:5">
      <c r="A7" s="264">
        <v>1</v>
      </c>
      <c r="B7" s="264" t="s">
        <v>421</v>
      </c>
      <c r="C7" s="703">
        <v>19720623.3255</v>
      </c>
      <c r="D7" s="298"/>
      <c r="E7" s="447"/>
    </row>
    <row r="8" spans="1:5">
      <c r="A8" s="293">
        <v>2</v>
      </c>
      <c r="B8" s="293" t="s">
        <v>427</v>
      </c>
      <c r="C8" s="703">
        <v>8234412.7944</v>
      </c>
      <c r="D8" s="298"/>
      <c r="E8" s="447"/>
    </row>
    <row r="9" spans="1:5">
      <c r="A9" s="293">
        <v>3</v>
      </c>
      <c r="B9" s="301" t="s">
        <v>637</v>
      </c>
      <c r="C9" s="703"/>
      <c r="D9" s="298"/>
      <c r="E9" s="447"/>
    </row>
    <row r="10" spans="1:5">
      <c r="A10" s="293">
        <v>4</v>
      </c>
      <c r="B10" s="293" t="s">
        <v>428</v>
      </c>
      <c r="C10" s="704">
        <f>SUM(C11:C17)</f>
        <v>3047685.1734999991</v>
      </c>
      <c r="D10" s="298"/>
      <c r="E10" s="447"/>
    </row>
    <row r="11" spans="1:5">
      <c r="A11" s="293">
        <v>5</v>
      </c>
      <c r="B11" s="300" t="s">
        <v>636</v>
      </c>
      <c r="C11" s="703"/>
      <c r="D11" s="298"/>
      <c r="E11" s="447"/>
    </row>
    <row r="12" spans="1:5">
      <c r="A12" s="293">
        <v>6</v>
      </c>
      <c r="B12" s="300" t="s">
        <v>429</v>
      </c>
      <c r="C12" s="703">
        <v>2720215.1923000002</v>
      </c>
      <c r="D12" s="298"/>
      <c r="E12" s="447"/>
    </row>
    <row r="13" spans="1:5">
      <c r="A13" s="293">
        <v>7</v>
      </c>
      <c r="B13" s="300" t="s">
        <v>432</v>
      </c>
      <c r="C13" s="703"/>
      <c r="D13" s="298"/>
      <c r="E13" s="447"/>
    </row>
    <row r="14" spans="1:5">
      <c r="A14" s="293">
        <v>8</v>
      </c>
      <c r="B14" s="300" t="s">
        <v>430</v>
      </c>
      <c r="C14" s="703"/>
      <c r="D14" s="293"/>
      <c r="E14" s="447"/>
    </row>
    <row r="15" spans="1:5">
      <c r="A15" s="293">
        <v>9</v>
      </c>
      <c r="B15" s="300" t="s">
        <v>431</v>
      </c>
      <c r="C15" s="703"/>
      <c r="D15" s="293"/>
      <c r="E15" s="447"/>
    </row>
    <row r="16" spans="1:5">
      <c r="A16" s="293">
        <v>10</v>
      </c>
      <c r="B16" s="300" t="s">
        <v>433</v>
      </c>
      <c r="C16" s="703"/>
      <c r="D16" s="293"/>
      <c r="E16" s="447"/>
    </row>
    <row r="17" spans="1:5">
      <c r="A17" s="293">
        <v>11</v>
      </c>
      <c r="B17" s="300" t="s">
        <v>635</v>
      </c>
      <c r="C17" s="703">
        <v>327469.98119999887</v>
      </c>
      <c r="D17" s="298"/>
      <c r="E17" s="447"/>
    </row>
    <row r="18" spans="1:5">
      <c r="A18" s="264">
        <v>12</v>
      </c>
      <c r="B18" s="299" t="s">
        <v>423</v>
      </c>
      <c r="C18" s="700">
        <f>C7+C8+C9-C10</f>
        <v>24907350.946400002</v>
      </c>
      <c r="D18" s="298"/>
      <c r="E18" s="447"/>
    </row>
    <row r="21" spans="1:5">
      <c r="B21" s="244"/>
      <c r="C21" s="447"/>
    </row>
    <row r="22" spans="1:5">
      <c r="B22" s="244"/>
      <c r="C22" s="447"/>
    </row>
    <row r="23" spans="1:5">
      <c r="B23" s="245"/>
      <c r="C23" s="447"/>
    </row>
    <row r="24" spans="1:5">
      <c r="C24" s="447"/>
    </row>
    <row r="25" spans="1:5">
      <c r="C25" s="447"/>
    </row>
    <row r="26" spans="1:5">
      <c r="C26" s="447"/>
    </row>
    <row r="27" spans="1:5">
      <c r="C27" s="447"/>
    </row>
    <row r="28" spans="1:5">
      <c r="C28" s="447"/>
    </row>
    <row r="29" spans="1:5">
      <c r="C29" s="447"/>
    </row>
    <row r="30" spans="1:5">
      <c r="C30" s="447"/>
    </row>
    <row r="31" spans="1:5">
      <c r="C31" s="447"/>
    </row>
    <row r="32" spans="1:5">
      <c r="C32" s="447"/>
    </row>
    <row r="33" spans="3:3">
      <c r="C33" s="447"/>
    </row>
  </sheetData>
  <mergeCells count="3">
    <mergeCell ref="A5:B6"/>
    <mergeCell ref="C5:C6"/>
    <mergeCell ref="D5:D6"/>
  </mergeCells>
  <pageMargins left="0.7" right="0.7" top="0.75" bottom="0.75" header="0.3" footer="0.3"/>
  <pageSetup paperSize="9" scale="38" orientation="portrait" horizontalDpi="300" verticalDpi="300" r:id="rId1"/>
  <headerFooter>
    <oddFooter>&amp;C_x000D_&amp;1#&amp;"Aptos"&amp;10&amp;K000000 C4 - EXTERNAL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57"/>
  <sheetViews>
    <sheetView showGridLines="0" topLeftCell="U1" zoomScale="80" zoomScaleNormal="80" workbookViewId="0">
      <selection activeCell="AB31" sqref="AB31"/>
    </sheetView>
  </sheetViews>
  <sheetFormatPr defaultColWidth="9.21875" defaultRowHeight="12"/>
  <cols>
    <col min="1" max="1" width="11.77734375" style="286" bestFit="1" customWidth="1"/>
    <col min="2" max="2" width="63.88671875" style="286" customWidth="1"/>
    <col min="3" max="3" width="17" style="286" customWidth="1"/>
    <col min="4" max="18" width="22.21875" style="286" customWidth="1"/>
    <col min="19" max="19" width="23.21875" style="286" bestFit="1" customWidth="1"/>
    <col min="20" max="26" width="22.21875" style="286" customWidth="1"/>
    <col min="27" max="27" width="23.21875" style="286" bestFit="1" customWidth="1"/>
    <col min="28" max="28" width="20" style="286" customWidth="1"/>
    <col min="29" max="16384" width="9.21875" style="286"/>
  </cols>
  <sheetData>
    <row r="1" spans="1:28" ht="13.8">
      <c r="A1" s="244" t="s">
        <v>30</v>
      </c>
      <c r="B1" s="273" t="str">
        <f>'Info '!C2</f>
        <v xml:space="preserve">PASHA Bank Georgia JSC </v>
      </c>
    </row>
    <row r="2" spans="1:28">
      <c r="A2" s="244" t="s">
        <v>31</v>
      </c>
      <c r="B2" s="272">
        <f>'1. key ratios '!B2</f>
        <v>46203</v>
      </c>
      <c r="C2" s="287"/>
    </row>
    <row r="3" spans="1:28">
      <c r="A3" s="245" t="s">
        <v>434</v>
      </c>
    </row>
    <row r="5" spans="1:28" ht="15" customHeight="1">
      <c r="A5" s="839" t="s">
        <v>649</v>
      </c>
      <c r="B5" s="840"/>
      <c r="C5" s="845" t="s">
        <v>435</v>
      </c>
      <c r="D5" s="846"/>
      <c r="E5" s="846"/>
      <c r="F5" s="846"/>
      <c r="G5" s="846"/>
      <c r="H5" s="846"/>
      <c r="I5" s="846"/>
      <c r="J5" s="846"/>
      <c r="K5" s="846"/>
      <c r="L5" s="846"/>
      <c r="M5" s="846"/>
      <c r="N5" s="846"/>
      <c r="O5" s="846"/>
      <c r="P5" s="846"/>
      <c r="Q5" s="846"/>
      <c r="R5" s="846"/>
      <c r="S5" s="846"/>
      <c r="T5" s="308"/>
      <c r="U5" s="308"/>
      <c r="V5" s="308"/>
      <c r="W5" s="308"/>
      <c r="X5" s="308"/>
      <c r="Y5" s="308"/>
      <c r="Z5" s="308"/>
      <c r="AA5" s="307"/>
      <c r="AB5" s="302"/>
    </row>
    <row r="6" spans="1:28" ht="12" customHeight="1">
      <c r="A6" s="841"/>
      <c r="B6" s="842"/>
      <c r="C6" s="847" t="s">
        <v>64</v>
      </c>
      <c r="D6" s="849" t="s">
        <v>648</v>
      </c>
      <c r="E6" s="849"/>
      <c r="F6" s="849"/>
      <c r="G6" s="849"/>
      <c r="H6" s="849" t="s">
        <v>647</v>
      </c>
      <c r="I6" s="849"/>
      <c r="J6" s="849"/>
      <c r="K6" s="849"/>
      <c r="L6" s="305"/>
      <c r="M6" s="850" t="s">
        <v>646</v>
      </c>
      <c r="N6" s="850"/>
      <c r="O6" s="850"/>
      <c r="P6" s="850"/>
      <c r="Q6" s="850"/>
      <c r="R6" s="850"/>
      <c r="S6" s="830"/>
      <c r="T6" s="306"/>
      <c r="U6" s="838" t="s">
        <v>645</v>
      </c>
      <c r="V6" s="838"/>
      <c r="W6" s="838"/>
      <c r="X6" s="838"/>
      <c r="Y6" s="838"/>
      <c r="Z6" s="838"/>
      <c r="AA6" s="831"/>
      <c r="AB6" s="305"/>
    </row>
    <row r="7" spans="1:28" ht="24">
      <c r="A7" s="843"/>
      <c r="B7" s="844"/>
      <c r="C7" s="848"/>
      <c r="D7" s="304"/>
      <c r="E7" s="283" t="s">
        <v>436</v>
      </c>
      <c r="F7" s="283" t="s">
        <v>643</v>
      </c>
      <c r="G7" s="285" t="s">
        <v>644</v>
      </c>
      <c r="H7" s="287"/>
      <c r="I7" s="283" t="s">
        <v>436</v>
      </c>
      <c r="J7" s="283" t="s">
        <v>643</v>
      </c>
      <c r="K7" s="285" t="s">
        <v>644</v>
      </c>
      <c r="L7" s="303"/>
      <c r="M7" s="283" t="s">
        <v>436</v>
      </c>
      <c r="N7" s="283" t="s">
        <v>643</v>
      </c>
      <c r="O7" s="283" t="s">
        <v>642</v>
      </c>
      <c r="P7" s="283" t="s">
        <v>641</v>
      </c>
      <c r="Q7" s="283" t="s">
        <v>640</v>
      </c>
      <c r="R7" s="283" t="s">
        <v>639</v>
      </c>
      <c r="S7" s="283" t="s">
        <v>638</v>
      </c>
      <c r="T7" s="303"/>
      <c r="U7" s="283" t="s">
        <v>436</v>
      </c>
      <c r="V7" s="283" t="s">
        <v>643</v>
      </c>
      <c r="W7" s="283" t="s">
        <v>642</v>
      </c>
      <c r="X7" s="283" t="s">
        <v>641</v>
      </c>
      <c r="Y7" s="283" t="s">
        <v>640</v>
      </c>
      <c r="Z7" s="283" t="s">
        <v>639</v>
      </c>
      <c r="AA7" s="283" t="s">
        <v>638</v>
      </c>
      <c r="AB7" s="302"/>
    </row>
    <row r="8" spans="1:28" s="514" customFormat="1" ht="13.8" customHeight="1">
      <c r="A8" s="285">
        <v>1</v>
      </c>
      <c r="B8" s="513" t="s">
        <v>437</v>
      </c>
      <c r="C8" s="705">
        <f>SUM(C9:C14)</f>
        <v>422130304.10510004</v>
      </c>
      <c r="D8" s="705">
        <f>SUM(D9:D14)</f>
        <v>370041875.2317</v>
      </c>
      <c r="E8" s="706">
        <f>SUM(E9:E14)</f>
        <v>10781075.302200001</v>
      </c>
      <c r="F8" s="706">
        <v>0</v>
      </c>
      <c r="G8" s="706">
        <f>SUM(G9:G14)</f>
        <v>0</v>
      </c>
      <c r="H8" s="706">
        <f>SUM(H9:H14)</f>
        <v>27181077.926899999</v>
      </c>
      <c r="I8" s="706">
        <f>SUM(I9:I14)</f>
        <v>10694864.969799999</v>
      </c>
      <c r="J8" s="706">
        <f>SUM(J9:J14)</f>
        <v>521288.26730000001</v>
      </c>
      <c r="K8" s="706">
        <v>0</v>
      </c>
      <c r="L8" s="706">
        <f t="shared" ref="L8:R8" si="0">SUM(L9:L14)</f>
        <v>14268933.259</v>
      </c>
      <c r="M8" s="706">
        <f t="shared" si="0"/>
        <v>0</v>
      </c>
      <c r="N8" s="706">
        <f t="shared" si="0"/>
        <v>1621707.0241</v>
      </c>
      <c r="O8" s="706">
        <f t="shared" si="0"/>
        <v>103032.9801</v>
      </c>
      <c r="P8" s="706">
        <f t="shared" si="0"/>
        <v>437875.37150000001</v>
      </c>
      <c r="Q8" s="706">
        <f t="shared" si="0"/>
        <v>669418.81339999998</v>
      </c>
      <c r="R8" s="706">
        <f t="shared" si="0"/>
        <v>7240134.6445000004</v>
      </c>
      <c r="S8" s="706">
        <v>0</v>
      </c>
      <c r="T8" s="706">
        <f>SUM(T9:T14)</f>
        <v>10638417.6875</v>
      </c>
      <c r="U8" s="706">
        <v>0</v>
      </c>
      <c r="V8" s="706">
        <v>0</v>
      </c>
      <c r="W8" s="706">
        <v>0</v>
      </c>
      <c r="X8" s="706">
        <v>0</v>
      </c>
      <c r="Y8" s="706">
        <v>0</v>
      </c>
      <c r="Z8" s="706">
        <f>SUM(Z9:Z14)</f>
        <v>2467694.5588000002</v>
      </c>
      <c r="AA8" s="706">
        <v>0</v>
      </c>
    </row>
    <row r="9" spans="1:28" s="514" customFormat="1" ht="13.8" customHeight="1">
      <c r="A9" s="515">
        <v>1.1000000000000001</v>
      </c>
      <c r="B9" s="516" t="s">
        <v>438</v>
      </c>
      <c r="C9" s="707"/>
      <c r="D9" s="707"/>
      <c r="E9" s="707"/>
      <c r="F9" s="707"/>
      <c r="G9" s="707"/>
      <c r="H9" s="707"/>
      <c r="I9" s="707"/>
      <c r="J9" s="707"/>
      <c r="K9" s="707"/>
      <c r="L9" s="707"/>
      <c r="M9" s="707"/>
      <c r="N9" s="707"/>
      <c r="O9" s="707"/>
      <c r="P9" s="707"/>
      <c r="Q9" s="707"/>
      <c r="R9" s="707"/>
      <c r="S9" s="707"/>
      <c r="T9" s="707"/>
      <c r="U9" s="707"/>
      <c r="V9" s="707"/>
      <c r="W9" s="707"/>
      <c r="X9" s="707"/>
      <c r="Y9" s="707"/>
      <c r="Z9" s="707"/>
      <c r="AA9" s="707"/>
    </row>
    <row r="10" spans="1:28" s="514" customFormat="1" ht="13.8" customHeight="1">
      <c r="A10" s="515">
        <v>1.2</v>
      </c>
      <c r="B10" s="516" t="s">
        <v>439</v>
      </c>
      <c r="C10" s="707">
        <v>599601.67000000004</v>
      </c>
      <c r="D10" s="707">
        <v>599601.67000000004</v>
      </c>
      <c r="E10" s="707">
        <v>0</v>
      </c>
      <c r="F10" s="707">
        <v>0</v>
      </c>
      <c r="G10" s="707">
        <v>0</v>
      </c>
      <c r="H10" s="707">
        <v>0</v>
      </c>
      <c r="I10" s="707">
        <v>0</v>
      </c>
      <c r="J10" s="707">
        <v>0</v>
      </c>
      <c r="K10" s="707">
        <v>0</v>
      </c>
      <c r="L10" s="707">
        <v>0</v>
      </c>
      <c r="M10" s="707">
        <v>0</v>
      </c>
      <c r="N10" s="707">
        <v>0</v>
      </c>
      <c r="O10" s="707">
        <v>0</v>
      </c>
      <c r="P10" s="707">
        <v>0</v>
      </c>
      <c r="Q10" s="707">
        <v>0</v>
      </c>
      <c r="R10" s="707">
        <v>0</v>
      </c>
      <c r="S10" s="707">
        <v>0</v>
      </c>
      <c r="T10" s="707">
        <v>0</v>
      </c>
      <c r="U10" s="707">
        <v>0</v>
      </c>
      <c r="V10" s="707">
        <v>0</v>
      </c>
      <c r="W10" s="707">
        <v>0</v>
      </c>
      <c r="X10" s="707">
        <v>0</v>
      </c>
      <c r="Y10" s="707">
        <v>0</v>
      </c>
      <c r="Z10" s="707">
        <v>0</v>
      </c>
      <c r="AA10" s="707">
        <v>0</v>
      </c>
    </row>
    <row r="11" spans="1:28" s="514" customFormat="1" ht="13.8" customHeight="1">
      <c r="A11" s="515">
        <v>1.3</v>
      </c>
      <c r="B11" s="516" t="s">
        <v>440</v>
      </c>
      <c r="C11" s="708"/>
      <c r="D11" s="708"/>
      <c r="E11" s="707"/>
      <c r="F11" s="707"/>
      <c r="G11" s="707"/>
      <c r="H11" s="708"/>
      <c r="I11" s="707"/>
      <c r="J11" s="707"/>
      <c r="K11" s="707"/>
      <c r="L11" s="707"/>
      <c r="M11" s="707"/>
      <c r="N11" s="707"/>
      <c r="O11" s="707"/>
      <c r="P11" s="707"/>
      <c r="Q11" s="707"/>
      <c r="R11" s="707"/>
      <c r="S11" s="707"/>
      <c r="T11" s="707"/>
      <c r="U11" s="707"/>
      <c r="V11" s="707"/>
      <c r="W11" s="707"/>
      <c r="X11" s="707"/>
      <c r="Y11" s="707"/>
      <c r="Z11" s="707"/>
      <c r="AA11" s="707"/>
    </row>
    <row r="12" spans="1:28" s="514" customFormat="1" ht="13.8" customHeight="1">
      <c r="A12" s="515">
        <v>1.4</v>
      </c>
      <c r="B12" s="516" t="s">
        <v>441</v>
      </c>
      <c r="C12" s="708">
        <v>69561146.474900007</v>
      </c>
      <c r="D12" s="708">
        <v>69402428.474900007</v>
      </c>
      <c r="E12" s="707">
        <v>0</v>
      </c>
      <c r="F12" s="707">
        <v>0</v>
      </c>
      <c r="G12" s="707">
        <v>0</v>
      </c>
      <c r="H12" s="707">
        <v>0</v>
      </c>
      <c r="I12" s="707">
        <v>0</v>
      </c>
      <c r="J12" s="707">
        <v>0</v>
      </c>
      <c r="K12" s="707">
        <v>0</v>
      </c>
      <c r="L12" s="707">
        <v>158718</v>
      </c>
      <c r="M12" s="707">
        <v>0</v>
      </c>
      <c r="N12" s="707">
        <v>0</v>
      </c>
      <c r="O12" s="707">
        <v>0</v>
      </c>
      <c r="P12" s="707">
        <v>0</v>
      </c>
      <c r="Q12" s="707">
        <v>0</v>
      </c>
      <c r="R12" s="707">
        <v>158718</v>
      </c>
      <c r="S12" s="707">
        <v>0</v>
      </c>
      <c r="T12" s="707">
        <v>0</v>
      </c>
      <c r="U12" s="707">
        <v>0</v>
      </c>
      <c r="V12" s="707">
        <v>0</v>
      </c>
      <c r="W12" s="707">
        <v>0</v>
      </c>
      <c r="X12" s="707">
        <v>0</v>
      </c>
      <c r="Y12" s="707">
        <v>0</v>
      </c>
      <c r="Z12" s="707">
        <v>0</v>
      </c>
      <c r="AA12" s="707">
        <v>0</v>
      </c>
    </row>
    <row r="13" spans="1:28" s="514" customFormat="1" ht="13.8" customHeight="1">
      <c r="A13" s="515">
        <v>1.5</v>
      </c>
      <c r="B13" s="516" t="s">
        <v>442</v>
      </c>
      <c r="C13" s="708">
        <v>345177502.09280002</v>
      </c>
      <c r="D13" s="708">
        <v>294303999.12339997</v>
      </c>
      <c r="E13" s="707">
        <v>10781075.302200001</v>
      </c>
      <c r="F13" s="707">
        <v>0</v>
      </c>
      <c r="G13" s="707">
        <v>0</v>
      </c>
      <c r="H13" s="707">
        <v>27181077.926899999</v>
      </c>
      <c r="I13" s="707">
        <v>10694864.969799999</v>
      </c>
      <c r="J13" s="707">
        <v>521288.26730000001</v>
      </c>
      <c r="K13" s="707">
        <v>0</v>
      </c>
      <c r="L13" s="707">
        <v>13054007.355</v>
      </c>
      <c r="M13" s="707">
        <v>0</v>
      </c>
      <c r="N13" s="707">
        <v>683622.65</v>
      </c>
      <c r="O13" s="707">
        <v>0</v>
      </c>
      <c r="P13" s="707">
        <v>437875.37150000001</v>
      </c>
      <c r="Q13" s="707">
        <v>655556.92339999997</v>
      </c>
      <c r="R13" s="707">
        <v>7081416.6445000004</v>
      </c>
      <c r="S13" s="707">
        <v>4195535.7655999996</v>
      </c>
      <c r="T13" s="707">
        <v>10638417.6875</v>
      </c>
      <c r="U13" s="707">
        <v>0</v>
      </c>
      <c r="V13" s="707">
        <v>0</v>
      </c>
      <c r="W13" s="707">
        <v>0</v>
      </c>
      <c r="X13" s="707">
        <v>0</v>
      </c>
      <c r="Y13" s="707">
        <v>0</v>
      </c>
      <c r="Z13" s="707">
        <v>2467694.5588000002</v>
      </c>
      <c r="AA13" s="707">
        <v>0</v>
      </c>
    </row>
    <row r="14" spans="1:28" s="514" customFormat="1" ht="13.8" customHeight="1">
      <c r="A14" s="515">
        <v>1.6</v>
      </c>
      <c r="B14" s="516" t="s">
        <v>443</v>
      </c>
      <c r="C14" s="708">
        <v>6792053.8673999999</v>
      </c>
      <c r="D14" s="708">
        <v>5735845.9633999998</v>
      </c>
      <c r="E14" s="707">
        <v>0</v>
      </c>
      <c r="F14" s="707">
        <v>0</v>
      </c>
      <c r="G14" s="708">
        <v>0</v>
      </c>
      <c r="H14" s="707">
        <v>0</v>
      </c>
      <c r="I14" s="707">
        <v>0</v>
      </c>
      <c r="J14" s="707">
        <v>0</v>
      </c>
      <c r="K14" s="707">
        <v>0</v>
      </c>
      <c r="L14" s="707">
        <v>1056207.9040000001</v>
      </c>
      <c r="M14" s="707">
        <v>0</v>
      </c>
      <c r="N14" s="707">
        <v>938084.37410000002</v>
      </c>
      <c r="O14" s="707">
        <v>103032.9801</v>
      </c>
      <c r="P14" s="707">
        <v>0</v>
      </c>
      <c r="Q14" s="707">
        <v>13861.89</v>
      </c>
      <c r="R14" s="707">
        <v>0</v>
      </c>
      <c r="S14" s="707">
        <v>0</v>
      </c>
      <c r="T14" s="707">
        <v>0</v>
      </c>
      <c r="U14" s="707">
        <v>0</v>
      </c>
      <c r="V14" s="707">
        <v>0</v>
      </c>
      <c r="W14" s="707">
        <v>0</v>
      </c>
      <c r="X14" s="707">
        <v>0</v>
      </c>
      <c r="Y14" s="707">
        <v>0</v>
      </c>
      <c r="Z14" s="707">
        <v>0</v>
      </c>
      <c r="AA14" s="707">
        <v>0</v>
      </c>
    </row>
    <row r="15" spans="1:28" s="514" customFormat="1" ht="13.8" customHeight="1">
      <c r="A15" s="285">
        <v>2</v>
      </c>
      <c r="B15" s="513" t="s">
        <v>444</v>
      </c>
      <c r="C15" s="709">
        <f>SUM(C16:C21)</f>
        <v>117657204.11480001</v>
      </c>
      <c r="D15" s="709">
        <f>SUM(D16:D21)</f>
        <v>117657204.11480001</v>
      </c>
      <c r="E15" s="710">
        <v>0</v>
      </c>
      <c r="F15" s="710">
        <v>0</v>
      </c>
      <c r="G15" s="710">
        <v>0</v>
      </c>
      <c r="H15" s="710">
        <v>0</v>
      </c>
      <c r="I15" s="710">
        <v>0</v>
      </c>
      <c r="J15" s="710">
        <v>0</v>
      </c>
      <c r="K15" s="710">
        <v>0</v>
      </c>
      <c r="L15" s="710">
        <v>0</v>
      </c>
      <c r="M15" s="710">
        <v>0</v>
      </c>
      <c r="N15" s="710">
        <v>0</v>
      </c>
      <c r="O15" s="710">
        <v>0</v>
      </c>
      <c r="P15" s="710">
        <v>0</v>
      </c>
      <c r="Q15" s="710">
        <v>0</v>
      </c>
      <c r="R15" s="710">
        <v>0</v>
      </c>
      <c r="S15" s="710">
        <v>0</v>
      </c>
      <c r="T15" s="710">
        <v>0</v>
      </c>
      <c r="U15" s="710">
        <v>0</v>
      </c>
      <c r="V15" s="710">
        <v>0</v>
      </c>
      <c r="W15" s="710">
        <v>0</v>
      </c>
      <c r="X15" s="710">
        <v>0</v>
      </c>
      <c r="Y15" s="710">
        <v>0</v>
      </c>
      <c r="Z15" s="710">
        <v>0</v>
      </c>
      <c r="AA15" s="710">
        <v>0</v>
      </c>
    </row>
    <row r="16" spans="1:28" s="514" customFormat="1" ht="13.8" customHeight="1">
      <c r="A16" s="515">
        <v>2.1</v>
      </c>
      <c r="B16" s="516" t="s">
        <v>438</v>
      </c>
      <c r="C16" s="711"/>
      <c r="D16" s="712"/>
      <c r="E16" s="713"/>
      <c r="F16" s="713"/>
      <c r="G16" s="713"/>
      <c r="H16" s="713"/>
      <c r="I16" s="713"/>
      <c r="J16" s="713"/>
      <c r="K16" s="713"/>
      <c r="L16" s="713"/>
      <c r="M16" s="713"/>
      <c r="N16" s="713"/>
      <c r="O16" s="713"/>
      <c r="P16" s="713"/>
      <c r="Q16" s="713"/>
      <c r="R16" s="713"/>
      <c r="S16" s="713"/>
      <c r="T16" s="713"/>
      <c r="U16" s="713"/>
      <c r="V16" s="713"/>
      <c r="W16" s="714"/>
      <c r="X16" s="714"/>
      <c r="Y16" s="714"/>
      <c r="Z16" s="714"/>
      <c r="AA16" s="714"/>
    </row>
    <row r="17" spans="1:27" s="514" customFormat="1" ht="13.8" customHeight="1">
      <c r="A17" s="515">
        <v>2.2000000000000002</v>
      </c>
      <c r="B17" s="516" t="s">
        <v>439</v>
      </c>
      <c r="C17" s="711">
        <v>5469399.9699999997</v>
      </c>
      <c r="D17" s="712">
        <v>5469399.9699999997</v>
      </c>
      <c r="E17" s="713"/>
      <c r="F17" s="713"/>
      <c r="G17" s="713"/>
      <c r="H17" s="713"/>
      <c r="I17" s="713"/>
      <c r="J17" s="713"/>
      <c r="K17" s="713"/>
      <c r="L17" s="713"/>
      <c r="M17" s="713"/>
      <c r="N17" s="713"/>
      <c r="O17" s="713"/>
      <c r="P17" s="713"/>
      <c r="Q17" s="713"/>
      <c r="R17" s="713"/>
      <c r="S17" s="713"/>
      <c r="T17" s="713"/>
      <c r="U17" s="713"/>
      <c r="V17" s="713"/>
      <c r="W17" s="714"/>
      <c r="X17" s="714"/>
      <c r="Y17" s="714"/>
      <c r="Z17" s="714"/>
      <c r="AA17" s="714"/>
    </row>
    <row r="18" spans="1:27" s="514" customFormat="1" ht="13.8" customHeight="1">
      <c r="A18" s="515">
        <v>2.2999999999999998</v>
      </c>
      <c r="B18" s="516" t="s">
        <v>440</v>
      </c>
      <c r="C18" s="711">
        <v>11181746.1</v>
      </c>
      <c r="D18" s="712">
        <v>11181746.1</v>
      </c>
      <c r="E18" s="713">
        <v>0</v>
      </c>
      <c r="F18" s="713">
        <v>0</v>
      </c>
      <c r="G18" s="713">
        <v>0</v>
      </c>
      <c r="H18" s="713">
        <v>0</v>
      </c>
      <c r="I18" s="713">
        <v>0</v>
      </c>
      <c r="J18" s="713">
        <v>0</v>
      </c>
      <c r="K18" s="713">
        <v>0</v>
      </c>
      <c r="L18" s="713">
        <v>0</v>
      </c>
      <c r="M18" s="713">
        <v>0</v>
      </c>
      <c r="N18" s="713">
        <v>0</v>
      </c>
      <c r="O18" s="713">
        <v>0</v>
      </c>
      <c r="P18" s="713">
        <v>0</v>
      </c>
      <c r="Q18" s="713">
        <v>0</v>
      </c>
      <c r="R18" s="713">
        <v>0</v>
      </c>
      <c r="S18" s="713">
        <v>0</v>
      </c>
      <c r="T18" s="713">
        <v>0</v>
      </c>
      <c r="U18" s="713">
        <v>0</v>
      </c>
      <c r="V18" s="713">
        <v>0</v>
      </c>
      <c r="W18" s="714">
        <v>0</v>
      </c>
      <c r="X18" s="714">
        <v>0</v>
      </c>
      <c r="Y18" s="714">
        <v>0</v>
      </c>
      <c r="Z18" s="714">
        <v>0</v>
      </c>
      <c r="AA18" s="714">
        <v>0</v>
      </c>
    </row>
    <row r="19" spans="1:27" s="514" customFormat="1" ht="13.8" customHeight="1">
      <c r="A19" s="515">
        <v>2.4</v>
      </c>
      <c r="B19" s="516" t="s">
        <v>441</v>
      </c>
      <c r="C19" s="711">
        <v>40044023.189999998</v>
      </c>
      <c r="D19" s="712">
        <v>40044023.189999998</v>
      </c>
      <c r="E19" s="713">
        <v>0</v>
      </c>
      <c r="F19" s="713">
        <v>0</v>
      </c>
      <c r="G19" s="713">
        <v>0</v>
      </c>
      <c r="H19" s="713">
        <v>0</v>
      </c>
      <c r="I19" s="713">
        <v>0</v>
      </c>
      <c r="J19" s="713">
        <v>0</v>
      </c>
      <c r="K19" s="713">
        <v>0</v>
      </c>
      <c r="L19" s="713">
        <v>0</v>
      </c>
      <c r="M19" s="713">
        <v>0</v>
      </c>
      <c r="N19" s="713">
        <v>0</v>
      </c>
      <c r="O19" s="713">
        <v>0</v>
      </c>
      <c r="P19" s="713">
        <v>0</v>
      </c>
      <c r="Q19" s="713">
        <v>0</v>
      </c>
      <c r="R19" s="713">
        <v>0</v>
      </c>
      <c r="S19" s="713">
        <v>0</v>
      </c>
      <c r="T19" s="713">
        <v>0</v>
      </c>
      <c r="U19" s="713">
        <v>0</v>
      </c>
      <c r="V19" s="713">
        <v>0</v>
      </c>
      <c r="W19" s="714">
        <v>0</v>
      </c>
      <c r="X19" s="714">
        <v>0</v>
      </c>
      <c r="Y19" s="714">
        <v>0</v>
      </c>
      <c r="Z19" s="714">
        <v>0</v>
      </c>
      <c r="AA19" s="714">
        <v>0</v>
      </c>
    </row>
    <row r="20" spans="1:27" s="514" customFormat="1" ht="13.8" customHeight="1">
      <c r="A20" s="515">
        <v>2.5</v>
      </c>
      <c r="B20" s="516" t="s">
        <v>442</v>
      </c>
      <c r="C20" s="711">
        <v>60962034.854800001</v>
      </c>
      <c r="D20" s="712">
        <v>60962034.854800001</v>
      </c>
      <c r="E20" s="713">
        <v>0</v>
      </c>
      <c r="F20" s="713">
        <v>0</v>
      </c>
      <c r="G20" s="713">
        <v>0</v>
      </c>
      <c r="H20" s="713">
        <v>0</v>
      </c>
      <c r="I20" s="713">
        <v>0</v>
      </c>
      <c r="J20" s="713">
        <v>0</v>
      </c>
      <c r="K20" s="713">
        <v>0</v>
      </c>
      <c r="L20" s="713">
        <v>0</v>
      </c>
      <c r="M20" s="713">
        <v>0</v>
      </c>
      <c r="N20" s="713">
        <v>0</v>
      </c>
      <c r="O20" s="713">
        <v>0</v>
      </c>
      <c r="P20" s="713">
        <v>0</v>
      </c>
      <c r="Q20" s="713">
        <v>0</v>
      </c>
      <c r="R20" s="713">
        <v>0</v>
      </c>
      <c r="S20" s="713">
        <v>0</v>
      </c>
      <c r="T20" s="713">
        <v>0</v>
      </c>
      <c r="U20" s="713">
        <v>0</v>
      </c>
      <c r="V20" s="713">
        <v>0</v>
      </c>
      <c r="W20" s="714">
        <v>0</v>
      </c>
      <c r="X20" s="714">
        <v>0</v>
      </c>
      <c r="Y20" s="714">
        <v>0</v>
      </c>
      <c r="Z20" s="714">
        <v>0</v>
      </c>
      <c r="AA20" s="714">
        <v>0</v>
      </c>
    </row>
    <row r="21" spans="1:27" s="514" customFormat="1" ht="13.8" customHeight="1">
      <c r="A21" s="515">
        <v>2.6</v>
      </c>
      <c r="B21" s="516" t="s">
        <v>443</v>
      </c>
      <c r="C21" s="715"/>
      <c r="D21" s="714"/>
      <c r="E21" s="714"/>
      <c r="F21" s="714"/>
      <c r="G21" s="714"/>
      <c r="H21" s="713"/>
      <c r="I21" s="714"/>
      <c r="J21" s="714"/>
      <c r="K21" s="714"/>
      <c r="L21" s="714"/>
      <c r="M21" s="714"/>
      <c r="N21" s="714"/>
      <c r="O21" s="714"/>
      <c r="P21" s="714"/>
      <c r="Q21" s="714"/>
      <c r="R21" s="714"/>
      <c r="S21" s="714"/>
      <c r="T21" s="714"/>
      <c r="U21" s="714"/>
      <c r="V21" s="714"/>
      <c r="W21" s="714"/>
      <c r="X21" s="714"/>
      <c r="Y21" s="714"/>
      <c r="Z21" s="714"/>
      <c r="AA21" s="714"/>
    </row>
    <row r="22" spans="1:27" s="514" customFormat="1" ht="13.8" customHeight="1">
      <c r="A22" s="285">
        <v>3</v>
      </c>
      <c r="B22" s="513" t="s">
        <v>484</v>
      </c>
      <c r="C22" s="705">
        <f>SUM(C23:C28)</f>
        <v>95881155.917899996</v>
      </c>
      <c r="D22" s="705">
        <f>SUM(D23:D28)</f>
        <v>94558505.917899996</v>
      </c>
      <c r="E22" s="716"/>
      <c r="F22" s="716"/>
      <c r="G22" s="716"/>
      <c r="H22" s="706">
        <f>SUM(H24:H28)</f>
        <v>1322650</v>
      </c>
      <c r="I22" s="716"/>
      <c r="J22" s="716"/>
      <c r="K22" s="716"/>
      <c r="L22" s="706">
        <f>SUM(L24:L28)</f>
        <v>0</v>
      </c>
      <c r="M22" s="716"/>
      <c r="N22" s="716"/>
      <c r="O22" s="716"/>
      <c r="P22" s="716"/>
      <c r="Q22" s="716"/>
      <c r="R22" s="716"/>
      <c r="S22" s="716"/>
      <c r="T22" s="706">
        <v>0</v>
      </c>
      <c r="U22" s="716"/>
      <c r="V22" s="716"/>
      <c r="W22" s="716"/>
      <c r="X22" s="716"/>
      <c r="Y22" s="716"/>
      <c r="Z22" s="716"/>
      <c r="AA22" s="716"/>
    </row>
    <row r="23" spans="1:27" s="514" customFormat="1" ht="13.8" customHeight="1">
      <c r="A23" s="515">
        <v>3.1</v>
      </c>
      <c r="B23" s="516" t="s">
        <v>438</v>
      </c>
      <c r="C23" s="711"/>
      <c r="D23" s="705"/>
      <c r="E23" s="716"/>
      <c r="F23" s="716"/>
      <c r="G23" s="716"/>
      <c r="H23" s="706"/>
      <c r="I23" s="716"/>
      <c r="J23" s="716"/>
      <c r="K23" s="716"/>
      <c r="L23" s="706"/>
      <c r="M23" s="716"/>
      <c r="N23" s="716"/>
      <c r="O23" s="716"/>
      <c r="P23" s="716"/>
      <c r="Q23" s="716"/>
      <c r="R23" s="716"/>
      <c r="S23" s="716"/>
      <c r="T23" s="706"/>
      <c r="U23" s="716"/>
      <c r="V23" s="716"/>
      <c r="W23" s="716"/>
      <c r="X23" s="716"/>
      <c r="Y23" s="716"/>
      <c r="Z23" s="716"/>
      <c r="AA23" s="716"/>
    </row>
    <row r="24" spans="1:27" s="514" customFormat="1" ht="13.8" customHeight="1">
      <c r="A24" s="515">
        <v>3.2</v>
      </c>
      <c r="B24" s="516" t="s">
        <v>439</v>
      </c>
      <c r="C24" s="711"/>
      <c r="D24" s="705"/>
      <c r="E24" s="716"/>
      <c r="F24" s="716"/>
      <c r="G24" s="716"/>
      <c r="H24" s="706"/>
      <c r="I24" s="716"/>
      <c r="J24" s="716"/>
      <c r="K24" s="716"/>
      <c r="L24" s="706"/>
      <c r="M24" s="716"/>
      <c r="N24" s="716"/>
      <c r="O24" s="716"/>
      <c r="P24" s="716"/>
      <c r="Q24" s="716"/>
      <c r="R24" s="716"/>
      <c r="S24" s="716"/>
      <c r="T24" s="706"/>
      <c r="U24" s="716"/>
      <c r="V24" s="716"/>
      <c r="W24" s="716"/>
      <c r="X24" s="716"/>
      <c r="Y24" s="716"/>
      <c r="Z24" s="716"/>
      <c r="AA24" s="716"/>
    </row>
    <row r="25" spans="1:27" s="514" customFormat="1" ht="13.8" customHeight="1">
      <c r="A25" s="515">
        <v>3.3</v>
      </c>
      <c r="B25" s="516" t="s">
        <v>440</v>
      </c>
      <c r="C25" s="711">
        <v>40000</v>
      </c>
      <c r="D25" s="711">
        <v>40000</v>
      </c>
      <c r="E25" s="716"/>
      <c r="F25" s="716"/>
      <c r="G25" s="716"/>
      <c r="H25" s="706">
        <v>0</v>
      </c>
      <c r="I25" s="716"/>
      <c r="J25" s="716"/>
      <c r="K25" s="716"/>
      <c r="L25" s="706">
        <v>0</v>
      </c>
      <c r="M25" s="716"/>
      <c r="N25" s="716"/>
      <c r="O25" s="716"/>
      <c r="P25" s="716"/>
      <c r="Q25" s="716"/>
      <c r="R25" s="716"/>
      <c r="S25" s="716"/>
      <c r="T25" s="706">
        <v>0</v>
      </c>
      <c r="U25" s="716"/>
      <c r="V25" s="716"/>
      <c r="W25" s="716"/>
      <c r="X25" s="716"/>
      <c r="Y25" s="716"/>
      <c r="Z25" s="716"/>
      <c r="AA25" s="716"/>
    </row>
    <row r="26" spans="1:27" s="514" customFormat="1" ht="13.8" customHeight="1">
      <c r="A26" s="515">
        <v>3.4</v>
      </c>
      <c r="B26" s="516" t="s">
        <v>441</v>
      </c>
      <c r="C26" s="711">
        <v>9902190.1799999997</v>
      </c>
      <c r="D26" s="711">
        <v>9902190.1799999997</v>
      </c>
      <c r="E26" s="716"/>
      <c r="F26" s="716"/>
      <c r="G26" s="716"/>
      <c r="H26" s="706">
        <v>0</v>
      </c>
      <c r="I26" s="716"/>
      <c r="J26" s="716"/>
      <c r="K26" s="716"/>
      <c r="L26" s="706">
        <v>0</v>
      </c>
      <c r="M26" s="716"/>
      <c r="N26" s="716"/>
      <c r="O26" s="716"/>
      <c r="P26" s="716"/>
      <c r="Q26" s="716"/>
      <c r="R26" s="716"/>
      <c r="S26" s="716"/>
      <c r="T26" s="706">
        <v>0</v>
      </c>
      <c r="U26" s="716"/>
      <c r="V26" s="716"/>
      <c r="W26" s="716"/>
      <c r="X26" s="716"/>
      <c r="Y26" s="716"/>
      <c r="Z26" s="716"/>
      <c r="AA26" s="716"/>
    </row>
    <row r="27" spans="1:27" s="514" customFormat="1" ht="13.8" customHeight="1">
      <c r="A27" s="515">
        <v>3.5</v>
      </c>
      <c r="B27" s="516" t="s">
        <v>442</v>
      </c>
      <c r="C27" s="711">
        <v>83368640.987900004</v>
      </c>
      <c r="D27" s="711">
        <v>82045990.987900004</v>
      </c>
      <c r="E27" s="716"/>
      <c r="F27" s="716"/>
      <c r="G27" s="716"/>
      <c r="H27" s="706">
        <v>1322650</v>
      </c>
      <c r="I27" s="716"/>
      <c r="J27" s="716"/>
      <c r="K27" s="716"/>
      <c r="L27" s="706">
        <v>0</v>
      </c>
      <c r="M27" s="716"/>
      <c r="N27" s="716"/>
      <c r="O27" s="716"/>
      <c r="P27" s="716"/>
      <c r="Q27" s="716"/>
      <c r="R27" s="716"/>
      <c r="S27" s="716"/>
      <c r="T27" s="706">
        <v>0</v>
      </c>
      <c r="U27" s="716"/>
      <c r="V27" s="716"/>
      <c r="W27" s="716"/>
      <c r="X27" s="716"/>
      <c r="Y27" s="716"/>
      <c r="Z27" s="716"/>
      <c r="AA27" s="716"/>
    </row>
    <row r="28" spans="1:27" s="514" customFormat="1" ht="13.8" customHeight="1">
      <c r="A28" s="515">
        <v>3.6</v>
      </c>
      <c r="B28" s="516" t="s">
        <v>443</v>
      </c>
      <c r="C28" s="711">
        <v>2570324.75</v>
      </c>
      <c r="D28" s="711">
        <v>2570324.75</v>
      </c>
      <c r="E28" s="716"/>
      <c r="F28" s="716"/>
      <c r="G28" s="716"/>
      <c r="H28" s="706">
        <v>0</v>
      </c>
      <c r="I28" s="716"/>
      <c r="J28" s="716"/>
      <c r="K28" s="716"/>
      <c r="L28" s="706">
        <v>0</v>
      </c>
      <c r="M28" s="716"/>
      <c r="N28" s="716"/>
      <c r="O28" s="716"/>
      <c r="P28" s="716"/>
      <c r="Q28" s="716"/>
      <c r="R28" s="716"/>
      <c r="S28" s="716"/>
      <c r="T28" s="706">
        <v>0</v>
      </c>
      <c r="U28" s="716"/>
      <c r="V28" s="716"/>
      <c r="W28" s="716"/>
      <c r="X28" s="716"/>
      <c r="Y28" s="716"/>
      <c r="Z28" s="716"/>
      <c r="AA28" s="716"/>
    </row>
    <row r="30" spans="1:27">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451"/>
      <c r="AA30" s="451"/>
    </row>
    <row r="31" spans="1:27">
      <c r="C31" s="451"/>
      <c r="D31" s="451"/>
      <c r="E31" s="451"/>
      <c r="F31" s="451"/>
      <c r="G31" s="451"/>
      <c r="H31" s="451"/>
      <c r="I31" s="451"/>
      <c r="J31" s="451"/>
      <c r="K31" s="451"/>
      <c r="L31" s="451"/>
      <c r="M31" s="451"/>
      <c r="N31" s="451"/>
      <c r="O31" s="451"/>
      <c r="P31" s="451"/>
      <c r="Q31" s="451"/>
      <c r="R31" s="451"/>
      <c r="S31" s="451"/>
      <c r="T31" s="451"/>
      <c r="U31" s="451"/>
      <c r="V31" s="451"/>
      <c r="W31" s="451"/>
      <c r="X31" s="451"/>
      <c r="Y31" s="451"/>
      <c r="Z31" s="451"/>
      <c r="AA31" s="451"/>
    </row>
    <row r="32" spans="1:27">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c r="AA32" s="451"/>
    </row>
    <row r="33" spans="3:27">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row>
    <row r="34" spans="3:27">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c r="AA34" s="451"/>
    </row>
    <row r="35" spans="3:27">
      <c r="C35" s="451"/>
      <c r="D35" s="451"/>
      <c r="E35" s="451"/>
      <c r="F35" s="451"/>
      <c r="G35" s="451"/>
      <c r="H35" s="451"/>
      <c r="I35" s="451"/>
      <c r="J35" s="451"/>
      <c r="K35" s="451"/>
      <c r="L35" s="451"/>
      <c r="M35" s="451"/>
      <c r="N35" s="451"/>
      <c r="O35" s="451"/>
      <c r="P35" s="451"/>
      <c r="Q35" s="451"/>
      <c r="R35" s="451"/>
      <c r="S35" s="451"/>
      <c r="T35" s="451"/>
      <c r="U35" s="451"/>
      <c r="V35" s="451"/>
      <c r="W35" s="451"/>
      <c r="X35" s="451"/>
      <c r="Y35" s="451"/>
      <c r="Z35" s="451"/>
      <c r="AA35" s="451"/>
    </row>
    <row r="36" spans="3:27">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c r="AA36" s="451"/>
    </row>
    <row r="37" spans="3:27">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c r="AA37" s="451"/>
    </row>
    <row r="38" spans="3:27">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451"/>
    </row>
    <row r="39" spans="3:27">
      <c r="C39" s="451"/>
      <c r="D39" s="451"/>
      <c r="E39" s="451"/>
      <c r="F39" s="451"/>
      <c r="G39" s="451"/>
      <c r="H39" s="451"/>
      <c r="I39" s="451"/>
      <c r="J39" s="451"/>
      <c r="K39" s="451"/>
      <c r="L39" s="451"/>
      <c r="M39" s="451"/>
      <c r="N39" s="451"/>
      <c r="O39" s="451"/>
      <c r="P39" s="451"/>
      <c r="Q39" s="451"/>
      <c r="R39" s="451"/>
      <c r="S39" s="451"/>
      <c r="T39" s="451"/>
      <c r="U39" s="451"/>
      <c r="V39" s="451"/>
      <c r="W39" s="451"/>
      <c r="X39" s="451"/>
      <c r="Y39" s="451"/>
      <c r="Z39" s="451"/>
      <c r="AA39" s="451"/>
    </row>
    <row r="40" spans="3:27">
      <c r="C40" s="451"/>
      <c r="D40" s="451"/>
      <c r="E40" s="451"/>
      <c r="F40" s="451"/>
      <c r="G40" s="451"/>
      <c r="H40" s="451"/>
      <c r="I40" s="451"/>
      <c r="J40" s="451"/>
      <c r="K40" s="451"/>
      <c r="L40" s="451"/>
      <c r="M40" s="451"/>
      <c r="N40" s="451"/>
      <c r="O40" s="451"/>
      <c r="P40" s="451"/>
      <c r="Q40" s="451"/>
      <c r="R40" s="451"/>
      <c r="S40" s="451"/>
      <c r="T40" s="451"/>
      <c r="U40" s="451"/>
      <c r="V40" s="451"/>
      <c r="W40" s="451"/>
      <c r="X40" s="451"/>
      <c r="Y40" s="451"/>
      <c r="Z40" s="451"/>
      <c r="AA40" s="451"/>
    </row>
    <row r="41" spans="3:27">
      <c r="C41" s="451"/>
      <c r="D41" s="451"/>
      <c r="E41" s="451"/>
      <c r="F41" s="451"/>
      <c r="G41" s="451"/>
      <c r="H41" s="451"/>
      <c r="I41" s="451"/>
      <c r="J41" s="451"/>
      <c r="K41" s="451"/>
      <c r="L41" s="451"/>
      <c r="M41" s="451"/>
      <c r="N41" s="451"/>
      <c r="O41" s="451"/>
      <c r="P41" s="451"/>
      <c r="Q41" s="451"/>
      <c r="R41" s="451"/>
      <c r="S41" s="451"/>
      <c r="T41" s="451"/>
      <c r="U41" s="451"/>
      <c r="V41" s="451"/>
      <c r="W41" s="451"/>
      <c r="X41" s="451"/>
      <c r="Y41" s="451"/>
      <c r="Z41" s="451"/>
      <c r="AA41" s="451"/>
    </row>
    <row r="42" spans="3:27">
      <c r="C42" s="451"/>
      <c r="D42" s="451"/>
      <c r="E42" s="451"/>
      <c r="F42" s="451"/>
      <c r="G42" s="451"/>
      <c r="H42" s="451"/>
      <c r="I42" s="451"/>
      <c r="J42" s="451"/>
      <c r="K42" s="451"/>
      <c r="L42" s="451"/>
      <c r="M42" s="451"/>
      <c r="N42" s="451"/>
      <c r="O42" s="451"/>
      <c r="P42" s="451"/>
      <c r="Q42" s="451"/>
      <c r="R42" s="451"/>
      <c r="S42" s="451"/>
      <c r="T42" s="451"/>
      <c r="U42" s="451"/>
      <c r="V42" s="451"/>
      <c r="W42" s="451"/>
      <c r="X42" s="451"/>
      <c r="Y42" s="451"/>
      <c r="Z42" s="451"/>
      <c r="AA42" s="451"/>
    </row>
    <row r="43" spans="3:27">
      <c r="C43" s="451"/>
      <c r="D43" s="451"/>
      <c r="E43" s="451"/>
      <c r="F43" s="451"/>
      <c r="G43" s="451"/>
      <c r="H43" s="451"/>
      <c r="I43" s="451"/>
      <c r="J43" s="451"/>
      <c r="K43" s="451"/>
      <c r="L43" s="451"/>
      <c r="M43" s="451"/>
      <c r="N43" s="451"/>
      <c r="O43" s="451"/>
      <c r="P43" s="451"/>
      <c r="Q43" s="451"/>
      <c r="R43" s="451"/>
      <c r="S43" s="451"/>
      <c r="T43" s="451"/>
      <c r="U43" s="451"/>
      <c r="V43" s="451"/>
      <c r="W43" s="451"/>
      <c r="X43" s="451"/>
      <c r="Y43" s="451"/>
      <c r="Z43" s="451"/>
      <c r="AA43" s="451"/>
    </row>
    <row r="44" spans="3:27">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row>
    <row r="45" spans="3:27">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row>
    <row r="46" spans="3:27">
      <c r="C46" s="451"/>
      <c r="D46" s="451"/>
      <c r="E46" s="451"/>
      <c r="F46" s="451"/>
      <c r="G46" s="451"/>
      <c r="H46" s="451"/>
      <c r="I46" s="451"/>
      <c r="J46" s="451"/>
      <c r="K46" s="451"/>
      <c r="L46" s="451"/>
      <c r="M46" s="451"/>
      <c r="N46" s="451"/>
      <c r="O46" s="451"/>
      <c r="P46" s="451"/>
      <c r="Q46" s="451"/>
      <c r="R46" s="451"/>
      <c r="S46" s="451"/>
      <c r="T46" s="451"/>
      <c r="U46" s="451"/>
      <c r="V46" s="451"/>
      <c r="W46" s="451"/>
      <c r="X46" s="451"/>
      <c r="Y46" s="451"/>
      <c r="Z46" s="451"/>
      <c r="AA46" s="451"/>
    </row>
    <row r="47" spans="3:27">
      <c r="C47" s="451"/>
      <c r="D47" s="451"/>
      <c r="E47" s="451"/>
      <c r="F47" s="451"/>
      <c r="G47" s="451"/>
      <c r="H47" s="451"/>
      <c r="I47" s="451"/>
      <c r="J47" s="451"/>
      <c r="K47" s="451"/>
      <c r="L47" s="451"/>
      <c r="M47" s="451"/>
      <c r="N47" s="451"/>
      <c r="O47" s="451"/>
      <c r="P47" s="451"/>
      <c r="Q47" s="451"/>
      <c r="R47" s="451"/>
      <c r="S47" s="451"/>
      <c r="T47" s="451"/>
      <c r="U47" s="451"/>
      <c r="V47" s="451"/>
      <c r="W47" s="451"/>
      <c r="X47" s="451"/>
      <c r="Y47" s="451"/>
      <c r="Z47" s="451"/>
      <c r="AA47" s="451"/>
    </row>
    <row r="48" spans="3:27">
      <c r="C48" s="451"/>
      <c r="D48" s="451"/>
      <c r="E48" s="451"/>
      <c r="F48" s="451"/>
      <c r="G48" s="451"/>
      <c r="H48" s="451"/>
      <c r="I48" s="451"/>
      <c r="J48" s="451"/>
      <c r="K48" s="451"/>
      <c r="L48" s="451"/>
      <c r="M48" s="451"/>
      <c r="N48" s="451"/>
      <c r="O48" s="451"/>
      <c r="P48" s="451"/>
      <c r="Q48" s="451"/>
      <c r="R48" s="451"/>
      <c r="S48" s="451"/>
      <c r="T48" s="451"/>
      <c r="U48" s="451"/>
      <c r="V48" s="451"/>
      <c r="W48" s="451"/>
      <c r="X48" s="451"/>
      <c r="Y48" s="451"/>
      <c r="Z48" s="451"/>
      <c r="AA48" s="451"/>
    </row>
    <row r="49" spans="3:27">
      <c r="C49" s="451"/>
      <c r="D49" s="451"/>
      <c r="E49" s="451"/>
      <c r="F49" s="451"/>
      <c r="G49" s="451"/>
      <c r="H49" s="451"/>
      <c r="I49" s="451"/>
      <c r="J49" s="451"/>
      <c r="K49" s="451"/>
      <c r="L49" s="451"/>
      <c r="M49" s="451"/>
      <c r="N49" s="451"/>
      <c r="O49" s="451"/>
      <c r="P49" s="451"/>
      <c r="Q49" s="451"/>
      <c r="R49" s="451"/>
      <c r="S49" s="451"/>
      <c r="T49" s="451"/>
      <c r="U49" s="451"/>
      <c r="V49" s="451"/>
      <c r="W49" s="451"/>
      <c r="X49" s="451"/>
      <c r="Y49" s="451"/>
      <c r="Z49" s="451"/>
      <c r="AA49" s="451"/>
    </row>
    <row r="50" spans="3:27">
      <c r="C50" s="451"/>
      <c r="D50" s="451"/>
      <c r="E50" s="451"/>
      <c r="F50" s="451"/>
      <c r="G50" s="451"/>
      <c r="H50" s="451"/>
      <c r="I50" s="451"/>
      <c r="J50" s="451"/>
      <c r="K50" s="451"/>
      <c r="L50" s="451"/>
      <c r="M50" s="451"/>
      <c r="N50" s="451"/>
      <c r="O50" s="451"/>
      <c r="P50" s="451"/>
      <c r="Q50" s="451"/>
      <c r="R50" s="451"/>
      <c r="S50" s="451"/>
      <c r="T50" s="451"/>
      <c r="U50" s="451"/>
      <c r="V50" s="451"/>
      <c r="W50" s="451"/>
      <c r="X50" s="451"/>
      <c r="Y50" s="451"/>
      <c r="Z50" s="451"/>
      <c r="AA50" s="451"/>
    </row>
    <row r="51" spans="3:27">
      <c r="C51" s="451"/>
      <c r="D51" s="451"/>
      <c r="E51" s="451"/>
      <c r="F51" s="451"/>
      <c r="G51" s="451"/>
      <c r="H51" s="451"/>
      <c r="I51" s="451"/>
      <c r="J51" s="451"/>
      <c r="K51" s="451"/>
      <c r="L51" s="451"/>
      <c r="M51" s="451"/>
      <c r="N51" s="451"/>
      <c r="O51" s="451"/>
      <c r="P51" s="451"/>
      <c r="Q51" s="451"/>
      <c r="R51" s="451"/>
      <c r="S51" s="451"/>
      <c r="T51" s="451"/>
      <c r="U51" s="451"/>
      <c r="V51" s="451"/>
      <c r="W51" s="451"/>
      <c r="X51" s="451"/>
      <c r="Y51" s="451"/>
      <c r="Z51" s="451"/>
      <c r="AA51" s="451"/>
    </row>
    <row r="52" spans="3:27">
      <c r="C52" s="451"/>
    </row>
    <row r="53" spans="3:27">
      <c r="C53" s="451"/>
    </row>
    <row r="54" spans="3:27">
      <c r="C54" s="451"/>
    </row>
    <row r="55" spans="3:27">
      <c r="C55" s="451"/>
    </row>
    <row r="56" spans="3:27">
      <c r="C56" s="451"/>
    </row>
    <row r="57" spans="3:27">
      <c r="C57" s="451"/>
    </row>
  </sheetData>
  <mergeCells count="7">
    <mergeCell ref="U6:AA6"/>
    <mergeCell ref="A5:B7"/>
    <mergeCell ref="C5:S5"/>
    <mergeCell ref="C6:C7"/>
    <mergeCell ref="D6:G6"/>
    <mergeCell ref="H6:K6"/>
    <mergeCell ref="M6:S6"/>
  </mergeCells>
  <pageMargins left="0.7" right="0.7" top="0.75" bottom="0.75" header="0.3" footer="0.3"/>
  <pageSetup paperSize="9" scale="13" orientation="portrait" horizontalDpi="300" verticalDpi="300" r:id="rId1"/>
  <headerFooter>
    <oddFooter>&amp;C_x000D_&amp;1#&amp;"Aptos"&amp;10&amp;K000000 C4 - EXTERNAL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C39"/>
  <sheetViews>
    <sheetView showGridLines="0" zoomScale="80" zoomScaleNormal="80" workbookViewId="0">
      <selection activeCell="D17" sqref="D17"/>
    </sheetView>
  </sheetViews>
  <sheetFormatPr defaultColWidth="9.21875" defaultRowHeight="12"/>
  <cols>
    <col min="1" max="1" width="14.77734375" style="286" customWidth="1"/>
    <col min="2" max="2" width="90.21875" style="286" bestFit="1" customWidth="1"/>
    <col min="3" max="3" width="20.21875" style="286" customWidth="1"/>
    <col min="4" max="4" width="22.21875" style="286" customWidth="1"/>
    <col min="5" max="7" width="17.109375" style="286" customWidth="1"/>
    <col min="8" max="8" width="22.21875" style="286" customWidth="1"/>
    <col min="9" max="10" width="17.109375" style="286" customWidth="1"/>
    <col min="11" max="27" width="22.21875" style="286" customWidth="1"/>
    <col min="28" max="28" width="10.77734375" style="286" bestFit="1" customWidth="1"/>
    <col min="29" max="29" width="9.5546875" style="286" bestFit="1" customWidth="1"/>
    <col min="30" max="16384" width="9.21875" style="286"/>
  </cols>
  <sheetData>
    <row r="1" spans="1:29" ht="13.8">
      <c r="A1" s="244" t="s">
        <v>30</v>
      </c>
      <c r="B1" s="273" t="str">
        <f>'Info '!C2</f>
        <v xml:space="preserve">PASHA Bank Georgia JSC </v>
      </c>
    </row>
    <row r="2" spans="1:29">
      <c r="A2" s="244" t="s">
        <v>31</v>
      </c>
      <c r="B2" s="272">
        <f>'1. key ratios '!B2</f>
        <v>46203</v>
      </c>
    </row>
    <row r="3" spans="1:29">
      <c r="A3" s="245" t="s">
        <v>446</v>
      </c>
      <c r="C3" s="288"/>
    </row>
    <row r="4" spans="1:29" ht="12.6" thickBot="1">
      <c r="A4" s="245"/>
      <c r="B4" s="288"/>
      <c r="C4" s="288"/>
    </row>
    <row r="5" spans="1:29" ht="13.5" customHeight="1">
      <c r="A5" s="851" t="s">
        <v>652</v>
      </c>
      <c r="B5" s="852"/>
      <c r="C5" s="860" t="s">
        <v>651</v>
      </c>
      <c r="D5" s="861"/>
      <c r="E5" s="861"/>
      <c r="F5" s="861"/>
      <c r="G5" s="861"/>
      <c r="H5" s="861"/>
      <c r="I5" s="861"/>
      <c r="J5" s="861"/>
      <c r="K5" s="861"/>
      <c r="L5" s="861"/>
      <c r="M5" s="861"/>
      <c r="N5" s="861"/>
      <c r="O5" s="861"/>
      <c r="P5" s="861"/>
      <c r="Q5" s="861"/>
      <c r="R5" s="861"/>
      <c r="S5" s="862"/>
      <c r="T5" s="308"/>
      <c r="U5" s="308"/>
      <c r="V5" s="308"/>
      <c r="W5" s="308"/>
      <c r="X5" s="308"/>
      <c r="Y5" s="308"/>
      <c r="Z5" s="308"/>
      <c r="AA5" s="307"/>
    </row>
    <row r="6" spans="1:29" ht="12" customHeight="1">
      <c r="A6" s="853"/>
      <c r="B6" s="854"/>
      <c r="C6" s="857" t="s">
        <v>64</v>
      </c>
      <c r="D6" s="849" t="s">
        <v>648</v>
      </c>
      <c r="E6" s="849"/>
      <c r="F6" s="849"/>
      <c r="G6" s="849"/>
      <c r="H6" s="849" t="s">
        <v>647</v>
      </c>
      <c r="I6" s="849"/>
      <c r="J6" s="849"/>
      <c r="K6" s="849"/>
      <c r="L6" s="305"/>
      <c r="M6" s="850" t="s">
        <v>646</v>
      </c>
      <c r="N6" s="850"/>
      <c r="O6" s="850"/>
      <c r="P6" s="850"/>
      <c r="Q6" s="850"/>
      <c r="R6" s="850"/>
      <c r="S6" s="859"/>
      <c r="T6" s="308"/>
      <c r="U6" s="838" t="s">
        <v>645</v>
      </c>
      <c r="V6" s="838"/>
      <c r="W6" s="838"/>
      <c r="X6" s="838"/>
      <c r="Y6" s="838"/>
      <c r="Z6" s="838"/>
      <c r="AA6" s="831"/>
    </row>
    <row r="7" spans="1:29" ht="24">
      <c r="A7" s="855"/>
      <c r="B7" s="856"/>
      <c r="C7" s="858"/>
      <c r="D7" s="304"/>
      <c r="E7" s="283" t="s">
        <v>436</v>
      </c>
      <c r="F7" s="283" t="s">
        <v>643</v>
      </c>
      <c r="G7" s="285" t="s">
        <v>644</v>
      </c>
      <c r="H7" s="287"/>
      <c r="I7" s="283" t="s">
        <v>436</v>
      </c>
      <c r="J7" s="283" t="s">
        <v>643</v>
      </c>
      <c r="K7" s="285" t="s">
        <v>644</v>
      </c>
      <c r="L7" s="303"/>
      <c r="M7" s="283" t="s">
        <v>436</v>
      </c>
      <c r="N7" s="283" t="s">
        <v>643</v>
      </c>
      <c r="O7" s="283" t="s">
        <v>642</v>
      </c>
      <c r="P7" s="283" t="s">
        <v>641</v>
      </c>
      <c r="Q7" s="283" t="s">
        <v>640</v>
      </c>
      <c r="R7" s="283" t="s">
        <v>639</v>
      </c>
      <c r="S7" s="310" t="s">
        <v>638</v>
      </c>
      <c r="T7" s="309"/>
      <c r="U7" s="283" t="s">
        <v>436</v>
      </c>
      <c r="V7" s="283" t="s">
        <v>643</v>
      </c>
      <c r="W7" s="283" t="s">
        <v>642</v>
      </c>
      <c r="X7" s="283" t="s">
        <v>641</v>
      </c>
      <c r="Y7" s="283" t="s">
        <v>640</v>
      </c>
      <c r="Z7" s="283" t="s">
        <v>639</v>
      </c>
      <c r="AA7" s="283" t="s">
        <v>638</v>
      </c>
    </row>
    <row r="8" spans="1:29" s="514" customFormat="1" ht="22.8" customHeight="1">
      <c r="A8" s="517">
        <v>1</v>
      </c>
      <c r="B8" s="518" t="s">
        <v>437</v>
      </c>
      <c r="C8" s="717">
        <v>422130304.10509998</v>
      </c>
      <c r="D8" s="713">
        <v>370041875.2317</v>
      </c>
      <c r="E8" s="713">
        <v>10781075.302200001</v>
      </c>
      <c r="F8" s="713">
        <v>0</v>
      </c>
      <c r="G8" s="713">
        <v>0</v>
      </c>
      <c r="H8" s="713">
        <v>27181077.926899999</v>
      </c>
      <c r="I8" s="713">
        <v>10694864.969799999</v>
      </c>
      <c r="J8" s="713">
        <v>521288.26730000001</v>
      </c>
      <c r="K8" s="713">
        <v>0</v>
      </c>
      <c r="L8" s="713">
        <v>14268933.259</v>
      </c>
      <c r="M8" s="713">
        <v>0</v>
      </c>
      <c r="N8" s="713">
        <v>1621707.0241</v>
      </c>
      <c r="O8" s="713">
        <v>103032.9801</v>
      </c>
      <c r="P8" s="713">
        <v>437875.37150000001</v>
      </c>
      <c r="Q8" s="713">
        <v>669418.81339999998</v>
      </c>
      <c r="R8" s="713">
        <v>7240134.6445000004</v>
      </c>
      <c r="S8" s="713">
        <v>4196764.4254000001</v>
      </c>
      <c r="T8" s="713">
        <v>10638417.6875</v>
      </c>
      <c r="U8" s="713">
        <v>0</v>
      </c>
      <c r="V8" s="713">
        <v>0</v>
      </c>
      <c r="W8" s="713">
        <v>0</v>
      </c>
      <c r="X8" s="713">
        <v>0</v>
      </c>
      <c r="Y8" s="713">
        <v>0</v>
      </c>
      <c r="Z8" s="713">
        <v>2467694.5588000002</v>
      </c>
      <c r="AA8" s="718">
        <v>0</v>
      </c>
      <c r="AB8" s="519"/>
      <c r="AC8" s="519"/>
    </row>
    <row r="9" spans="1:29" s="514" customFormat="1" ht="22.8" customHeight="1">
      <c r="A9" s="520">
        <v>1.1000000000000001</v>
      </c>
      <c r="B9" s="521" t="s">
        <v>447</v>
      </c>
      <c r="C9" s="719">
        <v>402763698.236</v>
      </c>
      <c r="D9" s="713">
        <v>350709638.11070001</v>
      </c>
      <c r="E9" s="713">
        <v>10781075.302200001</v>
      </c>
      <c r="F9" s="713">
        <v>0</v>
      </c>
      <c r="G9" s="713">
        <v>0</v>
      </c>
      <c r="H9" s="713">
        <v>27181077.926899999</v>
      </c>
      <c r="I9" s="713">
        <v>10694864.969799999</v>
      </c>
      <c r="J9" s="713">
        <v>521288.26730000001</v>
      </c>
      <c r="K9" s="713">
        <v>0</v>
      </c>
      <c r="L9" s="713">
        <v>14234564.5109</v>
      </c>
      <c r="M9" s="713">
        <v>0</v>
      </c>
      <c r="N9" s="713">
        <v>1621707.0241</v>
      </c>
      <c r="O9" s="713">
        <v>103032.9801</v>
      </c>
      <c r="P9" s="713">
        <v>437875.37150000001</v>
      </c>
      <c r="Q9" s="713">
        <v>655556.92339999997</v>
      </c>
      <c r="R9" s="713">
        <v>7220856.4462000001</v>
      </c>
      <c r="S9" s="713">
        <v>4195535.7655999996</v>
      </c>
      <c r="T9" s="713">
        <v>10638417.6875</v>
      </c>
      <c r="U9" s="713">
        <v>0</v>
      </c>
      <c r="V9" s="713">
        <v>0</v>
      </c>
      <c r="W9" s="713">
        <v>0</v>
      </c>
      <c r="X9" s="713">
        <v>0</v>
      </c>
      <c r="Y9" s="713">
        <v>0</v>
      </c>
      <c r="Z9" s="713">
        <v>2467694.5588000002</v>
      </c>
      <c r="AA9" s="718">
        <v>0</v>
      </c>
      <c r="AB9" s="519"/>
      <c r="AC9" s="519"/>
    </row>
    <row r="10" spans="1:29" s="514" customFormat="1" ht="22.8" customHeight="1">
      <c r="A10" s="520" t="s">
        <v>14</v>
      </c>
      <c r="B10" s="521" t="s">
        <v>448</v>
      </c>
      <c r="C10" s="719">
        <v>269900039.39630002</v>
      </c>
      <c r="D10" s="713">
        <v>218004697.271</v>
      </c>
      <c r="E10" s="713">
        <v>10781075.302200001</v>
      </c>
      <c r="F10" s="713">
        <v>0</v>
      </c>
      <c r="G10" s="713">
        <v>0</v>
      </c>
      <c r="H10" s="713">
        <v>27181077.926899999</v>
      </c>
      <c r="I10" s="713">
        <v>10694864.969799999</v>
      </c>
      <c r="J10" s="713">
        <v>521288.26730000001</v>
      </c>
      <c r="K10" s="713">
        <v>0</v>
      </c>
      <c r="L10" s="713">
        <v>14075846.5109</v>
      </c>
      <c r="M10" s="713">
        <v>0</v>
      </c>
      <c r="N10" s="713">
        <v>1621707.0241</v>
      </c>
      <c r="O10" s="713">
        <v>103032.9801</v>
      </c>
      <c r="P10" s="713">
        <v>437875.37150000001</v>
      </c>
      <c r="Q10" s="713">
        <v>655556.92339999997</v>
      </c>
      <c r="R10" s="713">
        <v>7062138.4462000001</v>
      </c>
      <c r="S10" s="713">
        <v>4195535.7655999996</v>
      </c>
      <c r="T10" s="713">
        <v>10638417.6875</v>
      </c>
      <c r="U10" s="713">
        <v>0</v>
      </c>
      <c r="V10" s="713">
        <v>0</v>
      </c>
      <c r="W10" s="713">
        <v>0</v>
      </c>
      <c r="X10" s="713">
        <v>0</v>
      </c>
      <c r="Y10" s="713">
        <v>0</v>
      </c>
      <c r="Z10" s="713">
        <v>2467694.5588000002</v>
      </c>
      <c r="AA10" s="718">
        <v>0</v>
      </c>
      <c r="AB10" s="519"/>
      <c r="AC10" s="519"/>
    </row>
    <row r="11" spans="1:29" s="514" customFormat="1" ht="22.8" customHeight="1">
      <c r="A11" s="522" t="s">
        <v>449</v>
      </c>
      <c r="B11" s="523" t="s">
        <v>450</v>
      </c>
      <c r="C11" s="720">
        <v>113257400.0468</v>
      </c>
      <c r="D11" s="713">
        <v>81641503.285400003</v>
      </c>
      <c r="E11" s="713">
        <v>3592435.22</v>
      </c>
      <c r="F11" s="713">
        <v>0</v>
      </c>
      <c r="G11" s="713">
        <v>0</v>
      </c>
      <c r="H11" s="713">
        <v>18731624.042399999</v>
      </c>
      <c r="I11" s="713">
        <v>10694864.969799999</v>
      </c>
      <c r="J11" s="713">
        <v>521288.26730000001</v>
      </c>
      <c r="K11" s="713">
        <v>0</v>
      </c>
      <c r="L11" s="713">
        <v>4713549.5903000003</v>
      </c>
      <c r="M11" s="713">
        <v>0</v>
      </c>
      <c r="N11" s="713">
        <v>1621881.9591000001</v>
      </c>
      <c r="O11" s="713">
        <v>103032.9801</v>
      </c>
      <c r="P11" s="713">
        <v>437875.37150000001</v>
      </c>
      <c r="Q11" s="713">
        <v>655556.92339999997</v>
      </c>
      <c r="R11" s="713">
        <v>1895202.3562</v>
      </c>
      <c r="S11" s="713">
        <v>0</v>
      </c>
      <c r="T11" s="713">
        <v>8170723.1287000002</v>
      </c>
      <c r="U11" s="713">
        <v>0</v>
      </c>
      <c r="V11" s="713">
        <v>0</v>
      </c>
      <c r="W11" s="713">
        <v>0</v>
      </c>
      <c r="X11" s="713">
        <v>0</v>
      </c>
      <c r="Y11" s="713">
        <v>0</v>
      </c>
      <c r="Z11" s="713">
        <v>0</v>
      </c>
      <c r="AA11" s="718">
        <v>0</v>
      </c>
      <c r="AB11" s="519"/>
      <c r="AC11" s="519"/>
    </row>
    <row r="12" spans="1:29" s="514" customFormat="1" ht="22.8" customHeight="1">
      <c r="A12" s="522" t="s">
        <v>451</v>
      </c>
      <c r="B12" s="523" t="s">
        <v>452</v>
      </c>
      <c r="C12" s="719">
        <v>39581741.3671</v>
      </c>
      <c r="D12" s="713">
        <v>34412780.207099997</v>
      </c>
      <c r="E12" s="713">
        <v>0</v>
      </c>
      <c r="F12" s="713">
        <v>0</v>
      </c>
      <c r="G12" s="713">
        <v>0</v>
      </c>
      <c r="H12" s="713">
        <v>0</v>
      </c>
      <c r="I12" s="713">
        <v>0</v>
      </c>
      <c r="J12" s="713">
        <v>0</v>
      </c>
      <c r="K12" s="713">
        <v>0</v>
      </c>
      <c r="L12" s="713">
        <v>5168961.16</v>
      </c>
      <c r="M12" s="713">
        <v>0</v>
      </c>
      <c r="N12" s="713">
        <v>0</v>
      </c>
      <c r="O12" s="713">
        <v>0</v>
      </c>
      <c r="P12" s="713">
        <v>0</v>
      </c>
      <c r="Q12" s="713">
        <v>0</v>
      </c>
      <c r="R12" s="713">
        <v>5168961.16</v>
      </c>
      <c r="S12" s="713">
        <v>0</v>
      </c>
      <c r="T12" s="713">
        <v>0</v>
      </c>
      <c r="U12" s="713">
        <v>0</v>
      </c>
      <c r="V12" s="713">
        <v>0</v>
      </c>
      <c r="W12" s="713">
        <v>0</v>
      </c>
      <c r="X12" s="713">
        <v>0</v>
      </c>
      <c r="Y12" s="713">
        <v>0</v>
      </c>
      <c r="Z12" s="713">
        <v>0</v>
      </c>
      <c r="AA12" s="718">
        <v>0</v>
      </c>
      <c r="AB12" s="519"/>
      <c r="AC12" s="519"/>
    </row>
    <row r="13" spans="1:29" s="514" customFormat="1" ht="22.8" customHeight="1">
      <c r="A13" s="522" t="s">
        <v>453</v>
      </c>
      <c r="B13" s="523" t="s">
        <v>454</v>
      </c>
      <c r="C13" s="719">
        <v>63161269.374300003</v>
      </c>
      <c r="D13" s="713">
        <v>55564723.141599998</v>
      </c>
      <c r="E13" s="713">
        <v>0</v>
      </c>
      <c r="F13" s="713">
        <v>0</v>
      </c>
      <c r="G13" s="713">
        <v>0</v>
      </c>
      <c r="H13" s="713">
        <v>7596546.2326999996</v>
      </c>
      <c r="I13" s="713">
        <v>0</v>
      </c>
      <c r="J13" s="713">
        <v>0</v>
      </c>
      <c r="K13" s="713">
        <v>0</v>
      </c>
      <c r="L13" s="713">
        <v>0</v>
      </c>
      <c r="M13" s="713">
        <v>0</v>
      </c>
      <c r="N13" s="713">
        <v>0</v>
      </c>
      <c r="O13" s="713">
        <v>0</v>
      </c>
      <c r="P13" s="713">
        <v>0</v>
      </c>
      <c r="Q13" s="713">
        <v>0</v>
      </c>
      <c r="R13" s="713">
        <v>0</v>
      </c>
      <c r="S13" s="713">
        <v>0</v>
      </c>
      <c r="T13" s="713">
        <v>0</v>
      </c>
      <c r="U13" s="713">
        <v>0</v>
      </c>
      <c r="V13" s="713">
        <v>0</v>
      </c>
      <c r="W13" s="713">
        <v>0</v>
      </c>
      <c r="X13" s="713">
        <v>0</v>
      </c>
      <c r="Y13" s="713">
        <v>0</v>
      </c>
      <c r="Z13" s="713">
        <v>0</v>
      </c>
      <c r="AA13" s="718">
        <v>0</v>
      </c>
      <c r="AB13" s="519"/>
      <c r="AC13" s="519"/>
    </row>
    <row r="14" spans="1:29" s="514" customFormat="1" ht="22.8" customHeight="1">
      <c r="A14" s="522" t="s">
        <v>455</v>
      </c>
      <c r="B14" s="523" t="s">
        <v>456</v>
      </c>
      <c r="C14" s="719">
        <v>54283030.813000001</v>
      </c>
      <c r="D14" s="713">
        <v>46754781.039800003</v>
      </c>
      <c r="E14" s="713">
        <v>7202351.4585999995</v>
      </c>
      <c r="F14" s="713">
        <v>0</v>
      </c>
      <c r="G14" s="713">
        <v>0</v>
      </c>
      <c r="H14" s="713">
        <v>865019.44880000001</v>
      </c>
      <c r="I14" s="713">
        <v>0</v>
      </c>
      <c r="J14" s="713">
        <v>0</v>
      </c>
      <c r="K14" s="713">
        <v>0</v>
      </c>
      <c r="L14" s="713">
        <v>4195535.7655999996</v>
      </c>
      <c r="M14" s="713">
        <v>0</v>
      </c>
      <c r="N14" s="713">
        <v>0</v>
      </c>
      <c r="O14" s="713">
        <v>0</v>
      </c>
      <c r="P14" s="713">
        <v>0</v>
      </c>
      <c r="Q14" s="713">
        <v>0</v>
      </c>
      <c r="R14" s="713">
        <v>0</v>
      </c>
      <c r="S14" s="713">
        <v>4195535.7655999996</v>
      </c>
      <c r="T14" s="713">
        <v>2467694.5588000002</v>
      </c>
      <c r="U14" s="713">
        <v>0</v>
      </c>
      <c r="V14" s="713">
        <v>0</v>
      </c>
      <c r="W14" s="713">
        <v>0</v>
      </c>
      <c r="X14" s="713">
        <v>0</v>
      </c>
      <c r="Y14" s="713">
        <v>0</v>
      </c>
      <c r="Z14" s="713">
        <v>2467694.5588000002</v>
      </c>
      <c r="AA14" s="718">
        <v>0</v>
      </c>
      <c r="AB14" s="519"/>
      <c r="AC14" s="519"/>
    </row>
    <row r="15" spans="1:29" s="514" customFormat="1" ht="22.8" customHeight="1">
      <c r="A15" s="522">
        <v>1.2</v>
      </c>
      <c r="B15" s="523" t="s">
        <v>650</v>
      </c>
      <c r="C15" s="719">
        <v>8099140.0530000003</v>
      </c>
      <c r="D15" s="713">
        <v>1878813.5918000001</v>
      </c>
      <c r="E15" s="713">
        <v>161355.75580000001</v>
      </c>
      <c r="F15" s="713">
        <v>0</v>
      </c>
      <c r="G15" s="713">
        <v>0</v>
      </c>
      <c r="H15" s="713">
        <v>615210.63489999995</v>
      </c>
      <c r="I15" s="713">
        <v>29842.526999999998</v>
      </c>
      <c r="J15" s="713">
        <v>1631.5800999999999</v>
      </c>
      <c r="K15" s="713">
        <v>0</v>
      </c>
      <c r="L15" s="713">
        <v>2056321.324</v>
      </c>
      <c r="M15" s="713">
        <v>0</v>
      </c>
      <c r="N15" s="713">
        <v>158589.0196</v>
      </c>
      <c r="O15" s="713">
        <v>10210.723099999999</v>
      </c>
      <c r="P15" s="713">
        <v>41929.073700000001</v>
      </c>
      <c r="Q15" s="713">
        <v>61410.232199999999</v>
      </c>
      <c r="R15" s="713">
        <v>737850.49659999995</v>
      </c>
      <c r="S15" s="713">
        <v>1046331.7788</v>
      </c>
      <c r="T15" s="713">
        <v>3548794.5022999998</v>
      </c>
      <c r="U15" s="713">
        <v>0</v>
      </c>
      <c r="V15" s="713">
        <v>0</v>
      </c>
      <c r="W15" s="713">
        <v>0</v>
      </c>
      <c r="X15" s="713">
        <v>0</v>
      </c>
      <c r="Y15" s="713">
        <v>0</v>
      </c>
      <c r="Z15" s="713">
        <v>1794715.1146</v>
      </c>
      <c r="AA15" s="718">
        <v>0</v>
      </c>
      <c r="AB15" s="519"/>
      <c r="AC15" s="519"/>
    </row>
    <row r="16" spans="1:29" s="514" customFormat="1" ht="22.8" customHeight="1">
      <c r="A16" s="520">
        <v>1.3</v>
      </c>
      <c r="B16" s="523" t="s">
        <v>495</v>
      </c>
      <c r="C16" s="721"/>
      <c r="D16" s="722"/>
      <c r="E16" s="722"/>
      <c r="F16" s="722"/>
      <c r="G16" s="722"/>
      <c r="H16" s="722"/>
      <c r="I16" s="722"/>
      <c r="J16" s="722"/>
      <c r="K16" s="722"/>
      <c r="L16" s="722"/>
      <c r="M16" s="722"/>
      <c r="N16" s="722"/>
      <c r="O16" s="722"/>
      <c r="P16" s="722"/>
      <c r="Q16" s="722"/>
      <c r="R16" s="722"/>
      <c r="S16" s="722"/>
      <c r="T16" s="722"/>
      <c r="U16" s="722"/>
      <c r="V16" s="722"/>
      <c r="W16" s="722"/>
      <c r="X16" s="722"/>
      <c r="Y16" s="722"/>
      <c r="Z16" s="722"/>
      <c r="AA16" s="723"/>
      <c r="AB16" s="519"/>
      <c r="AC16" s="519"/>
    </row>
    <row r="17" spans="1:29" s="514" customFormat="1" ht="22.8" customHeight="1">
      <c r="A17" s="524" t="s">
        <v>457</v>
      </c>
      <c r="B17" s="525" t="s">
        <v>458</v>
      </c>
      <c r="C17" s="713">
        <v>246264912.6313</v>
      </c>
      <c r="D17" s="713">
        <v>198610912.1489</v>
      </c>
      <c r="E17" s="713">
        <v>7360319.8293000003</v>
      </c>
      <c r="F17" s="713">
        <v>0</v>
      </c>
      <c r="G17" s="713">
        <v>0</v>
      </c>
      <c r="H17" s="713">
        <v>26696614.975900002</v>
      </c>
      <c r="I17" s="713">
        <v>10655594.301000001</v>
      </c>
      <c r="J17" s="713">
        <v>507897.59999999998</v>
      </c>
      <c r="K17" s="713">
        <v>0</v>
      </c>
      <c r="L17" s="713">
        <v>11860031.4515</v>
      </c>
      <c r="M17" s="713">
        <v>0</v>
      </c>
      <c r="N17" s="713">
        <v>1585890.1954999999</v>
      </c>
      <c r="O17" s="713">
        <v>102107.2309</v>
      </c>
      <c r="P17" s="713">
        <v>419290.73700000002</v>
      </c>
      <c r="Q17" s="713">
        <v>614102.32129999995</v>
      </c>
      <c r="R17" s="713">
        <v>5791324.9667999996</v>
      </c>
      <c r="S17" s="713">
        <v>3347316</v>
      </c>
      <c r="T17" s="713">
        <v>9097354.0549999997</v>
      </c>
      <c r="U17" s="713">
        <v>0</v>
      </c>
      <c r="V17" s="713">
        <v>0</v>
      </c>
      <c r="W17" s="713">
        <v>0</v>
      </c>
      <c r="X17" s="713">
        <v>0</v>
      </c>
      <c r="Y17" s="713">
        <v>0</v>
      </c>
      <c r="Z17" s="713">
        <v>990198.21790000005</v>
      </c>
      <c r="AA17" s="718">
        <v>0</v>
      </c>
      <c r="AB17" s="519"/>
      <c r="AC17" s="519"/>
    </row>
    <row r="18" spans="1:29" s="514" customFormat="1" ht="22.8" customHeight="1">
      <c r="A18" s="524" t="s">
        <v>459</v>
      </c>
      <c r="B18" s="525" t="s">
        <v>460</v>
      </c>
      <c r="C18" s="724">
        <v>240741409.0713</v>
      </c>
      <c r="D18" s="713">
        <v>193087411.1561</v>
      </c>
      <c r="E18" s="713">
        <v>7360319.8293000003</v>
      </c>
      <c r="F18" s="713">
        <v>0</v>
      </c>
      <c r="G18" s="713">
        <v>0</v>
      </c>
      <c r="H18" s="713">
        <v>26696614.975900002</v>
      </c>
      <c r="I18" s="713">
        <v>10655594.301000001</v>
      </c>
      <c r="J18" s="713">
        <v>507897.59999999998</v>
      </c>
      <c r="K18" s="713">
        <v>0</v>
      </c>
      <c r="L18" s="713">
        <v>11860031.4515</v>
      </c>
      <c r="M18" s="713">
        <v>0</v>
      </c>
      <c r="N18" s="713">
        <v>1585890.1954999999</v>
      </c>
      <c r="O18" s="713">
        <v>102107.2309</v>
      </c>
      <c r="P18" s="713">
        <v>419290.73700000002</v>
      </c>
      <c r="Q18" s="713">
        <v>614102.32129999995</v>
      </c>
      <c r="R18" s="713">
        <v>5791324.9667999996</v>
      </c>
      <c r="S18" s="713">
        <v>3347316</v>
      </c>
      <c r="T18" s="713">
        <v>9097351.4878000002</v>
      </c>
      <c r="U18" s="713">
        <v>0</v>
      </c>
      <c r="V18" s="713">
        <v>0</v>
      </c>
      <c r="W18" s="713">
        <v>0</v>
      </c>
      <c r="X18" s="713">
        <v>0</v>
      </c>
      <c r="Y18" s="713">
        <v>0</v>
      </c>
      <c r="Z18" s="713">
        <v>990195.6507</v>
      </c>
      <c r="AA18" s="718">
        <v>0</v>
      </c>
      <c r="AB18" s="519"/>
      <c r="AC18" s="519"/>
    </row>
    <row r="19" spans="1:29" s="514" customFormat="1" ht="22.8" customHeight="1">
      <c r="A19" s="524" t="s">
        <v>461</v>
      </c>
      <c r="B19" s="525" t="s">
        <v>462</v>
      </c>
      <c r="C19" s="724">
        <v>270085057.57450002</v>
      </c>
      <c r="D19" s="713">
        <v>231962641.4165</v>
      </c>
      <c r="E19" s="713">
        <v>2514775.6072999998</v>
      </c>
      <c r="F19" s="713">
        <v>0</v>
      </c>
      <c r="G19" s="713">
        <v>0</v>
      </c>
      <c r="H19" s="713">
        <v>21516024.790899999</v>
      </c>
      <c r="I19" s="713">
        <v>14652261.863600001</v>
      </c>
      <c r="J19" s="713">
        <v>441600.9327</v>
      </c>
      <c r="K19" s="713">
        <v>0</v>
      </c>
      <c r="L19" s="713">
        <v>11156200.265699999</v>
      </c>
      <c r="M19" s="713">
        <v>0</v>
      </c>
      <c r="N19" s="713">
        <v>3726219.5326</v>
      </c>
      <c r="O19" s="713">
        <v>129753.41989999999</v>
      </c>
      <c r="P19" s="713">
        <v>546176.28150000004</v>
      </c>
      <c r="Q19" s="713">
        <v>1136654.1455000001</v>
      </c>
      <c r="R19" s="713">
        <v>5617396.8861999996</v>
      </c>
      <c r="S19" s="713">
        <v>0</v>
      </c>
      <c r="T19" s="713">
        <v>5450191.1014</v>
      </c>
      <c r="U19" s="713">
        <v>0</v>
      </c>
      <c r="V19" s="713">
        <v>0</v>
      </c>
      <c r="W19" s="713">
        <v>0</v>
      </c>
      <c r="X19" s="713">
        <v>0</v>
      </c>
      <c r="Y19" s="713">
        <v>0</v>
      </c>
      <c r="Z19" s="713">
        <v>0</v>
      </c>
      <c r="AA19" s="718">
        <v>0</v>
      </c>
      <c r="AB19" s="519"/>
      <c r="AC19" s="519"/>
    </row>
    <row r="20" spans="1:29" s="514" customFormat="1" ht="22.8" customHeight="1">
      <c r="A20" s="524" t="s">
        <v>463</v>
      </c>
      <c r="B20" s="525" t="s">
        <v>460</v>
      </c>
      <c r="C20" s="724">
        <v>247365750.98500001</v>
      </c>
      <c r="D20" s="713">
        <v>209987428.93630001</v>
      </c>
      <c r="E20" s="713">
        <v>2514775.6072999998</v>
      </c>
      <c r="F20" s="713">
        <v>0</v>
      </c>
      <c r="G20" s="713">
        <v>0</v>
      </c>
      <c r="H20" s="713">
        <v>20989771.454100002</v>
      </c>
      <c r="I20" s="713">
        <v>14652261.863600001</v>
      </c>
      <c r="J20" s="713">
        <v>364887.23269999999</v>
      </c>
      <c r="K20" s="713">
        <v>0</v>
      </c>
      <c r="L20" s="713">
        <v>10938359.4932</v>
      </c>
      <c r="M20" s="713">
        <v>0</v>
      </c>
      <c r="N20" s="713">
        <v>3726219.5326</v>
      </c>
      <c r="O20" s="713">
        <v>129753.41989999999</v>
      </c>
      <c r="P20" s="713">
        <v>546176.22849999997</v>
      </c>
      <c r="Q20" s="713">
        <v>984398.77280000004</v>
      </c>
      <c r="R20" s="713">
        <v>5551811.5394000001</v>
      </c>
      <c r="S20" s="713">
        <v>0</v>
      </c>
      <c r="T20" s="713">
        <v>5450191.1014</v>
      </c>
      <c r="U20" s="713">
        <v>0</v>
      </c>
      <c r="V20" s="713">
        <v>0</v>
      </c>
      <c r="W20" s="713">
        <v>0</v>
      </c>
      <c r="X20" s="713">
        <v>0</v>
      </c>
      <c r="Y20" s="713">
        <v>0</v>
      </c>
      <c r="Z20" s="713">
        <v>0</v>
      </c>
      <c r="AA20" s="718">
        <v>0</v>
      </c>
      <c r="AB20" s="519"/>
      <c r="AC20" s="519"/>
    </row>
    <row r="21" spans="1:29" s="514" customFormat="1" ht="22.8" customHeight="1">
      <c r="A21" s="526">
        <v>1.4</v>
      </c>
      <c r="B21" s="525" t="s">
        <v>464</v>
      </c>
      <c r="C21" s="724"/>
      <c r="D21" s="713"/>
      <c r="E21" s="713"/>
      <c r="F21" s="713"/>
      <c r="G21" s="713"/>
      <c r="H21" s="713"/>
      <c r="I21" s="713"/>
      <c r="J21" s="713"/>
      <c r="K21" s="713"/>
      <c r="L21" s="713"/>
      <c r="M21" s="713"/>
      <c r="N21" s="713"/>
      <c r="O21" s="713"/>
      <c r="P21" s="713"/>
      <c r="Q21" s="713"/>
      <c r="R21" s="713"/>
      <c r="S21" s="713"/>
      <c r="T21" s="713"/>
      <c r="U21" s="713"/>
      <c r="V21" s="713"/>
      <c r="W21" s="713"/>
      <c r="X21" s="713"/>
      <c r="Y21" s="713"/>
      <c r="Z21" s="713"/>
      <c r="AA21" s="718"/>
      <c r="AB21" s="519"/>
      <c r="AC21" s="519"/>
    </row>
    <row r="22" spans="1:29" s="514" customFormat="1" ht="22.8" customHeight="1" thickBot="1">
      <c r="A22" s="527">
        <v>1.5</v>
      </c>
      <c r="B22" s="528" t="s">
        <v>465</v>
      </c>
      <c r="C22" s="725"/>
      <c r="D22" s="726"/>
      <c r="E22" s="726"/>
      <c r="F22" s="726"/>
      <c r="G22" s="726"/>
      <c r="H22" s="726"/>
      <c r="I22" s="726"/>
      <c r="J22" s="726"/>
      <c r="K22" s="726"/>
      <c r="L22" s="726"/>
      <c r="M22" s="726"/>
      <c r="N22" s="726"/>
      <c r="O22" s="726"/>
      <c r="P22" s="726"/>
      <c r="Q22" s="726"/>
      <c r="R22" s="726"/>
      <c r="S22" s="726"/>
      <c r="T22" s="726"/>
      <c r="U22" s="726"/>
      <c r="V22" s="726"/>
      <c r="W22" s="726"/>
      <c r="X22" s="726"/>
      <c r="Y22" s="726"/>
      <c r="Z22" s="726"/>
      <c r="AA22" s="727"/>
      <c r="AB22" s="519"/>
      <c r="AC22" s="519"/>
    </row>
    <row r="24" spans="1:29">
      <c r="C24" s="451"/>
      <c r="D24" s="451"/>
      <c r="E24" s="451"/>
      <c r="F24" s="451"/>
      <c r="G24" s="451"/>
      <c r="H24" s="451"/>
      <c r="I24" s="451"/>
      <c r="J24" s="451"/>
      <c r="K24" s="451"/>
      <c r="L24" s="451"/>
      <c r="M24" s="451"/>
      <c r="N24" s="451"/>
      <c r="O24" s="451"/>
      <c r="P24" s="451"/>
      <c r="Q24" s="451"/>
      <c r="R24" s="451"/>
      <c r="S24" s="451"/>
      <c r="T24" s="451"/>
      <c r="U24" s="451"/>
      <c r="V24" s="451"/>
      <c r="W24" s="451"/>
      <c r="X24" s="451"/>
      <c r="Y24" s="451"/>
      <c r="Z24" s="451"/>
      <c r="AA24" s="451"/>
    </row>
    <row r="25" spans="1:29">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row>
    <row r="26" spans="1:29">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row>
    <row r="27" spans="1:29">
      <c r="C27" s="451"/>
      <c r="D27" s="451"/>
      <c r="E27" s="451"/>
      <c r="F27" s="451"/>
      <c r="G27" s="451"/>
      <c r="H27" s="451"/>
      <c r="I27" s="451"/>
      <c r="J27" s="451"/>
      <c r="K27" s="451"/>
      <c r="L27" s="451"/>
      <c r="M27" s="451"/>
      <c r="N27" s="451"/>
      <c r="O27" s="451"/>
      <c r="P27" s="451"/>
      <c r="Q27" s="451"/>
      <c r="R27" s="451"/>
      <c r="S27" s="451"/>
      <c r="T27" s="451"/>
      <c r="U27" s="451"/>
      <c r="V27" s="451"/>
      <c r="W27" s="451"/>
      <c r="X27" s="451"/>
      <c r="Y27" s="451"/>
      <c r="Z27" s="451"/>
      <c r="AA27" s="451"/>
    </row>
    <row r="28" spans="1:29">
      <c r="C28" s="451"/>
      <c r="D28" s="451"/>
      <c r="E28" s="451"/>
      <c r="F28" s="451"/>
      <c r="G28" s="451"/>
      <c r="H28" s="451"/>
      <c r="I28" s="451"/>
      <c r="J28" s="451"/>
      <c r="K28" s="451"/>
      <c r="L28" s="451"/>
      <c r="M28" s="451"/>
      <c r="N28" s="451"/>
      <c r="O28" s="451"/>
      <c r="P28" s="451"/>
      <c r="Q28" s="451"/>
      <c r="R28" s="451"/>
      <c r="S28" s="451"/>
      <c r="T28" s="451"/>
      <c r="U28" s="451"/>
      <c r="V28" s="451"/>
      <c r="W28" s="451"/>
      <c r="X28" s="451"/>
      <c r="Y28" s="451"/>
      <c r="Z28" s="451"/>
      <c r="AA28" s="451"/>
    </row>
    <row r="29" spans="1:29">
      <c r="C29" s="451"/>
      <c r="D29" s="451"/>
      <c r="E29" s="451"/>
      <c r="F29" s="451"/>
      <c r="G29" s="451"/>
      <c r="H29" s="451"/>
      <c r="I29" s="451"/>
      <c r="J29" s="451"/>
      <c r="K29" s="451"/>
      <c r="L29" s="451"/>
      <c r="M29" s="451"/>
      <c r="N29" s="451"/>
      <c r="O29" s="451"/>
      <c r="P29" s="451"/>
      <c r="Q29" s="451"/>
      <c r="R29" s="451"/>
      <c r="S29" s="451"/>
      <c r="T29" s="451"/>
      <c r="U29" s="451"/>
      <c r="V29" s="451"/>
      <c r="W29" s="451"/>
      <c r="X29" s="451"/>
      <c r="Y29" s="451"/>
      <c r="Z29" s="451"/>
      <c r="AA29" s="451"/>
    </row>
    <row r="30" spans="1:29">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451"/>
      <c r="AA30" s="451"/>
    </row>
    <row r="31" spans="1:29">
      <c r="C31" s="451"/>
      <c r="D31" s="451"/>
      <c r="E31" s="451"/>
      <c r="F31" s="451"/>
      <c r="G31" s="451"/>
      <c r="H31" s="451"/>
      <c r="I31" s="451"/>
      <c r="J31" s="451"/>
      <c r="K31" s="451"/>
      <c r="L31" s="451"/>
      <c r="M31" s="451"/>
      <c r="N31" s="451"/>
      <c r="O31" s="451"/>
      <c r="P31" s="451"/>
      <c r="Q31" s="451"/>
      <c r="R31" s="451"/>
      <c r="S31" s="451"/>
      <c r="T31" s="451"/>
      <c r="U31" s="451"/>
      <c r="V31" s="451"/>
      <c r="W31" s="451"/>
      <c r="X31" s="451"/>
      <c r="Y31" s="451"/>
      <c r="Z31" s="451"/>
      <c r="AA31" s="451"/>
    </row>
    <row r="32" spans="1:29">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c r="AA32" s="451"/>
    </row>
    <row r="33" spans="3:27">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row>
    <row r="34" spans="3:27">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c r="AA34" s="451"/>
    </row>
    <row r="35" spans="3:27">
      <c r="C35" s="451"/>
      <c r="D35" s="451"/>
      <c r="E35" s="451"/>
      <c r="F35" s="451"/>
      <c r="G35" s="451"/>
      <c r="H35" s="451"/>
      <c r="I35" s="451"/>
      <c r="J35" s="451"/>
      <c r="K35" s="451"/>
      <c r="L35" s="451"/>
      <c r="M35" s="451"/>
      <c r="N35" s="451"/>
      <c r="O35" s="451"/>
      <c r="P35" s="451"/>
      <c r="Q35" s="451"/>
      <c r="R35" s="451"/>
      <c r="S35" s="451"/>
      <c r="T35" s="451"/>
      <c r="U35" s="451"/>
      <c r="V35" s="451"/>
      <c r="W35" s="451"/>
      <c r="X35" s="451"/>
      <c r="Y35" s="451"/>
      <c r="Z35" s="451"/>
      <c r="AA35" s="451"/>
    </row>
    <row r="36" spans="3:27">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c r="AA36" s="451"/>
    </row>
    <row r="37" spans="3:27">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c r="AA37" s="451"/>
    </row>
    <row r="38" spans="3:27">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451"/>
    </row>
    <row r="39" spans="3:27">
      <c r="C39" s="452"/>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paperSize="9" scale="13" orientation="portrait" horizontalDpi="300" verticalDpi="300" r:id="rId1"/>
  <headerFooter>
    <oddFooter>&amp;C_x000D_&amp;1#&amp;"Aptos"&amp;10&amp;K000000 C4 - EXTERNAL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2"/>
  <sheetViews>
    <sheetView topLeftCell="A30" zoomScale="80" zoomScaleNormal="80" workbookViewId="0">
      <selection activeCell="E71" sqref="E71"/>
    </sheetView>
  </sheetViews>
  <sheetFormatPr defaultColWidth="8.77734375" defaultRowHeight="13.8"/>
  <cols>
    <col min="1" max="1" width="8.77734375" style="363"/>
    <col min="2" max="2" width="69.21875" style="364" customWidth="1"/>
    <col min="3" max="3" width="14.77734375" style="361" bestFit="1" customWidth="1"/>
    <col min="4" max="4" width="14.44140625" style="361" customWidth="1"/>
    <col min="5" max="5" width="14.77734375" style="361" bestFit="1" customWidth="1"/>
    <col min="6" max="6" width="14.33203125" style="361" customWidth="1"/>
    <col min="7" max="8" width="14.77734375" style="361" bestFit="1" customWidth="1"/>
    <col min="9" max="16384" width="8.77734375" style="361"/>
  </cols>
  <sheetData>
    <row r="1" spans="1:14">
      <c r="A1" s="107" t="s">
        <v>30</v>
      </c>
      <c r="B1" s="360" t="str">
        <f>'Info '!C2</f>
        <v xml:space="preserve">PASHA Bank Georgia JSC </v>
      </c>
      <c r="C1" s="360"/>
    </row>
    <row r="2" spans="1:14">
      <c r="A2" s="107" t="s">
        <v>31</v>
      </c>
      <c r="B2" s="362">
        <f>'1. key ratios '!B2</f>
        <v>46203</v>
      </c>
      <c r="C2" s="360"/>
    </row>
    <row r="3" spans="1:14" ht="14.4" thickBot="1">
      <c r="A3" s="107"/>
      <c r="B3" s="360"/>
      <c r="C3" s="360"/>
    </row>
    <row r="4" spans="1:14" ht="21" customHeight="1">
      <c r="A4" s="756" t="s">
        <v>6</v>
      </c>
      <c r="B4" s="758" t="s">
        <v>521</v>
      </c>
      <c r="C4" s="760" t="s">
        <v>522</v>
      </c>
      <c r="D4" s="760"/>
      <c r="E4" s="760"/>
      <c r="F4" s="760" t="s">
        <v>523</v>
      </c>
      <c r="G4" s="760"/>
      <c r="H4" s="761"/>
    </row>
    <row r="5" spans="1:14" ht="21" customHeight="1">
      <c r="A5" s="757"/>
      <c r="B5" s="759"/>
      <c r="C5" s="537" t="s">
        <v>32</v>
      </c>
      <c r="D5" s="537" t="s">
        <v>33</v>
      </c>
      <c r="E5" s="537" t="s">
        <v>34</v>
      </c>
      <c r="F5" s="537" t="s">
        <v>32</v>
      </c>
      <c r="G5" s="537" t="s">
        <v>33</v>
      </c>
      <c r="H5" s="538" t="s">
        <v>34</v>
      </c>
    </row>
    <row r="6" spans="1:14" ht="26.55" customHeight="1">
      <c r="A6" s="757"/>
      <c r="B6" s="539" t="s">
        <v>524</v>
      </c>
      <c r="C6" s="762"/>
      <c r="D6" s="763"/>
      <c r="E6" s="763"/>
      <c r="F6" s="763"/>
      <c r="G6" s="763"/>
      <c r="H6" s="764"/>
    </row>
    <row r="7" spans="1:14" ht="22.95" customHeight="1">
      <c r="A7" s="540">
        <v>1</v>
      </c>
      <c r="B7" s="541" t="s">
        <v>525</v>
      </c>
      <c r="C7" s="490">
        <f>SUM(C8:C10)</f>
        <v>18201468.2436</v>
      </c>
      <c r="D7" s="490">
        <f>SUM(D8:D10)</f>
        <v>88567760.199900001</v>
      </c>
      <c r="E7" s="542">
        <f>C7+D7</f>
        <v>106769228.4435</v>
      </c>
      <c r="F7" s="490">
        <f>SUM(F8:F10)</f>
        <v>24210224.5328</v>
      </c>
      <c r="G7" s="490">
        <f>SUM(G8:G10)</f>
        <v>116239038.3818</v>
      </c>
      <c r="H7" s="543">
        <f>F7+G7</f>
        <v>140449262.91459998</v>
      </c>
      <c r="I7" s="410"/>
      <c r="J7" s="410"/>
      <c r="K7" s="410"/>
      <c r="L7" s="410"/>
      <c r="M7" s="410"/>
      <c r="N7" s="410"/>
    </row>
    <row r="8" spans="1:14" ht="14.4">
      <c r="A8" s="540">
        <v>1.1000000000000001</v>
      </c>
      <c r="B8" s="544" t="s">
        <v>526</v>
      </c>
      <c r="C8" s="490">
        <v>521813.6</v>
      </c>
      <c r="D8" s="490">
        <v>2821981.9180000001</v>
      </c>
      <c r="E8" s="542">
        <f t="shared" ref="E8:E36" si="0">C8+D8</f>
        <v>3343795.5180000002</v>
      </c>
      <c r="F8" s="490">
        <v>479445</v>
      </c>
      <c r="G8" s="490">
        <v>3792429.5952000003</v>
      </c>
      <c r="H8" s="543">
        <f t="shared" ref="H8:H36" si="1">F8+G8</f>
        <v>4271874.5952000003</v>
      </c>
      <c r="I8" s="410"/>
      <c r="J8" s="410"/>
      <c r="K8" s="410"/>
      <c r="L8" s="410"/>
      <c r="M8" s="410"/>
      <c r="N8" s="410"/>
    </row>
    <row r="9" spans="1:14" ht="14.4">
      <c r="A9" s="540">
        <v>1.2</v>
      </c>
      <c r="B9" s="544" t="s">
        <v>527</v>
      </c>
      <c r="C9" s="490">
        <v>7516411.2300000004</v>
      </c>
      <c r="D9" s="490">
        <v>21135269.130799998</v>
      </c>
      <c r="E9" s="542">
        <f t="shared" si="0"/>
        <v>28651680.360799998</v>
      </c>
      <c r="F9" s="490">
        <v>2641493.37</v>
      </c>
      <c r="G9" s="490">
        <v>42537082.605099998</v>
      </c>
      <c r="H9" s="543">
        <f t="shared" si="1"/>
        <v>45178575.975099996</v>
      </c>
      <c r="I9" s="410"/>
      <c r="J9" s="410"/>
      <c r="K9" s="410"/>
      <c r="L9" s="410"/>
      <c r="M9" s="410"/>
      <c r="N9" s="410"/>
    </row>
    <row r="10" spans="1:14" ht="14.4">
      <c r="A10" s="540">
        <v>1.3</v>
      </c>
      <c r="B10" s="544" t="s">
        <v>528</v>
      </c>
      <c r="C10" s="490">
        <v>10163243.4136</v>
      </c>
      <c r="D10" s="490">
        <v>64610509.151100002</v>
      </c>
      <c r="E10" s="542">
        <f t="shared" si="0"/>
        <v>74773752.564700007</v>
      </c>
      <c r="F10" s="490">
        <v>21089286.162799999</v>
      </c>
      <c r="G10" s="490">
        <v>69909526.181500003</v>
      </c>
      <c r="H10" s="543">
        <f t="shared" si="1"/>
        <v>90998812.344300002</v>
      </c>
      <c r="I10" s="410"/>
      <c r="J10" s="410"/>
      <c r="K10" s="410"/>
      <c r="L10" s="410"/>
      <c r="M10" s="410"/>
      <c r="N10" s="410"/>
    </row>
    <row r="11" spans="1:14" ht="14.4">
      <c r="A11" s="540">
        <v>2</v>
      </c>
      <c r="B11" s="545" t="s">
        <v>529</v>
      </c>
      <c r="C11" s="490">
        <f>C12</f>
        <v>2902722.7499000002</v>
      </c>
      <c r="D11" s="490">
        <f>D12</f>
        <v>0</v>
      </c>
      <c r="E11" s="542">
        <f t="shared" si="0"/>
        <v>2902722.7499000002</v>
      </c>
      <c r="F11" s="490">
        <f>F12</f>
        <v>1017240.6063</v>
      </c>
      <c r="G11" s="490"/>
      <c r="H11" s="543">
        <f t="shared" si="1"/>
        <v>1017240.6063</v>
      </c>
      <c r="I11" s="410"/>
      <c r="J11" s="410"/>
      <c r="K11" s="410"/>
      <c r="L11" s="410"/>
      <c r="M11" s="410"/>
      <c r="N11" s="410"/>
    </row>
    <row r="12" spans="1:14" ht="14.4">
      <c r="A12" s="540">
        <v>2.1</v>
      </c>
      <c r="B12" s="546" t="s">
        <v>530</v>
      </c>
      <c r="C12" s="490">
        <v>2902722.7499000002</v>
      </c>
      <c r="D12" s="490"/>
      <c r="E12" s="542">
        <f t="shared" si="0"/>
        <v>2902722.7499000002</v>
      </c>
      <c r="F12" s="490">
        <v>1017240.6063</v>
      </c>
      <c r="G12" s="490">
        <v>0</v>
      </c>
      <c r="H12" s="543">
        <f t="shared" si="1"/>
        <v>1017240.6063</v>
      </c>
      <c r="I12" s="410"/>
      <c r="J12" s="410"/>
      <c r="K12" s="410"/>
      <c r="L12" s="410"/>
      <c r="M12" s="410"/>
      <c r="N12" s="410"/>
    </row>
    <row r="13" spans="1:14" ht="26.55" customHeight="1">
      <c r="A13" s="540">
        <v>3</v>
      </c>
      <c r="B13" s="547" t="s">
        <v>531</v>
      </c>
      <c r="C13" s="490"/>
      <c r="D13" s="490"/>
      <c r="E13" s="542">
        <f t="shared" si="0"/>
        <v>0</v>
      </c>
      <c r="F13" s="490"/>
      <c r="G13" s="490"/>
      <c r="H13" s="543">
        <f t="shared" si="1"/>
        <v>0</v>
      </c>
      <c r="I13" s="410"/>
      <c r="J13" s="410"/>
      <c r="K13" s="410"/>
      <c r="L13" s="410"/>
      <c r="M13" s="410"/>
      <c r="N13" s="410"/>
    </row>
    <row r="14" spans="1:14" ht="26.55" customHeight="1">
      <c r="A14" s="540">
        <v>4</v>
      </c>
      <c r="B14" s="548" t="s">
        <v>532</v>
      </c>
      <c r="C14" s="490"/>
      <c r="D14" s="490"/>
      <c r="E14" s="542">
        <f t="shared" si="0"/>
        <v>0</v>
      </c>
      <c r="F14" s="490"/>
      <c r="G14" s="490"/>
      <c r="H14" s="543">
        <f t="shared" si="1"/>
        <v>0</v>
      </c>
      <c r="I14" s="410"/>
      <c r="J14" s="410"/>
      <c r="K14" s="410"/>
      <c r="L14" s="410"/>
      <c r="M14" s="410"/>
      <c r="N14" s="410"/>
    </row>
    <row r="15" spans="1:14" ht="24.45" customHeight="1">
      <c r="A15" s="540">
        <v>5</v>
      </c>
      <c r="B15" s="549" t="s">
        <v>533</v>
      </c>
      <c r="C15" s="535">
        <f>SUM(C16:C18)</f>
        <v>232259662.12529999</v>
      </c>
      <c r="D15" s="535">
        <f>SUM(D16:D18)</f>
        <v>298481027.9249</v>
      </c>
      <c r="E15" s="550">
        <f t="shared" si="0"/>
        <v>530740690.05019999</v>
      </c>
      <c r="F15" s="535">
        <f>SUM(F16:F18)</f>
        <v>236381625.94979995</v>
      </c>
      <c r="G15" s="535">
        <f>SUM(G16:G18)</f>
        <v>210953542.39159998</v>
      </c>
      <c r="H15" s="551">
        <f t="shared" si="1"/>
        <v>447335168.34139991</v>
      </c>
      <c r="I15" s="410"/>
      <c r="J15" s="410"/>
      <c r="K15" s="410"/>
      <c r="L15" s="410"/>
      <c r="M15" s="410"/>
      <c r="N15" s="410"/>
    </row>
    <row r="16" spans="1:14" ht="14.4">
      <c r="A16" s="540">
        <v>5.0999999999999996</v>
      </c>
      <c r="B16" s="552" t="s">
        <v>534</v>
      </c>
      <c r="C16" s="490"/>
      <c r="D16" s="490"/>
      <c r="E16" s="542">
        <f t="shared" si="0"/>
        <v>0</v>
      </c>
      <c r="F16" s="490"/>
      <c r="G16" s="490"/>
      <c r="H16" s="543">
        <f t="shared" si="1"/>
        <v>0</v>
      </c>
      <c r="I16" s="410"/>
      <c r="J16" s="410"/>
      <c r="K16" s="410"/>
      <c r="L16" s="410"/>
      <c r="M16" s="410"/>
      <c r="N16" s="410"/>
    </row>
    <row r="17" spans="1:14" ht="14.4">
      <c r="A17" s="540">
        <v>5.2</v>
      </c>
      <c r="B17" s="552" t="s">
        <v>535</v>
      </c>
      <c r="C17" s="490">
        <v>111028063.9602</v>
      </c>
      <c r="D17" s="490">
        <v>5910494.0043000001</v>
      </c>
      <c r="E17" s="542">
        <f t="shared" si="0"/>
        <v>116938557.9645</v>
      </c>
      <c r="F17" s="490">
        <v>79354005.059999987</v>
      </c>
      <c r="G17" s="490">
        <v>2759158.2740000002</v>
      </c>
      <c r="H17" s="543">
        <f t="shared" si="1"/>
        <v>82113163.333999991</v>
      </c>
      <c r="I17" s="410"/>
      <c r="J17" s="410"/>
      <c r="K17" s="410"/>
      <c r="L17" s="410"/>
      <c r="M17" s="410"/>
      <c r="N17" s="410"/>
    </row>
    <row r="18" spans="1:14" ht="14.4">
      <c r="A18" s="540">
        <v>5.3</v>
      </c>
      <c r="B18" s="553" t="s">
        <v>536</v>
      </c>
      <c r="C18" s="490">
        <v>121231598.16510001</v>
      </c>
      <c r="D18" s="490">
        <v>292570533.9206</v>
      </c>
      <c r="E18" s="542">
        <f t="shared" si="0"/>
        <v>413802132.08570004</v>
      </c>
      <c r="F18" s="490">
        <v>157027620.88979998</v>
      </c>
      <c r="G18" s="490">
        <v>208194384.11759999</v>
      </c>
      <c r="H18" s="543">
        <f t="shared" si="1"/>
        <v>365222005.00739998</v>
      </c>
      <c r="I18" s="410"/>
      <c r="J18" s="410"/>
      <c r="K18" s="410"/>
      <c r="L18" s="410"/>
      <c r="M18" s="410"/>
      <c r="N18" s="410"/>
    </row>
    <row r="19" spans="1:14" ht="14.4">
      <c r="A19" s="540">
        <v>6</v>
      </c>
      <c r="B19" s="547" t="s">
        <v>537</v>
      </c>
      <c r="C19" s="490">
        <f>SUM(C20:C21)</f>
        <v>0</v>
      </c>
      <c r="D19" s="490">
        <f>SUM(D20:D21)</f>
        <v>0</v>
      </c>
      <c r="E19" s="542">
        <f t="shared" si="0"/>
        <v>0</v>
      </c>
      <c r="F19" s="490">
        <f>SUM(F20:F21)</f>
        <v>0</v>
      </c>
      <c r="G19" s="490">
        <f>SUM(G20:G21)</f>
        <v>0</v>
      </c>
      <c r="H19" s="543">
        <f t="shared" si="1"/>
        <v>0</v>
      </c>
      <c r="I19" s="410"/>
      <c r="J19" s="410"/>
      <c r="K19" s="410"/>
      <c r="L19" s="410"/>
      <c r="M19" s="410"/>
      <c r="N19" s="410"/>
    </row>
    <row r="20" spans="1:14" ht="14.4">
      <c r="A20" s="540">
        <v>6.1</v>
      </c>
      <c r="B20" s="552" t="s">
        <v>535</v>
      </c>
      <c r="C20" s="490"/>
      <c r="D20" s="490"/>
      <c r="E20" s="542">
        <f t="shared" si="0"/>
        <v>0</v>
      </c>
      <c r="F20" s="490"/>
      <c r="G20" s="490"/>
      <c r="H20" s="543">
        <f t="shared" si="1"/>
        <v>0</v>
      </c>
      <c r="I20" s="410"/>
      <c r="J20" s="410"/>
      <c r="K20" s="410"/>
      <c r="L20" s="410"/>
      <c r="M20" s="410"/>
      <c r="N20" s="410"/>
    </row>
    <row r="21" spans="1:14" ht="14.4">
      <c r="A21" s="540">
        <v>6.2</v>
      </c>
      <c r="B21" s="553" t="s">
        <v>536</v>
      </c>
      <c r="C21" s="490"/>
      <c r="D21" s="490"/>
      <c r="E21" s="542">
        <f t="shared" si="0"/>
        <v>0</v>
      </c>
      <c r="F21" s="490"/>
      <c r="G21" s="490"/>
      <c r="H21" s="543">
        <f t="shared" si="1"/>
        <v>0</v>
      </c>
      <c r="I21" s="410"/>
      <c r="J21" s="410"/>
      <c r="K21" s="410"/>
      <c r="L21" s="410"/>
      <c r="M21" s="410"/>
      <c r="N21" s="410"/>
    </row>
    <row r="22" spans="1:14" ht="14.4">
      <c r="A22" s="540">
        <v>7</v>
      </c>
      <c r="B22" s="545" t="s">
        <v>538</v>
      </c>
      <c r="C22" s="490"/>
      <c r="D22" s="490"/>
      <c r="E22" s="542">
        <f t="shared" si="0"/>
        <v>0</v>
      </c>
      <c r="F22" s="490"/>
      <c r="G22" s="490"/>
      <c r="H22" s="543">
        <f t="shared" si="1"/>
        <v>0</v>
      </c>
      <c r="I22" s="410"/>
      <c r="J22" s="410"/>
      <c r="K22" s="410"/>
      <c r="L22" s="410"/>
      <c r="M22" s="410"/>
      <c r="N22" s="410"/>
    </row>
    <row r="23" spans="1:14" ht="14.4">
      <c r="A23" s="540">
        <v>8</v>
      </c>
      <c r="B23" s="545" t="s">
        <v>539</v>
      </c>
      <c r="C23" s="490"/>
      <c r="D23" s="490"/>
      <c r="E23" s="542">
        <f t="shared" si="0"/>
        <v>0</v>
      </c>
      <c r="F23" s="490"/>
      <c r="G23" s="490"/>
      <c r="H23" s="543">
        <f t="shared" si="1"/>
        <v>0</v>
      </c>
      <c r="I23" s="410"/>
      <c r="J23" s="410"/>
      <c r="K23" s="410"/>
      <c r="L23" s="410"/>
      <c r="M23" s="410"/>
      <c r="N23" s="410"/>
    </row>
    <row r="24" spans="1:14" ht="14.4">
      <c r="A24" s="540">
        <v>9</v>
      </c>
      <c r="B24" s="548" t="s">
        <v>540</v>
      </c>
      <c r="C24" s="490">
        <f>SUM(C25:C26)</f>
        <v>3769422.66</v>
      </c>
      <c r="D24" s="490">
        <f>SUM(D25:D26)</f>
        <v>0</v>
      </c>
      <c r="E24" s="542">
        <f t="shared" si="0"/>
        <v>3769422.66</v>
      </c>
      <c r="F24" s="490">
        <f>SUM(F25:F26)</f>
        <v>6098430.21</v>
      </c>
      <c r="G24" s="490">
        <f>SUM(G25:G26)</f>
        <v>0</v>
      </c>
      <c r="H24" s="543">
        <f t="shared" si="1"/>
        <v>6098430.21</v>
      </c>
      <c r="I24" s="410"/>
      <c r="J24" s="410"/>
      <c r="K24" s="410"/>
      <c r="L24" s="410"/>
      <c r="M24" s="410"/>
      <c r="N24" s="410"/>
    </row>
    <row r="25" spans="1:14" ht="14.4">
      <c r="A25" s="540">
        <v>9.1</v>
      </c>
      <c r="B25" s="552" t="s">
        <v>541</v>
      </c>
      <c r="C25" s="490">
        <v>3769422.66</v>
      </c>
      <c r="D25" s="490"/>
      <c r="E25" s="542">
        <f t="shared" si="0"/>
        <v>3769422.66</v>
      </c>
      <c r="F25" s="490">
        <v>6098430.21</v>
      </c>
      <c r="G25" s="490">
        <v>0</v>
      </c>
      <c r="H25" s="543">
        <f t="shared" si="1"/>
        <v>6098430.21</v>
      </c>
      <c r="I25" s="410"/>
      <c r="J25" s="410"/>
      <c r="K25" s="410"/>
      <c r="L25" s="410"/>
      <c r="M25" s="410"/>
      <c r="N25" s="410"/>
    </row>
    <row r="26" spans="1:14" ht="14.4">
      <c r="A26" s="540">
        <v>9.1999999999999993</v>
      </c>
      <c r="B26" s="552" t="s">
        <v>542</v>
      </c>
      <c r="C26" s="490"/>
      <c r="D26" s="490"/>
      <c r="E26" s="542">
        <f t="shared" si="0"/>
        <v>0</v>
      </c>
      <c r="F26" s="490"/>
      <c r="G26" s="490"/>
      <c r="H26" s="543">
        <f t="shared" si="1"/>
        <v>0</v>
      </c>
      <c r="I26" s="410"/>
      <c r="J26" s="410"/>
      <c r="K26" s="410"/>
      <c r="L26" s="410"/>
      <c r="M26" s="410"/>
      <c r="N26" s="410"/>
    </row>
    <row r="27" spans="1:14" ht="14.4">
      <c r="A27" s="540">
        <v>10</v>
      </c>
      <c r="B27" s="548" t="s">
        <v>543</v>
      </c>
      <c r="C27" s="490">
        <f>SUM(C28:C29)</f>
        <v>2813344.11</v>
      </c>
      <c r="D27" s="490">
        <f>SUM(D28:D29)</f>
        <v>0</v>
      </c>
      <c r="E27" s="542">
        <f t="shared" si="0"/>
        <v>2813344.11</v>
      </c>
      <c r="F27" s="490">
        <f>SUM(F28:F29)</f>
        <v>3492009.44</v>
      </c>
      <c r="G27" s="490">
        <f>SUM(G28:G29)</f>
        <v>0</v>
      </c>
      <c r="H27" s="543">
        <f t="shared" si="1"/>
        <v>3492009.44</v>
      </c>
      <c r="I27" s="410"/>
      <c r="J27" s="410"/>
      <c r="K27" s="410"/>
      <c r="L27" s="410"/>
      <c r="M27" s="410"/>
      <c r="N27" s="410"/>
    </row>
    <row r="28" spans="1:14" ht="14.4">
      <c r="A28" s="540">
        <v>10.1</v>
      </c>
      <c r="B28" s="552" t="s">
        <v>544</v>
      </c>
      <c r="C28" s="490"/>
      <c r="D28" s="490"/>
      <c r="E28" s="542">
        <f t="shared" si="0"/>
        <v>0</v>
      </c>
      <c r="F28" s="490"/>
      <c r="G28" s="490"/>
      <c r="H28" s="543">
        <f t="shared" si="1"/>
        <v>0</v>
      </c>
      <c r="I28" s="410"/>
      <c r="J28" s="410"/>
      <c r="K28" s="410"/>
      <c r="L28" s="410"/>
      <c r="M28" s="410"/>
      <c r="N28" s="410"/>
    </row>
    <row r="29" spans="1:14" ht="14.4">
      <c r="A29" s="540">
        <v>10.199999999999999</v>
      </c>
      <c r="B29" s="552" t="s">
        <v>545</v>
      </c>
      <c r="C29" s="490">
        <v>2813344.11</v>
      </c>
      <c r="D29" s="490"/>
      <c r="E29" s="542">
        <f t="shared" si="0"/>
        <v>2813344.11</v>
      </c>
      <c r="F29" s="490">
        <v>3492009.44</v>
      </c>
      <c r="G29" s="490"/>
      <c r="H29" s="543">
        <f t="shared" si="1"/>
        <v>3492009.44</v>
      </c>
      <c r="I29" s="410"/>
      <c r="J29" s="410"/>
      <c r="K29" s="410"/>
      <c r="L29" s="410"/>
      <c r="M29" s="410"/>
      <c r="N29" s="410"/>
    </row>
    <row r="30" spans="1:14" ht="14.4">
      <c r="A30" s="540">
        <v>11</v>
      </c>
      <c r="B30" s="548" t="s">
        <v>546</v>
      </c>
      <c r="C30" s="490">
        <f>SUM(C31:C32)</f>
        <v>2267793.91</v>
      </c>
      <c r="D30" s="490">
        <f>SUM(D31:D32)</f>
        <v>0</v>
      </c>
      <c r="E30" s="542">
        <f t="shared" si="0"/>
        <v>2267793.91</v>
      </c>
      <c r="F30" s="490">
        <f>SUM(F31:F32)</f>
        <v>3458618.27</v>
      </c>
      <c r="G30" s="490">
        <f>SUM(G31:G32)</f>
        <v>0</v>
      </c>
      <c r="H30" s="543">
        <f t="shared" si="1"/>
        <v>3458618.27</v>
      </c>
      <c r="I30" s="410"/>
      <c r="J30" s="410"/>
      <c r="K30" s="410"/>
      <c r="L30" s="410"/>
      <c r="M30" s="410"/>
      <c r="N30" s="410"/>
    </row>
    <row r="31" spans="1:14" ht="14.4">
      <c r="A31" s="540">
        <v>11.1</v>
      </c>
      <c r="B31" s="552" t="s">
        <v>547</v>
      </c>
      <c r="C31" s="490"/>
      <c r="D31" s="490"/>
      <c r="E31" s="542">
        <f t="shared" si="0"/>
        <v>0</v>
      </c>
      <c r="F31" s="490"/>
      <c r="G31" s="490"/>
      <c r="H31" s="543">
        <f t="shared" si="1"/>
        <v>0</v>
      </c>
      <c r="I31" s="410"/>
      <c r="J31" s="410"/>
      <c r="K31" s="410"/>
      <c r="L31" s="410"/>
      <c r="M31" s="410"/>
      <c r="N31" s="410"/>
    </row>
    <row r="32" spans="1:14" ht="14.4">
      <c r="A32" s="540">
        <v>11.2</v>
      </c>
      <c r="B32" s="552" t="s">
        <v>548</v>
      </c>
      <c r="C32" s="490">
        <v>2267793.91</v>
      </c>
      <c r="D32" s="490"/>
      <c r="E32" s="542">
        <f t="shared" si="0"/>
        <v>2267793.91</v>
      </c>
      <c r="F32" s="490">
        <v>3458618.27</v>
      </c>
      <c r="G32" s="490"/>
      <c r="H32" s="543">
        <f t="shared" si="1"/>
        <v>3458618.27</v>
      </c>
      <c r="I32" s="410"/>
      <c r="J32" s="410"/>
      <c r="K32" s="410"/>
      <c r="L32" s="410"/>
      <c r="M32" s="410"/>
      <c r="N32" s="410"/>
    </row>
    <row r="33" spans="1:14" ht="14.4">
      <c r="A33" s="540">
        <v>13</v>
      </c>
      <c r="B33" s="548" t="s">
        <v>549</v>
      </c>
      <c r="C33" s="490">
        <v>6127641.0297999997</v>
      </c>
      <c r="D33" s="490">
        <v>5773198.1682999991</v>
      </c>
      <c r="E33" s="542">
        <f t="shared" si="0"/>
        <v>11900839.198099999</v>
      </c>
      <c r="F33" s="490">
        <v>18972392.924899999</v>
      </c>
      <c r="G33" s="490">
        <v>490370.5773</v>
      </c>
      <c r="H33" s="543">
        <f t="shared" si="1"/>
        <v>19462763.5022</v>
      </c>
      <c r="I33" s="410"/>
      <c r="J33" s="410"/>
      <c r="K33" s="410"/>
      <c r="L33" s="410"/>
      <c r="M33" s="410"/>
      <c r="N33" s="410"/>
    </row>
    <row r="34" spans="1:14" ht="14.4">
      <c r="A34" s="540">
        <v>13.1</v>
      </c>
      <c r="B34" s="554" t="s">
        <v>550</v>
      </c>
      <c r="C34" s="490">
        <v>4848246</v>
      </c>
      <c r="D34" s="490"/>
      <c r="E34" s="542">
        <f t="shared" si="0"/>
        <v>4848246</v>
      </c>
      <c r="F34" s="490">
        <v>16664937.84</v>
      </c>
      <c r="G34" s="490"/>
      <c r="H34" s="543">
        <f t="shared" si="1"/>
        <v>16664937.84</v>
      </c>
      <c r="I34" s="410"/>
      <c r="J34" s="410"/>
      <c r="K34" s="410"/>
      <c r="L34" s="410"/>
      <c r="M34" s="410"/>
      <c r="N34" s="410"/>
    </row>
    <row r="35" spans="1:14" ht="14.4">
      <c r="A35" s="540">
        <v>13.2</v>
      </c>
      <c r="B35" s="554" t="s">
        <v>551</v>
      </c>
      <c r="C35" s="490"/>
      <c r="D35" s="490"/>
      <c r="E35" s="542">
        <f t="shared" si="0"/>
        <v>0</v>
      </c>
      <c r="F35" s="490"/>
      <c r="G35" s="490"/>
      <c r="H35" s="543">
        <f t="shared" si="1"/>
        <v>0</v>
      </c>
      <c r="I35" s="410"/>
      <c r="J35" s="410"/>
      <c r="K35" s="410"/>
      <c r="L35" s="410"/>
      <c r="M35" s="410"/>
      <c r="N35" s="410"/>
    </row>
    <row r="36" spans="1:14" ht="14.4">
      <c r="A36" s="540">
        <v>14</v>
      </c>
      <c r="B36" s="548" t="s">
        <v>552</v>
      </c>
      <c r="C36" s="490">
        <f>SUM(C7,C11,C13,C14,C15,C19,C22,C23,C24,C27,C30,C33)</f>
        <v>268342054.82859999</v>
      </c>
      <c r="D36" s="490">
        <f>SUM(D7,D11,D13,D14,D15,D19,D22,D23,D24,D27,D30,D33)</f>
        <v>392821986.29309994</v>
      </c>
      <c r="E36" s="542">
        <f t="shared" si="0"/>
        <v>661164041.12169993</v>
      </c>
      <c r="F36" s="490">
        <f>SUM(F7,F11,F13,F14,F15,F19,F22,F23,F24,F27,F30,F33)</f>
        <v>293630541.93379998</v>
      </c>
      <c r="G36" s="490">
        <f>SUM(G7,G11,G13,G14,G15,G19,G22,G23,G24,G27,G30,G33)</f>
        <v>327682951.35069996</v>
      </c>
      <c r="H36" s="543">
        <f t="shared" si="1"/>
        <v>621313493.28449988</v>
      </c>
      <c r="I36" s="410"/>
      <c r="J36" s="410"/>
      <c r="K36" s="410"/>
      <c r="L36" s="410"/>
      <c r="M36" s="410"/>
      <c r="N36" s="410"/>
    </row>
    <row r="37" spans="1:14" ht="22.5" customHeight="1">
      <c r="A37" s="540"/>
      <c r="B37" s="555" t="s">
        <v>553</v>
      </c>
      <c r="C37" s="753"/>
      <c r="D37" s="754"/>
      <c r="E37" s="754"/>
      <c r="F37" s="754"/>
      <c r="G37" s="754"/>
      <c r="H37" s="755"/>
      <c r="I37" s="410"/>
      <c r="J37" s="410"/>
      <c r="K37" s="410"/>
      <c r="L37" s="410"/>
      <c r="M37" s="410"/>
      <c r="N37" s="410"/>
    </row>
    <row r="38" spans="1:14" ht="14.4">
      <c r="A38" s="540">
        <v>15</v>
      </c>
      <c r="B38" s="545" t="s">
        <v>554</v>
      </c>
      <c r="C38" s="490">
        <f>C39</f>
        <v>147649.30969999998</v>
      </c>
      <c r="D38" s="490">
        <f>D39</f>
        <v>0</v>
      </c>
      <c r="E38" s="542">
        <f>C38+D38</f>
        <v>147649.30969999998</v>
      </c>
      <c r="F38" s="490">
        <f>F39</f>
        <v>414825.7672</v>
      </c>
      <c r="G38" s="490">
        <f>G39</f>
        <v>0</v>
      </c>
      <c r="H38" s="543">
        <f>F38+G38</f>
        <v>414825.7672</v>
      </c>
      <c r="I38" s="410"/>
      <c r="J38" s="410"/>
      <c r="K38" s="410"/>
      <c r="L38" s="410"/>
      <c r="M38" s="410"/>
      <c r="N38" s="410"/>
    </row>
    <row r="39" spans="1:14" ht="14.4">
      <c r="A39" s="540">
        <v>15.1</v>
      </c>
      <c r="B39" s="546" t="s">
        <v>530</v>
      </c>
      <c r="C39" s="490">
        <v>147649.30969999998</v>
      </c>
      <c r="D39" s="490">
        <v>0</v>
      </c>
      <c r="E39" s="542">
        <f t="shared" ref="E39:E53" si="2">C39+D39</f>
        <v>147649.30969999998</v>
      </c>
      <c r="F39" s="490">
        <v>414825.7672</v>
      </c>
      <c r="G39" s="490">
        <v>0</v>
      </c>
      <c r="H39" s="543">
        <f t="shared" ref="H39:H53" si="3">F39+G39</f>
        <v>414825.7672</v>
      </c>
      <c r="I39" s="410"/>
      <c r="J39" s="410"/>
      <c r="K39" s="410"/>
      <c r="L39" s="410"/>
      <c r="M39" s="410"/>
      <c r="N39" s="410"/>
    </row>
    <row r="40" spans="1:14" ht="24" customHeight="1">
      <c r="A40" s="540">
        <v>16</v>
      </c>
      <c r="B40" s="545" t="s">
        <v>555</v>
      </c>
      <c r="C40" s="490"/>
      <c r="D40" s="490"/>
      <c r="E40" s="542">
        <f t="shared" si="2"/>
        <v>0</v>
      </c>
      <c r="F40" s="490"/>
      <c r="G40" s="490"/>
      <c r="H40" s="543">
        <f t="shared" si="3"/>
        <v>0</v>
      </c>
      <c r="I40" s="410"/>
      <c r="J40" s="410"/>
      <c r="K40" s="410"/>
      <c r="L40" s="410"/>
      <c r="M40" s="410"/>
      <c r="N40" s="410"/>
    </row>
    <row r="41" spans="1:14" ht="14.4">
      <c r="A41" s="540">
        <v>17</v>
      </c>
      <c r="B41" s="545" t="s">
        <v>556</v>
      </c>
      <c r="C41" s="490">
        <f>SUM(C42:C45)</f>
        <v>258794930.07999998</v>
      </c>
      <c r="D41" s="490">
        <f>SUM(D42:D45)</f>
        <v>218852852.89569998</v>
      </c>
      <c r="E41" s="542">
        <f t="shared" si="2"/>
        <v>477647782.97569996</v>
      </c>
      <c r="F41" s="490">
        <f>SUM(F42:F45)</f>
        <v>201913638.44999999</v>
      </c>
      <c r="G41" s="490">
        <f>SUM(G42:G45)</f>
        <v>255127709.15870005</v>
      </c>
      <c r="H41" s="543">
        <f t="shared" si="3"/>
        <v>457041347.60870004</v>
      </c>
      <c r="I41" s="410"/>
      <c r="J41" s="410"/>
      <c r="K41" s="410"/>
      <c r="L41" s="410"/>
      <c r="M41" s="410"/>
      <c r="N41" s="410"/>
    </row>
    <row r="42" spans="1:14" ht="14.4">
      <c r="A42" s="540">
        <v>17.100000000000001</v>
      </c>
      <c r="B42" s="556" t="s">
        <v>557</v>
      </c>
      <c r="C42" s="490">
        <v>258794930.07999998</v>
      </c>
      <c r="D42" s="490">
        <v>185542550.24199998</v>
      </c>
      <c r="E42" s="542">
        <f t="shared" si="2"/>
        <v>444337480.32199997</v>
      </c>
      <c r="F42" s="490">
        <v>186900372.69999999</v>
      </c>
      <c r="G42" s="490">
        <v>250156579.35800004</v>
      </c>
      <c r="H42" s="543">
        <f t="shared" si="3"/>
        <v>437056952.05800003</v>
      </c>
      <c r="I42" s="410"/>
      <c r="J42" s="410"/>
      <c r="K42" s="410"/>
      <c r="L42" s="410"/>
      <c r="M42" s="410"/>
      <c r="N42" s="410"/>
    </row>
    <row r="43" spans="1:14" ht="14.4">
      <c r="A43" s="540">
        <v>17.2</v>
      </c>
      <c r="B43" s="544" t="s">
        <v>558</v>
      </c>
      <c r="C43" s="490">
        <v>0</v>
      </c>
      <c r="D43" s="490">
        <v>30377981.6633</v>
      </c>
      <c r="E43" s="542">
        <f t="shared" si="2"/>
        <v>30377981.6633</v>
      </c>
      <c r="F43" s="490">
        <v>15013265.75</v>
      </c>
      <c r="G43" s="490">
        <v>0</v>
      </c>
      <c r="H43" s="543">
        <f t="shared" si="3"/>
        <v>15013265.75</v>
      </c>
      <c r="I43" s="410"/>
      <c r="J43" s="410"/>
      <c r="K43" s="410"/>
      <c r="L43" s="410"/>
      <c r="M43" s="410"/>
      <c r="N43" s="410"/>
    </row>
    <row r="44" spans="1:14" ht="14.4">
      <c r="A44" s="540">
        <v>17.3</v>
      </c>
      <c r="B44" s="556" t="s">
        <v>559</v>
      </c>
      <c r="C44" s="490"/>
      <c r="D44" s="490"/>
      <c r="E44" s="542">
        <f t="shared" si="2"/>
        <v>0</v>
      </c>
      <c r="F44" s="490"/>
      <c r="G44" s="490"/>
      <c r="H44" s="543">
        <f t="shared" si="3"/>
        <v>0</v>
      </c>
      <c r="I44" s="410"/>
      <c r="J44" s="410"/>
      <c r="K44" s="410"/>
      <c r="L44" s="410"/>
      <c r="M44" s="410"/>
      <c r="N44" s="410"/>
    </row>
    <row r="45" spans="1:14" ht="14.4">
      <c r="A45" s="540">
        <v>17.399999999999999</v>
      </c>
      <c r="B45" s="556" t="s">
        <v>560</v>
      </c>
      <c r="C45" s="490">
        <v>0</v>
      </c>
      <c r="D45" s="490">
        <v>2932320.9904</v>
      </c>
      <c r="E45" s="542">
        <f t="shared" si="2"/>
        <v>2932320.9904</v>
      </c>
      <c r="F45" s="490">
        <v>0</v>
      </c>
      <c r="G45" s="490">
        <v>4971129.8007000005</v>
      </c>
      <c r="H45" s="543">
        <f t="shared" si="3"/>
        <v>4971129.8007000005</v>
      </c>
      <c r="I45" s="410"/>
      <c r="J45" s="410"/>
      <c r="K45" s="410"/>
      <c r="L45" s="410"/>
      <c r="M45" s="410"/>
      <c r="N45" s="410"/>
    </row>
    <row r="46" spans="1:14" ht="14.4">
      <c r="A46" s="540">
        <v>18</v>
      </c>
      <c r="B46" s="548" t="s">
        <v>561</v>
      </c>
      <c r="C46" s="490">
        <v>69630.138399999996</v>
      </c>
      <c r="D46" s="490">
        <v>98543.651499999993</v>
      </c>
      <c r="E46" s="542">
        <f t="shared" si="2"/>
        <v>168173.78989999997</v>
      </c>
      <c r="F46" s="490">
        <v>30477.323400000001</v>
      </c>
      <c r="G46" s="490">
        <v>259885.80959999998</v>
      </c>
      <c r="H46" s="543">
        <f t="shared" si="3"/>
        <v>290363.13299999997</v>
      </c>
      <c r="I46" s="410"/>
      <c r="J46" s="410"/>
      <c r="K46" s="410"/>
      <c r="L46" s="410"/>
      <c r="M46" s="410"/>
      <c r="N46" s="410"/>
    </row>
    <row r="47" spans="1:14" ht="14.4">
      <c r="A47" s="540">
        <v>19</v>
      </c>
      <c r="B47" s="548" t="s">
        <v>562</v>
      </c>
      <c r="C47" s="490">
        <f>SUM(C48:C49)</f>
        <v>0</v>
      </c>
      <c r="D47" s="490">
        <f>SUM(D48:D49)</f>
        <v>0</v>
      </c>
      <c r="E47" s="542">
        <f t="shared" si="2"/>
        <v>0</v>
      </c>
      <c r="F47" s="490">
        <f>SUM(F48:F49)</f>
        <v>0</v>
      </c>
      <c r="G47" s="490">
        <f>SUM(G48:G49)</f>
        <v>0</v>
      </c>
      <c r="H47" s="543">
        <f t="shared" si="3"/>
        <v>0</v>
      </c>
      <c r="I47" s="410"/>
      <c r="J47" s="410"/>
      <c r="K47" s="410"/>
      <c r="L47" s="410"/>
      <c r="M47" s="410"/>
      <c r="N47" s="410"/>
    </row>
    <row r="48" spans="1:14" ht="14.4">
      <c r="A48" s="540">
        <v>19.100000000000001</v>
      </c>
      <c r="B48" s="557" t="s">
        <v>563</v>
      </c>
      <c r="C48" s="490"/>
      <c r="D48" s="490"/>
      <c r="E48" s="542">
        <f t="shared" si="2"/>
        <v>0</v>
      </c>
      <c r="F48" s="490"/>
      <c r="G48" s="490"/>
      <c r="H48" s="543">
        <f t="shared" si="3"/>
        <v>0</v>
      </c>
      <c r="I48" s="410"/>
      <c r="J48" s="410"/>
      <c r="K48" s="410"/>
      <c r="L48" s="410"/>
      <c r="M48" s="410"/>
      <c r="N48" s="410"/>
    </row>
    <row r="49" spans="1:14" ht="14.4">
      <c r="A49" s="540">
        <v>19.2</v>
      </c>
      <c r="B49" s="557" t="s">
        <v>564</v>
      </c>
      <c r="C49" s="490"/>
      <c r="D49" s="490"/>
      <c r="E49" s="542">
        <f t="shared" si="2"/>
        <v>0</v>
      </c>
      <c r="F49" s="490"/>
      <c r="G49" s="490"/>
      <c r="H49" s="543">
        <f t="shared" si="3"/>
        <v>0</v>
      </c>
      <c r="I49" s="410"/>
      <c r="J49" s="410"/>
      <c r="K49" s="410"/>
      <c r="L49" s="410"/>
      <c r="M49" s="410"/>
      <c r="N49" s="410"/>
    </row>
    <row r="50" spans="1:14" ht="14.4">
      <c r="A50" s="540">
        <v>20</v>
      </c>
      <c r="B50" s="558" t="s">
        <v>565</v>
      </c>
      <c r="C50" s="490">
        <v>0</v>
      </c>
      <c r="D50" s="490">
        <v>31676030.412500001</v>
      </c>
      <c r="E50" s="542">
        <f t="shared" si="2"/>
        <v>31676030.412500001</v>
      </c>
      <c r="F50" s="490">
        <v>0</v>
      </c>
      <c r="G50" s="490">
        <v>32621914.096799999</v>
      </c>
      <c r="H50" s="543">
        <f t="shared" si="3"/>
        <v>32621914.096799999</v>
      </c>
      <c r="I50" s="410"/>
      <c r="J50" s="410"/>
      <c r="K50" s="410"/>
      <c r="L50" s="410"/>
      <c r="M50" s="410"/>
      <c r="N50" s="410"/>
    </row>
    <row r="51" spans="1:14" ht="14.4">
      <c r="A51" s="540">
        <v>21</v>
      </c>
      <c r="B51" s="545" t="s">
        <v>566</v>
      </c>
      <c r="C51" s="490">
        <v>6279842.0600000005</v>
      </c>
      <c r="D51" s="490">
        <v>1266997.8684999999</v>
      </c>
      <c r="E51" s="542">
        <f t="shared" si="2"/>
        <v>7546839.9285000004</v>
      </c>
      <c r="F51" s="490">
        <v>5850727.3300000001</v>
      </c>
      <c r="G51" s="490">
        <v>639130.52169999992</v>
      </c>
      <c r="H51" s="543">
        <f t="shared" si="3"/>
        <v>6489857.8517000005</v>
      </c>
      <c r="I51" s="410"/>
      <c r="J51" s="410"/>
      <c r="K51" s="410"/>
      <c r="L51" s="410"/>
      <c r="M51" s="410"/>
      <c r="N51" s="410"/>
    </row>
    <row r="52" spans="1:14" ht="14.4">
      <c r="A52" s="540">
        <v>21.1</v>
      </c>
      <c r="B52" s="544" t="s">
        <v>567</v>
      </c>
      <c r="C52" s="490"/>
      <c r="D52" s="490"/>
      <c r="E52" s="542">
        <f t="shared" si="2"/>
        <v>0</v>
      </c>
      <c r="F52" s="490"/>
      <c r="G52" s="490"/>
      <c r="H52" s="543">
        <f t="shared" si="3"/>
        <v>0</v>
      </c>
      <c r="I52" s="410"/>
      <c r="J52" s="410"/>
      <c r="K52" s="410"/>
      <c r="L52" s="410"/>
      <c r="M52" s="410"/>
      <c r="N52" s="410"/>
    </row>
    <row r="53" spans="1:14" ht="14.4">
      <c r="A53" s="540">
        <v>22</v>
      </c>
      <c r="B53" s="549" t="s">
        <v>568</v>
      </c>
      <c r="C53" s="490">
        <f>SUM(C38,C40,C41,C46,C47,C50,C51)</f>
        <v>265292051.58809999</v>
      </c>
      <c r="D53" s="490">
        <f>SUM(D38,D40,D41,D46,D47,D50,D51)</f>
        <v>251894424.82819995</v>
      </c>
      <c r="E53" s="542">
        <f t="shared" si="2"/>
        <v>517186476.41629994</v>
      </c>
      <c r="F53" s="490">
        <f>SUM(F38,F40,F41,F46,F47,F50,F51)</f>
        <v>208209668.87059999</v>
      </c>
      <c r="G53" s="490">
        <f>SUM(G38,G40,G41,G46,G47,G50,G51)</f>
        <v>288648639.5868001</v>
      </c>
      <c r="H53" s="543">
        <f t="shared" si="3"/>
        <v>496858308.45740008</v>
      </c>
      <c r="I53" s="410"/>
      <c r="J53" s="410"/>
      <c r="K53" s="410"/>
      <c r="L53" s="410"/>
      <c r="M53" s="410"/>
      <c r="N53" s="410"/>
    </row>
    <row r="54" spans="1:14" ht="24" customHeight="1">
      <c r="A54" s="540"/>
      <c r="B54" s="555" t="s">
        <v>569</v>
      </c>
      <c r="C54" s="753"/>
      <c r="D54" s="754"/>
      <c r="E54" s="754"/>
      <c r="F54" s="754"/>
      <c r="G54" s="754"/>
      <c r="H54" s="755"/>
      <c r="I54" s="410"/>
      <c r="J54" s="410"/>
      <c r="K54" s="410"/>
      <c r="L54" s="410"/>
      <c r="M54" s="410"/>
      <c r="N54" s="410"/>
    </row>
    <row r="55" spans="1:14" ht="14.4">
      <c r="A55" s="540">
        <v>23</v>
      </c>
      <c r="B55" s="558" t="s">
        <v>710</v>
      </c>
      <c r="C55" s="490">
        <v>136800000</v>
      </c>
      <c r="D55" s="490">
        <v>0</v>
      </c>
      <c r="E55" s="542">
        <f>C55+D55</f>
        <v>136800000</v>
      </c>
      <c r="F55" s="490">
        <v>136800000</v>
      </c>
      <c r="G55" s="490">
        <v>0</v>
      </c>
      <c r="H55" s="543">
        <f>F55+G55</f>
        <v>136800000</v>
      </c>
      <c r="I55" s="410"/>
      <c r="J55" s="410"/>
      <c r="K55" s="410"/>
      <c r="L55" s="410"/>
      <c r="M55" s="410"/>
      <c r="N55" s="410"/>
    </row>
    <row r="56" spans="1:14" ht="14.4">
      <c r="A56" s="540">
        <v>24</v>
      </c>
      <c r="B56" s="558" t="s">
        <v>571</v>
      </c>
      <c r="C56" s="490"/>
      <c r="D56" s="490"/>
      <c r="E56" s="542">
        <f t="shared" ref="E56:E69" si="4">C56+D56</f>
        <v>0</v>
      </c>
      <c r="F56" s="490"/>
      <c r="G56" s="490"/>
      <c r="H56" s="543">
        <f t="shared" ref="H56:H69" si="5">F56+G56</f>
        <v>0</v>
      </c>
      <c r="I56" s="410"/>
      <c r="J56" s="410"/>
      <c r="K56" s="410"/>
      <c r="L56" s="410"/>
      <c r="M56" s="410"/>
      <c r="N56" s="410"/>
    </row>
    <row r="57" spans="1:14" ht="14.4">
      <c r="A57" s="540">
        <v>25</v>
      </c>
      <c r="B57" s="548" t="s">
        <v>572</v>
      </c>
      <c r="C57" s="490"/>
      <c r="D57" s="490"/>
      <c r="E57" s="542">
        <f t="shared" si="4"/>
        <v>0</v>
      </c>
      <c r="F57" s="490"/>
      <c r="G57" s="490"/>
      <c r="H57" s="543">
        <f t="shared" si="5"/>
        <v>0</v>
      </c>
      <c r="I57" s="410"/>
      <c r="J57" s="410"/>
      <c r="K57" s="410"/>
      <c r="L57" s="410"/>
      <c r="M57" s="410"/>
      <c r="N57" s="410"/>
    </row>
    <row r="58" spans="1:14" ht="14.4">
      <c r="A58" s="540">
        <v>26</v>
      </c>
      <c r="B58" s="548" t="s">
        <v>573</v>
      </c>
      <c r="C58" s="490"/>
      <c r="D58" s="490"/>
      <c r="E58" s="542">
        <f t="shared" si="4"/>
        <v>0</v>
      </c>
      <c r="F58" s="490"/>
      <c r="G58" s="490"/>
      <c r="H58" s="543">
        <f t="shared" si="5"/>
        <v>0</v>
      </c>
      <c r="I58" s="410"/>
      <c r="J58" s="410"/>
      <c r="K58" s="410"/>
      <c r="L58" s="410"/>
      <c r="M58" s="410"/>
      <c r="N58" s="410"/>
    </row>
    <row r="59" spans="1:14" ht="14.4">
      <c r="A59" s="540">
        <v>27</v>
      </c>
      <c r="B59" s="548" t="s">
        <v>574</v>
      </c>
      <c r="C59" s="490">
        <f>SUM(C60:C61)</f>
        <v>1154910.5</v>
      </c>
      <c r="D59" s="490">
        <f>SUM(D60:D61)</f>
        <v>13226500</v>
      </c>
      <c r="E59" s="542">
        <f t="shared" si="4"/>
        <v>14381410.5</v>
      </c>
      <c r="F59" s="490">
        <f>SUM(F60:F61)</f>
        <v>1154910.5</v>
      </c>
      <c r="G59" s="490">
        <f>SUM(G60:G61)</f>
        <v>0</v>
      </c>
      <c r="H59" s="543">
        <f t="shared" si="5"/>
        <v>1154910.5</v>
      </c>
      <c r="I59" s="410"/>
      <c r="J59" s="410"/>
      <c r="K59" s="410"/>
      <c r="L59" s="410"/>
      <c r="M59" s="410"/>
      <c r="N59" s="410"/>
    </row>
    <row r="60" spans="1:14" ht="14.4">
      <c r="A60" s="540">
        <v>27.1</v>
      </c>
      <c r="B60" s="556" t="s">
        <v>575</v>
      </c>
      <c r="C60" s="490">
        <v>1154910.5</v>
      </c>
      <c r="D60" s="490">
        <v>0</v>
      </c>
      <c r="E60" s="542">
        <f t="shared" si="4"/>
        <v>1154910.5</v>
      </c>
      <c r="F60" s="490">
        <v>1154910.5</v>
      </c>
      <c r="G60" s="490">
        <v>0</v>
      </c>
      <c r="H60" s="543">
        <f t="shared" si="5"/>
        <v>1154910.5</v>
      </c>
      <c r="I60" s="410"/>
      <c r="J60" s="410"/>
      <c r="K60" s="410"/>
      <c r="L60" s="410"/>
      <c r="M60" s="410"/>
      <c r="N60" s="410"/>
    </row>
    <row r="61" spans="1:14" ht="14.4">
      <c r="A61" s="540">
        <v>27.2</v>
      </c>
      <c r="B61" s="556" t="s">
        <v>576</v>
      </c>
      <c r="C61" s="490"/>
      <c r="D61" s="490">
        <v>13226500</v>
      </c>
      <c r="E61" s="542">
        <f t="shared" si="4"/>
        <v>13226500</v>
      </c>
      <c r="F61" s="490"/>
      <c r="G61" s="490"/>
      <c r="H61" s="543">
        <f t="shared" si="5"/>
        <v>0</v>
      </c>
      <c r="I61" s="410"/>
      <c r="J61" s="410"/>
      <c r="K61" s="410"/>
      <c r="L61" s="410"/>
      <c r="M61" s="410"/>
      <c r="N61" s="410"/>
    </row>
    <row r="62" spans="1:14" ht="14.4">
      <c r="A62" s="540">
        <v>28</v>
      </c>
      <c r="B62" s="559" t="s">
        <v>577</v>
      </c>
      <c r="C62" s="490"/>
      <c r="D62" s="490"/>
      <c r="E62" s="542">
        <f t="shared" si="4"/>
        <v>0</v>
      </c>
      <c r="F62" s="490"/>
      <c r="G62" s="490"/>
      <c r="H62" s="543">
        <f t="shared" si="5"/>
        <v>0</v>
      </c>
      <c r="I62" s="410"/>
      <c r="J62" s="410"/>
      <c r="K62" s="410"/>
      <c r="L62" s="410"/>
      <c r="M62" s="410"/>
      <c r="N62" s="410"/>
    </row>
    <row r="63" spans="1:14" ht="14.4">
      <c r="A63" s="540">
        <v>29</v>
      </c>
      <c r="B63" s="548" t="s">
        <v>578</v>
      </c>
      <c r="C63" s="490">
        <v>0</v>
      </c>
      <c r="D63" s="490">
        <v>0</v>
      </c>
      <c r="E63" s="542">
        <f t="shared" si="4"/>
        <v>0</v>
      </c>
      <c r="F63" s="490">
        <v>0</v>
      </c>
      <c r="G63" s="490">
        <f>SUM(G64:G66)</f>
        <v>0</v>
      </c>
      <c r="H63" s="543">
        <f t="shared" si="5"/>
        <v>0</v>
      </c>
      <c r="I63" s="410"/>
      <c r="J63" s="410"/>
      <c r="K63" s="410"/>
      <c r="L63" s="410"/>
      <c r="M63" s="410"/>
      <c r="N63" s="410"/>
    </row>
    <row r="64" spans="1:14" ht="14.4">
      <c r="A64" s="540">
        <v>29.1</v>
      </c>
      <c r="B64" s="553" t="s">
        <v>579</v>
      </c>
      <c r="C64" s="490"/>
      <c r="D64" s="490"/>
      <c r="E64" s="542">
        <f t="shared" si="4"/>
        <v>0</v>
      </c>
      <c r="F64" s="490"/>
      <c r="G64" s="490"/>
      <c r="H64" s="543">
        <f t="shared" si="5"/>
        <v>0</v>
      </c>
      <c r="I64" s="410"/>
      <c r="J64" s="410"/>
      <c r="K64" s="410"/>
      <c r="L64" s="410"/>
      <c r="M64" s="410"/>
      <c r="N64" s="410"/>
    </row>
    <row r="65" spans="1:14" ht="25.05" customHeight="1">
      <c r="A65" s="540">
        <v>29.2</v>
      </c>
      <c r="B65" s="557" t="s">
        <v>580</v>
      </c>
      <c r="C65" s="490"/>
      <c r="D65" s="490"/>
      <c r="E65" s="542">
        <f t="shared" si="4"/>
        <v>0</v>
      </c>
      <c r="F65" s="490"/>
      <c r="G65" s="490"/>
      <c r="H65" s="543">
        <f t="shared" si="5"/>
        <v>0</v>
      </c>
      <c r="I65" s="410"/>
      <c r="J65" s="410"/>
      <c r="K65" s="410"/>
      <c r="L65" s="410"/>
      <c r="M65" s="410"/>
      <c r="N65" s="410"/>
    </row>
    <row r="66" spans="1:14" ht="22.5" customHeight="1">
      <c r="A66" s="540">
        <v>29.3</v>
      </c>
      <c r="B66" s="557" t="s">
        <v>581</v>
      </c>
      <c r="C66" s="490"/>
      <c r="D66" s="490"/>
      <c r="E66" s="542">
        <f t="shared" si="4"/>
        <v>0</v>
      </c>
      <c r="F66" s="490"/>
      <c r="G66" s="490"/>
      <c r="H66" s="543">
        <f t="shared" si="5"/>
        <v>0</v>
      </c>
      <c r="I66" s="410"/>
      <c r="J66" s="410"/>
      <c r="K66" s="410"/>
      <c r="L66" s="410"/>
      <c r="M66" s="410"/>
      <c r="N66" s="410"/>
    </row>
    <row r="67" spans="1:14" ht="14.4">
      <c r="A67" s="540">
        <v>30</v>
      </c>
      <c r="B67" s="548" t="s">
        <v>582</v>
      </c>
      <c r="C67" s="490">
        <v>-7203845.9896999998</v>
      </c>
      <c r="D67" s="490"/>
      <c r="E67" s="542">
        <f t="shared" si="4"/>
        <v>-7203845.9896999998</v>
      </c>
      <c r="F67" s="490">
        <v>-13499726.210000001</v>
      </c>
      <c r="G67" s="490"/>
      <c r="H67" s="543">
        <f t="shared" si="5"/>
        <v>-13499726.210000001</v>
      </c>
      <c r="I67" s="410"/>
      <c r="J67" s="410"/>
      <c r="K67" s="410"/>
      <c r="L67" s="410"/>
      <c r="M67" s="410"/>
      <c r="N67" s="410"/>
    </row>
    <row r="68" spans="1:14" ht="14.4">
      <c r="A68" s="540">
        <v>31</v>
      </c>
      <c r="B68" s="560" t="s">
        <v>780</v>
      </c>
      <c r="C68" s="490">
        <f>SUM(C55,C56,C57,C58,C59,C62,C63,C67)</f>
        <v>130751064.5103</v>
      </c>
      <c r="D68" s="490">
        <f>SUM(D55,D56,D57,D58,D59,D62,D63,D67)</f>
        <v>13226500</v>
      </c>
      <c r="E68" s="542">
        <f t="shared" si="4"/>
        <v>143977564.51029998</v>
      </c>
      <c r="F68" s="490">
        <f>SUM(F55,F56,F57,F58,F59,F62,F63,F67)</f>
        <v>124455184.28999999</v>
      </c>
      <c r="G68" s="490">
        <f>SUM(G55,G56,G57,G58,G59,G62,G63,G67)</f>
        <v>0</v>
      </c>
      <c r="H68" s="543">
        <f t="shared" si="5"/>
        <v>124455184.28999999</v>
      </c>
      <c r="I68" s="410"/>
      <c r="J68" s="410"/>
      <c r="K68" s="410"/>
      <c r="L68" s="410"/>
      <c r="M68" s="410"/>
      <c r="N68" s="410"/>
    </row>
    <row r="69" spans="1:14" ht="15" thickBot="1">
      <c r="A69" s="561">
        <v>32</v>
      </c>
      <c r="B69" s="562" t="s">
        <v>584</v>
      </c>
      <c r="C69" s="536">
        <f>SUM(C53,C68)</f>
        <v>396043116.0984</v>
      </c>
      <c r="D69" s="536">
        <f>SUM(D53,D68)</f>
        <v>265120924.82819995</v>
      </c>
      <c r="E69" s="563">
        <f t="shared" si="4"/>
        <v>661164040.92659998</v>
      </c>
      <c r="F69" s="536">
        <f>SUM(F53,F68)</f>
        <v>332664853.16059995</v>
      </c>
      <c r="G69" s="536">
        <f>SUM(G53,G68)</f>
        <v>288648639.5868001</v>
      </c>
      <c r="H69" s="564">
        <f t="shared" si="5"/>
        <v>621313492.74740005</v>
      </c>
      <c r="I69" s="410"/>
      <c r="J69" s="410"/>
      <c r="K69" s="410"/>
      <c r="L69" s="410"/>
      <c r="M69" s="410"/>
      <c r="N69" s="410"/>
    </row>
    <row r="72" spans="1:14">
      <c r="B72" s="467" t="s">
        <v>781</v>
      </c>
    </row>
  </sheetData>
  <mergeCells count="7">
    <mergeCell ref="C54:H54"/>
    <mergeCell ref="A4:A6"/>
    <mergeCell ref="B4:B5"/>
    <mergeCell ref="C4:E4"/>
    <mergeCell ref="F4:H4"/>
    <mergeCell ref="C6:H6"/>
    <mergeCell ref="C37:H37"/>
  </mergeCells>
  <pageMargins left="0.7" right="0.7" top="0.75" bottom="0.75" header="0.3" footer="0.3"/>
  <pageSetup paperSize="9" scale="52" orientation="portrait" horizontalDpi="300" verticalDpi="300" r:id="rId1"/>
  <headerFooter>
    <oddFooter>&amp;C_x000D_&amp;1#&amp;"Aptos"&amp;10&amp;K000000 C4 - EXTERNAL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71"/>
  <sheetViews>
    <sheetView showGridLines="0" topLeftCell="G1" zoomScale="80" zoomScaleNormal="80" workbookViewId="0">
      <selection activeCell="X35" sqref="X35"/>
    </sheetView>
  </sheetViews>
  <sheetFormatPr defaultColWidth="9.21875" defaultRowHeight="12"/>
  <cols>
    <col min="1" max="1" width="11.77734375" style="286" bestFit="1" customWidth="1"/>
    <col min="2" max="2" width="93.44140625" style="286" customWidth="1"/>
    <col min="3" max="3" width="16.33203125" style="286" customWidth="1"/>
    <col min="4" max="5" width="16.109375" style="286" customWidth="1"/>
    <col min="6" max="6" width="16.109375" style="302" customWidth="1"/>
    <col min="7" max="7" width="25.21875" style="302" customWidth="1"/>
    <col min="8" max="8" width="16.109375" style="286" customWidth="1"/>
    <col min="9" max="11" width="16.109375" style="302" customWidth="1"/>
    <col min="12" max="12" width="26.21875" style="302" customWidth="1"/>
    <col min="13" max="16384" width="9.21875" style="286"/>
  </cols>
  <sheetData>
    <row r="1" spans="1:14" ht="13.8">
      <c r="A1" s="244" t="s">
        <v>30</v>
      </c>
      <c r="B1" s="273" t="str">
        <f>'Info '!C2</f>
        <v xml:space="preserve">PASHA Bank Georgia JSC </v>
      </c>
      <c r="F1" s="286"/>
      <c r="G1" s="286"/>
      <c r="I1" s="286"/>
      <c r="J1" s="286"/>
      <c r="K1" s="286"/>
      <c r="L1" s="286"/>
    </row>
    <row r="2" spans="1:14">
      <c r="A2" s="244" t="s">
        <v>31</v>
      </c>
      <c r="B2" s="272">
        <f>'1. key ratios '!B2</f>
        <v>46203</v>
      </c>
      <c r="F2" s="286"/>
      <c r="G2" s="286"/>
      <c r="I2" s="286"/>
      <c r="J2" s="286"/>
      <c r="K2" s="286"/>
      <c r="L2" s="286"/>
    </row>
    <row r="3" spans="1:14">
      <c r="A3" s="245" t="s">
        <v>466</v>
      </c>
      <c r="F3" s="286"/>
      <c r="G3" s="286"/>
      <c r="I3" s="286"/>
      <c r="J3" s="286"/>
      <c r="K3" s="286"/>
      <c r="L3" s="286"/>
    </row>
    <row r="4" spans="1:14">
      <c r="F4" s="286"/>
      <c r="G4" s="286"/>
      <c r="I4" s="286"/>
      <c r="J4" s="286"/>
      <c r="K4" s="286"/>
      <c r="L4" s="286"/>
    </row>
    <row r="5" spans="1:14" ht="37.5" customHeight="1">
      <c r="A5" s="817" t="s">
        <v>483</v>
      </c>
      <c r="B5" s="818"/>
      <c r="C5" s="863" t="s">
        <v>467</v>
      </c>
      <c r="D5" s="864"/>
      <c r="E5" s="864"/>
      <c r="F5" s="864"/>
      <c r="G5" s="864"/>
      <c r="H5" s="863" t="s">
        <v>627</v>
      </c>
      <c r="I5" s="865"/>
      <c r="J5" s="865"/>
      <c r="K5" s="865"/>
      <c r="L5" s="866"/>
    </row>
    <row r="6" spans="1:14" ht="39.450000000000003" customHeight="1">
      <c r="A6" s="821"/>
      <c r="B6" s="822"/>
      <c r="C6" s="247"/>
      <c r="D6" s="284" t="s">
        <v>648</v>
      </c>
      <c r="E6" s="284" t="s">
        <v>647</v>
      </c>
      <c r="F6" s="284" t="s">
        <v>646</v>
      </c>
      <c r="G6" s="284" t="s">
        <v>645</v>
      </c>
      <c r="H6" s="303"/>
      <c r="I6" s="284" t="s">
        <v>648</v>
      </c>
      <c r="J6" s="284" t="s">
        <v>647</v>
      </c>
      <c r="K6" s="284" t="s">
        <v>646</v>
      </c>
      <c r="L6" s="284" t="s">
        <v>645</v>
      </c>
    </row>
    <row r="7" spans="1:14">
      <c r="A7" s="275">
        <v>1</v>
      </c>
      <c r="B7" s="290" t="s">
        <v>486</v>
      </c>
      <c r="C7" s="728">
        <v>599601.67000000004</v>
      </c>
      <c r="D7" s="729">
        <v>599601.67000000004</v>
      </c>
      <c r="E7" s="729">
        <v>0</v>
      </c>
      <c r="F7" s="729">
        <v>0</v>
      </c>
      <c r="G7" s="729">
        <v>0</v>
      </c>
      <c r="H7" s="730">
        <v>1209.3630000000001</v>
      </c>
      <c r="I7" s="730">
        <v>1209.3630000000001</v>
      </c>
      <c r="J7" s="729">
        <v>0</v>
      </c>
      <c r="K7" s="729">
        <v>0</v>
      </c>
      <c r="L7" s="729">
        <v>0</v>
      </c>
      <c r="M7" s="452"/>
      <c r="N7" s="452"/>
    </row>
    <row r="8" spans="1:14">
      <c r="A8" s="275">
        <v>2</v>
      </c>
      <c r="B8" s="290" t="s">
        <v>399</v>
      </c>
      <c r="C8" s="731">
        <v>69608444.814899996</v>
      </c>
      <c r="D8" s="730">
        <v>69435864.924899995</v>
      </c>
      <c r="E8" s="730">
        <v>0</v>
      </c>
      <c r="F8" s="732">
        <v>172579.89</v>
      </c>
      <c r="G8" s="732">
        <v>0</v>
      </c>
      <c r="H8" s="730">
        <v>395653.19500000001</v>
      </c>
      <c r="I8" s="732">
        <v>224786.05710000001</v>
      </c>
      <c r="J8" s="733">
        <v>0</v>
      </c>
      <c r="K8" s="733">
        <v>170867.1379</v>
      </c>
      <c r="L8" s="733">
        <v>0</v>
      </c>
      <c r="M8" s="452"/>
      <c r="N8" s="452"/>
    </row>
    <row r="9" spans="1:14">
      <c r="A9" s="275">
        <v>3</v>
      </c>
      <c r="B9" s="290" t="s">
        <v>400</v>
      </c>
      <c r="C9" s="728"/>
      <c r="D9" s="729"/>
      <c r="E9" s="729"/>
      <c r="F9" s="734"/>
      <c r="G9" s="734"/>
      <c r="H9" s="730"/>
      <c r="I9" s="735"/>
      <c r="J9" s="734"/>
      <c r="K9" s="734"/>
      <c r="L9" s="734"/>
      <c r="M9" s="452"/>
      <c r="N9" s="452"/>
    </row>
    <row r="10" spans="1:14">
      <c r="A10" s="275">
        <v>4</v>
      </c>
      <c r="B10" s="290" t="s">
        <v>487</v>
      </c>
      <c r="C10" s="728">
        <v>42951304.043200001</v>
      </c>
      <c r="D10" s="729">
        <v>30838215.098499998</v>
      </c>
      <c r="E10" s="729">
        <v>10472285.3541</v>
      </c>
      <c r="F10" s="734">
        <v>1640803.5906</v>
      </c>
      <c r="G10" s="734">
        <v>0</v>
      </c>
      <c r="H10" s="730">
        <v>415034.54629999999</v>
      </c>
      <c r="I10" s="735">
        <v>239501.07339999999</v>
      </c>
      <c r="J10" s="734">
        <v>20288.6937</v>
      </c>
      <c r="K10" s="734">
        <v>155244.77919999999</v>
      </c>
      <c r="L10" s="734">
        <v>0</v>
      </c>
      <c r="M10" s="452"/>
      <c r="N10" s="452"/>
    </row>
    <row r="11" spans="1:14">
      <c r="A11" s="275">
        <v>5</v>
      </c>
      <c r="B11" s="290" t="s">
        <v>401</v>
      </c>
      <c r="C11" s="728">
        <v>48117018.386500001</v>
      </c>
      <c r="D11" s="729">
        <v>47894438.770800002</v>
      </c>
      <c r="E11" s="729">
        <v>222579.61569999999</v>
      </c>
      <c r="F11" s="734">
        <v>0</v>
      </c>
      <c r="G11" s="734">
        <v>0</v>
      </c>
      <c r="H11" s="730">
        <v>122841.32610000001</v>
      </c>
      <c r="I11" s="735">
        <v>113287.49280000001</v>
      </c>
      <c r="J11" s="734">
        <v>9553.8333000000002</v>
      </c>
      <c r="K11" s="734">
        <v>0</v>
      </c>
      <c r="L11" s="734">
        <v>0</v>
      </c>
      <c r="M11" s="452"/>
      <c r="N11" s="452"/>
    </row>
    <row r="12" spans="1:14">
      <c r="A12" s="275">
        <v>6</v>
      </c>
      <c r="B12" s="290" t="s">
        <v>402</v>
      </c>
      <c r="C12" s="728">
        <v>3194692.73</v>
      </c>
      <c r="D12" s="729">
        <v>3194692.73</v>
      </c>
      <c r="E12" s="729">
        <v>0</v>
      </c>
      <c r="F12" s="734">
        <v>0</v>
      </c>
      <c r="G12" s="734">
        <v>0</v>
      </c>
      <c r="H12" s="730">
        <v>23790.5281</v>
      </c>
      <c r="I12" s="735">
        <v>23790.5281</v>
      </c>
      <c r="J12" s="734">
        <v>0</v>
      </c>
      <c r="K12" s="734">
        <v>0</v>
      </c>
      <c r="L12" s="734">
        <v>0</v>
      </c>
      <c r="M12" s="452"/>
      <c r="N12" s="452"/>
    </row>
    <row r="13" spans="1:14">
      <c r="A13" s="275">
        <v>7</v>
      </c>
      <c r="B13" s="290" t="s">
        <v>403</v>
      </c>
      <c r="C13" s="728">
        <v>18826591.662700001</v>
      </c>
      <c r="D13" s="729">
        <v>18826591.662700001</v>
      </c>
      <c r="E13" s="729">
        <v>0</v>
      </c>
      <c r="F13" s="734">
        <v>0</v>
      </c>
      <c r="G13" s="734">
        <v>0</v>
      </c>
      <c r="H13" s="730">
        <v>191572.5607</v>
      </c>
      <c r="I13" s="735">
        <v>191572.5607</v>
      </c>
      <c r="J13" s="734">
        <v>0</v>
      </c>
      <c r="K13" s="734">
        <v>0</v>
      </c>
      <c r="L13" s="734">
        <v>0</v>
      </c>
      <c r="M13" s="452"/>
      <c r="N13" s="452"/>
    </row>
    <row r="14" spans="1:14">
      <c r="A14" s="275">
        <v>8</v>
      </c>
      <c r="B14" s="290" t="s">
        <v>404</v>
      </c>
      <c r="C14" s="728">
        <v>2773326.2697999999</v>
      </c>
      <c r="D14" s="729">
        <v>1741059.4024</v>
      </c>
      <c r="E14" s="729">
        <v>0</v>
      </c>
      <c r="F14" s="734">
        <v>1032266.8674</v>
      </c>
      <c r="G14" s="734">
        <v>0</v>
      </c>
      <c r="H14" s="730">
        <v>111665.6159</v>
      </c>
      <c r="I14" s="735">
        <v>13591.660599999999</v>
      </c>
      <c r="J14" s="734">
        <v>0</v>
      </c>
      <c r="K14" s="734">
        <v>98073.955300000001</v>
      </c>
      <c r="L14" s="734">
        <v>0</v>
      </c>
      <c r="M14" s="452"/>
      <c r="N14" s="452"/>
    </row>
    <row r="15" spans="1:14">
      <c r="A15" s="275">
        <v>9</v>
      </c>
      <c r="B15" s="290" t="s">
        <v>405</v>
      </c>
      <c r="C15" s="728">
        <v>3241446.8114</v>
      </c>
      <c r="D15" s="729">
        <v>3241446.8114</v>
      </c>
      <c r="E15" s="729">
        <v>0</v>
      </c>
      <c r="F15" s="734">
        <v>0</v>
      </c>
      <c r="G15" s="734">
        <v>0</v>
      </c>
      <c r="H15" s="730">
        <v>8827.3083000000006</v>
      </c>
      <c r="I15" s="735">
        <v>8827.3083000000006</v>
      </c>
      <c r="J15" s="734">
        <v>0</v>
      </c>
      <c r="K15" s="734">
        <v>0</v>
      </c>
      <c r="L15" s="734">
        <v>0</v>
      </c>
      <c r="M15" s="452"/>
      <c r="N15" s="452"/>
    </row>
    <row r="16" spans="1:14">
      <c r="A16" s="275">
        <v>10</v>
      </c>
      <c r="B16" s="290" t="s">
        <v>406</v>
      </c>
      <c r="C16" s="728">
        <v>1180293.6025</v>
      </c>
      <c r="D16" s="729">
        <v>1180293.6025</v>
      </c>
      <c r="E16" s="729">
        <v>0</v>
      </c>
      <c r="F16" s="734">
        <v>0</v>
      </c>
      <c r="G16" s="734">
        <v>0</v>
      </c>
      <c r="H16" s="730">
        <v>3618.0140999999999</v>
      </c>
      <c r="I16" s="735">
        <v>3618.0140999999999</v>
      </c>
      <c r="J16" s="734">
        <v>0</v>
      </c>
      <c r="K16" s="734">
        <v>0</v>
      </c>
      <c r="L16" s="734">
        <v>0</v>
      </c>
      <c r="M16" s="452"/>
      <c r="N16" s="452"/>
    </row>
    <row r="17" spans="1:14">
      <c r="A17" s="275">
        <v>11</v>
      </c>
      <c r="B17" s="290" t="s">
        <v>407</v>
      </c>
      <c r="C17" s="728"/>
      <c r="D17" s="729"/>
      <c r="E17" s="729"/>
      <c r="F17" s="734"/>
      <c r="G17" s="734"/>
      <c r="H17" s="730"/>
      <c r="I17" s="735"/>
      <c r="J17" s="734"/>
      <c r="K17" s="734"/>
      <c r="L17" s="734"/>
      <c r="M17" s="452"/>
      <c r="N17" s="452"/>
    </row>
    <row r="18" spans="1:14">
      <c r="A18" s="275">
        <v>12</v>
      </c>
      <c r="B18" s="290" t="s">
        <v>408</v>
      </c>
      <c r="C18" s="728">
        <v>15274155.3662</v>
      </c>
      <c r="D18" s="729">
        <v>7767870.1599000003</v>
      </c>
      <c r="E18" s="729">
        <v>7505645.5263</v>
      </c>
      <c r="F18" s="734">
        <v>639.67999999999995</v>
      </c>
      <c r="G18" s="734">
        <v>0</v>
      </c>
      <c r="H18" s="730">
        <v>133961.84460000001</v>
      </c>
      <c r="I18" s="735">
        <v>47432.686600000001</v>
      </c>
      <c r="J18" s="734">
        <v>85889.478000000003</v>
      </c>
      <c r="K18" s="734">
        <v>639.67999999999995</v>
      </c>
      <c r="L18" s="734">
        <v>0</v>
      </c>
      <c r="M18" s="452"/>
      <c r="N18" s="452"/>
    </row>
    <row r="19" spans="1:14">
      <c r="A19" s="275">
        <v>13</v>
      </c>
      <c r="B19" s="290" t="s">
        <v>409</v>
      </c>
      <c r="C19" s="728">
        <v>3194327.173</v>
      </c>
      <c r="D19" s="729">
        <v>2756451.8015000001</v>
      </c>
      <c r="E19" s="729">
        <v>0</v>
      </c>
      <c r="F19" s="734">
        <v>437875.37150000001</v>
      </c>
      <c r="G19" s="734">
        <v>0</v>
      </c>
      <c r="H19" s="730">
        <v>69406.288</v>
      </c>
      <c r="I19" s="735">
        <v>27477.2143</v>
      </c>
      <c r="J19" s="734">
        <v>0</v>
      </c>
      <c r="K19" s="734">
        <v>41929.073700000001</v>
      </c>
      <c r="L19" s="734">
        <v>0</v>
      </c>
      <c r="M19" s="452"/>
      <c r="N19" s="452"/>
    </row>
    <row r="20" spans="1:14">
      <c r="A20" s="275">
        <v>14</v>
      </c>
      <c r="B20" s="290" t="s">
        <v>410</v>
      </c>
      <c r="C20" s="728">
        <v>13852684.6513</v>
      </c>
      <c r="D20" s="729">
        <v>4135605.9418000001</v>
      </c>
      <c r="E20" s="729">
        <v>862732.93079999997</v>
      </c>
      <c r="F20" s="734">
        <v>683622.65</v>
      </c>
      <c r="G20" s="734">
        <v>8170723.1287000002</v>
      </c>
      <c r="H20" s="730">
        <v>1974826.8011</v>
      </c>
      <c r="I20" s="735">
        <v>3618.8220999999999</v>
      </c>
      <c r="J20" s="734">
        <v>151474.0913</v>
      </c>
      <c r="K20" s="734">
        <v>65654.5</v>
      </c>
      <c r="L20" s="734">
        <v>1754079.3877000001</v>
      </c>
      <c r="M20" s="452"/>
      <c r="N20" s="452"/>
    </row>
    <row r="21" spans="1:14">
      <c r="A21" s="275">
        <v>15</v>
      </c>
      <c r="B21" s="290" t="s">
        <v>411</v>
      </c>
      <c r="C21" s="728">
        <v>23812645.649</v>
      </c>
      <c r="D21" s="729">
        <v>14450173.793400001</v>
      </c>
      <c r="E21" s="729">
        <v>0</v>
      </c>
      <c r="F21" s="734">
        <v>9362471.8555999994</v>
      </c>
      <c r="G21" s="734">
        <v>0</v>
      </c>
      <c r="H21" s="730">
        <v>1494038.8293999999</v>
      </c>
      <c r="I21" s="735">
        <v>30994.0746</v>
      </c>
      <c r="J21" s="734">
        <v>0</v>
      </c>
      <c r="K21" s="734">
        <v>1463044.7548</v>
      </c>
      <c r="L21" s="734">
        <v>0</v>
      </c>
      <c r="M21" s="452"/>
      <c r="N21" s="452"/>
    </row>
    <row r="22" spans="1:14">
      <c r="A22" s="275">
        <v>16</v>
      </c>
      <c r="B22" s="290" t="s">
        <v>412</v>
      </c>
      <c r="C22" s="728"/>
      <c r="D22" s="729"/>
      <c r="E22" s="729"/>
      <c r="F22" s="734"/>
      <c r="G22" s="734"/>
      <c r="H22" s="730"/>
      <c r="I22" s="735"/>
      <c r="J22" s="734"/>
      <c r="K22" s="734"/>
      <c r="L22" s="734"/>
      <c r="M22" s="452"/>
      <c r="N22" s="452"/>
    </row>
    <row r="23" spans="1:14">
      <c r="A23" s="275">
        <v>17</v>
      </c>
      <c r="B23" s="290" t="s">
        <v>490</v>
      </c>
      <c r="C23" s="728">
        <v>8515132.7473000009</v>
      </c>
      <c r="D23" s="729">
        <v>7993844.4800000004</v>
      </c>
      <c r="E23" s="729">
        <v>521288.26730000001</v>
      </c>
      <c r="F23" s="734">
        <v>0</v>
      </c>
      <c r="G23" s="734">
        <v>0</v>
      </c>
      <c r="H23" s="730">
        <v>8274.1088999999993</v>
      </c>
      <c r="I23" s="735">
        <v>6642.5288</v>
      </c>
      <c r="J23" s="734">
        <v>1631.5800999999999</v>
      </c>
      <c r="K23" s="734">
        <v>0</v>
      </c>
      <c r="L23" s="734">
        <v>0</v>
      </c>
      <c r="M23" s="452"/>
      <c r="N23" s="452"/>
    </row>
    <row r="24" spans="1:14">
      <c r="A24" s="275">
        <v>18</v>
      </c>
      <c r="B24" s="290" t="s">
        <v>413</v>
      </c>
      <c r="C24" s="728">
        <v>108770793.54180001</v>
      </c>
      <c r="D24" s="729">
        <v>108770793.54180001</v>
      </c>
      <c r="E24" s="729">
        <v>0</v>
      </c>
      <c r="F24" s="734">
        <v>0</v>
      </c>
      <c r="G24" s="734">
        <v>0</v>
      </c>
      <c r="H24" s="730">
        <v>463028.58760000003</v>
      </c>
      <c r="I24" s="735">
        <v>463028.58760000003</v>
      </c>
      <c r="J24" s="734">
        <v>0</v>
      </c>
      <c r="K24" s="734">
        <v>0</v>
      </c>
      <c r="L24" s="734">
        <v>0</v>
      </c>
      <c r="M24" s="452"/>
      <c r="N24" s="452"/>
    </row>
    <row r="25" spans="1:14">
      <c r="A25" s="275">
        <v>19</v>
      </c>
      <c r="B25" s="290" t="s">
        <v>414</v>
      </c>
      <c r="C25" s="728"/>
      <c r="D25" s="729"/>
      <c r="E25" s="729"/>
      <c r="F25" s="734"/>
      <c r="G25" s="734"/>
      <c r="H25" s="730"/>
      <c r="I25" s="735"/>
      <c r="J25" s="734"/>
      <c r="K25" s="734"/>
      <c r="L25" s="734"/>
      <c r="M25" s="452"/>
      <c r="N25" s="452"/>
    </row>
    <row r="26" spans="1:14">
      <c r="A26" s="275">
        <v>20</v>
      </c>
      <c r="B26" s="290" t="s">
        <v>489</v>
      </c>
      <c r="C26" s="728">
        <v>12953763.0023</v>
      </c>
      <c r="D26" s="729">
        <v>12953763.0023</v>
      </c>
      <c r="E26" s="729">
        <v>0</v>
      </c>
      <c r="F26" s="734">
        <v>0</v>
      </c>
      <c r="G26" s="734">
        <v>0</v>
      </c>
      <c r="H26" s="730">
        <v>210147.84700000001</v>
      </c>
      <c r="I26" s="735">
        <v>210147.84700000001</v>
      </c>
      <c r="J26" s="734">
        <v>0</v>
      </c>
      <c r="K26" s="734">
        <v>0</v>
      </c>
      <c r="L26" s="734">
        <v>0</v>
      </c>
      <c r="M26" s="452"/>
      <c r="N26" s="452"/>
    </row>
    <row r="27" spans="1:14">
      <c r="A27" s="275">
        <v>21</v>
      </c>
      <c r="B27" s="290" t="s">
        <v>415</v>
      </c>
      <c r="C27" s="728"/>
      <c r="D27" s="729"/>
      <c r="E27" s="729"/>
      <c r="F27" s="734"/>
      <c r="G27" s="734"/>
      <c r="H27" s="730"/>
      <c r="I27" s="735"/>
      <c r="J27" s="734"/>
      <c r="K27" s="734"/>
      <c r="L27" s="734"/>
      <c r="M27" s="452"/>
      <c r="N27" s="452"/>
    </row>
    <row r="28" spans="1:14">
      <c r="A28" s="275">
        <v>22</v>
      </c>
      <c r="B28" s="290" t="s">
        <v>416</v>
      </c>
      <c r="C28" s="728">
        <v>15930680.701099999</v>
      </c>
      <c r="D28" s="729">
        <v>15930680.701099999</v>
      </c>
      <c r="E28" s="729">
        <v>0</v>
      </c>
      <c r="F28" s="734">
        <v>0</v>
      </c>
      <c r="G28" s="734">
        <v>0</v>
      </c>
      <c r="H28" s="730">
        <v>211508.29079999999</v>
      </c>
      <c r="I28" s="735">
        <v>211508.29079999999</v>
      </c>
      <c r="J28" s="734">
        <v>0</v>
      </c>
      <c r="K28" s="734">
        <v>0</v>
      </c>
      <c r="L28" s="734">
        <v>0</v>
      </c>
      <c r="M28" s="452"/>
      <c r="N28" s="452"/>
    </row>
    <row r="29" spans="1:14">
      <c r="A29" s="275">
        <v>23</v>
      </c>
      <c r="B29" s="290" t="s">
        <v>417</v>
      </c>
      <c r="C29" s="728">
        <v>10199793.4833</v>
      </c>
      <c r="D29" s="729">
        <v>9261709.1092000008</v>
      </c>
      <c r="E29" s="729">
        <v>0</v>
      </c>
      <c r="F29" s="734">
        <v>938084.37410000002</v>
      </c>
      <c r="G29" s="734">
        <v>0</v>
      </c>
      <c r="H29" s="730">
        <v>171450.25940000001</v>
      </c>
      <c r="I29" s="735">
        <v>78515.739799999996</v>
      </c>
      <c r="J29" s="734">
        <v>0</v>
      </c>
      <c r="K29" s="734">
        <v>92934.5196</v>
      </c>
      <c r="L29" s="734">
        <v>0</v>
      </c>
      <c r="M29" s="452"/>
      <c r="N29" s="452"/>
    </row>
    <row r="30" spans="1:14">
      <c r="A30" s="275">
        <v>24</v>
      </c>
      <c r="B30" s="290" t="s">
        <v>488</v>
      </c>
      <c r="C30" s="728">
        <v>17840163.909499999</v>
      </c>
      <c r="D30" s="729">
        <v>7775923.1179999998</v>
      </c>
      <c r="E30" s="729">
        <v>7596546.2326999996</v>
      </c>
      <c r="F30" s="734">
        <v>0</v>
      </c>
      <c r="G30" s="734">
        <v>2467694.5588000002</v>
      </c>
      <c r="H30" s="730">
        <v>2306803.6587</v>
      </c>
      <c r="I30" s="735">
        <v>165715.58559999999</v>
      </c>
      <c r="J30" s="734">
        <v>346372.95850000001</v>
      </c>
      <c r="K30" s="734">
        <v>0</v>
      </c>
      <c r="L30" s="734">
        <v>1794715.1146</v>
      </c>
      <c r="M30" s="452"/>
      <c r="N30" s="452"/>
    </row>
    <row r="31" spans="1:14">
      <c r="A31" s="275">
        <v>25</v>
      </c>
      <c r="B31" s="290" t="s">
        <v>418</v>
      </c>
      <c r="C31" s="728">
        <v>1267809.3903000001</v>
      </c>
      <c r="D31" s="729">
        <v>1267809.3903000001</v>
      </c>
      <c r="E31" s="729">
        <v>0</v>
      </c>
      <c r="F31" s="734">
        <v>0</v>
      </c>
      <c r="G31" s="734">
        <v>0</v>
      </c>
      <c r="H31" s="730">
        <v>9948.8410999999996</v>
      </c>
      <c r="I31" s="735">
        <v>9948.8410999999996</v>
      </c>
      <c r="J31" s="734">
        <v>0</v>
      </c>
      <c r="K31" s="734">
        <v>0</v>
      </c>
      <c r="L31" s="734">
        <v>0</v>
      </c>
      <c r="M31" s="452"/>
      <c r="N31" s="452"/>
    </row>
    <row r="32" spans="1:14">
      <c r="A32" s="275">
        <v>26</v>
      </c>
      <c r="B32" s="290" t="s">
        <v>485</v>
      </c>
      <c r="C32" s="728">
        <v>25634.499</v>
      </c>
      <c r="D32" s="729">
        <v>25045.519199999999</v>
      </c>
      <c r="E32" s="729">
        <v>0</v>
      </c>
      <c r="F32" s="734">
        <v>588.97979999999995</v>
      </c>
      <c r="G32" s="734">
        <v>0</v>
      </c>
      <c r="H32" s="730">
        <v>564.20529999999997</v>
      </c>
      <c r="I32" s="735">
        <v>306.7038</v>
      </c>
      <c r="J32" s="734">
        <v>0</v>
      </c>
      <c r="K32" s="734">
        <v>257.50150000000002</v>
      </c>
      <c r="L32" s="734">
        <v>0</v>
      </c>
      <c r="M32" s="452"/>
      <c r="N32" s="452"/>
    </row>
    <row r="33" spans="1:14">
      <c r="A33" s="275">
        <v>27</v>
      </c>
      <c r="B33" s="312" t="s">
        <v>64</v>
      </c>
      <c r="C33" s="736">
        <f>SUM(C7:C32)</f>
        <v>422130304.10510004</v>
      </c>
      <c r="D33" s="736">
        <f t="shared" ref="D33:L33" si="0">SUM(D7:D32)</f>
        <v>370041875.23169994</v>
      </c>
      <c r="E33" s="736">
        <f t="shared" si="0"/>
        <v>27181077.926899999</v>
      </c>
      <c r="F33" s="736">
        <f t="shared" si="0"/>
        <v>14268933.259</v>
      </c>
      <c r="G33" s="736">
        <f t="shared" si="0"/>
        <v>10638417.6875</v>
      </c>
      <c r="H33" s="736">
        <f t="shared" si="0"/>
        <v>8328172.0193999987</v>
      </c>
      <c r="I33" s="736">
        <f t="shared" si="0"/>
        <v>2075520.9802000006</v>
      </c>
      <c r="J33" s="736">
        <f t="shared" si="0"/>
        <v>615210.63489999995</v>
      </c>
      <c r="K33" s="736">
        <f t="shared" si="0"/>
        <v>2088645.902</v>
      </c>
      <c r="L33" s="736">
        <f t="shared" si="0"/>
        <v>3548794.5022999998</v>
      </c>
      <c r="M33" s="452"/>
      <c r="N33" s="452"/>
    </row>
    <row r="35" spans="1:14">
      <c r="B35" s="311"/>
      <c r="C35" s="495"/>
      <c r="D35" s="495"/>
      <c r="E35" s="495"/>
      <c r="F35" s="495"/>
      <c r="G35" s="495"/>
      <c r="H35" s="495"/>
      <c r="I35" s="495"/>
      <c r="J35" s="495"/>
      <c r="K35" s="495"/>
      <c r="L35" s="495"/>
    </row>
    <row r="36" spans="1:14">
      <c r="C36" s="495"/>
      <c r="D36" s="495"/>
      <c r="E36" s="495"/>
      <c r="F36" s="495"/>
      <c r="G36" s="495"/>
      <c r="H36" s="495"/>
      <c r="I36" s="495"/>
      <c r="J36" s="495"/>
      <c r="K36" s="495"/>
      <c r="L36" s="495"/>
    </row>
    <row r="37" spans="1:14">
      <c r="C37" s="495"/>
      <c r="D37" s="495"/>
      <c r="E37" s="495"/>
      <c r="F37" s="495"/>
      <c r="G37" s="495"/>
      <c r="H37" s="495"/>
      <c r="I37" s="495"/>
      <c r="J37" s="495"/>
      <c r="K37" s="495"/>
      <c r="L37" s="495"/>
    </row>
    <row r="38" spans="1:14">
      <c r="C38" s="495"/>
      <c r="D38" s="495"/>
      <c r="E38" s="495"/>
      <c r="F38" s="495"/>
      <c r="G38" s="495"/>
      <c r="H38" s="495"/>
      <c r="I38" s="495"/>
      <c r="J38" s="495"/>
      <c r="K38" s="495"/>
      <c r="L38" s="495"/>
    </row>
    <row r="39" spans="1:14">
      <c r="C39" s="495"/>
      <c r="D39" s="495"/>
      <c r="E39" s="495"/>
      <c r="F39" s="495"/>
      <c r="G39" s="495"/>
      <c r="H39" s="495"/>
      <c r="I39" s="495"/>
      <c r="J39" s="495"/>
      <c r="K39" s="495"/>
      <c r="L39" s="495"/>
    </row>
    <row r="40" spans="1:14">
      <c r="C40" s="495"/>
      <c r="D40" s="495"/>
      <c r="E40" s="495"/>
      <c r="F40" s="495"/>
      <c r="G40" s="495"/>
      <c r="H40" s="495"/>
      <c r="I40" s="495"/>
      <c r="J40" s="495"/>
      <c r="K40" s="495"/>
      <c r="L40" s="495"/>
    </row>
    <row r="41" spans="1:14">
      <c r="C41" s="495"/>
      <c r="D41" s="495"/>
      <c r="E41" s="495"/>
      <c r="F41" s="495"/>
      <c r="G41" s="495"/>
      <c r="H41" s="495"/>
      <c r="I41" s="495"/>
      <c r="J41" s="495"/>
      <c r="K41" s="495"/>
      <c r="L41" s="495"/>
    </row>
    <row r="42" spans="1:14">
      <c r="C42" s="495"/>
      <c r="D42" s="495"/>
      <c r="E42" s="495"/>
      <c r="F42" s="495"/>
      <c r="G42" s="495"/>
      <c r="H42" s="495"/>
      <c r="I42" s="495"/>
      <c r="J42" s="495"/>
      <c r="K42" s="495"/>
      <c r="L42" s="495"/>
    </row>
    <row r="43" spans="1:14">
      <c r="C43" s="495"/>
      <c r="D43" s="495"/>
      <c r="E43" s="495"/>
      <c r="F43" s="495"/>
      <c r="G43" s="495"/>
      <c r="H43" s="495"/>
      <c r="I43" s="495"/>
      <c r="J43" s="495"/>
      <c r="K43" s="495"/>
      <c r="L43" s="495"/>
    </row>
    <row r="44" spans="1:14">
      <c r="C44" s="495"/>
      <c r="D44" s="495"/>
      <c r="E44" s="495"/>
      <c r="F44" s="495"/>
      <c r="G44" s="495"/>
      <c r="H44" s="495"/>
      <c r="I44" s="495"/>
      <c r="J44" s="495"/>
      <c r="K44" s="495"/>
      <c r="L44" s="495"/>
    </row>
    <row r="45" spans="1:14">
      <c r="C45" s="495"/>
      <c r="D45" s="495"/>
      <c r="E45" s="495"/>
      <c r="F45" s="495"/>
      <c r="G45" s="495"/>
      <c r="H45" s="495"/>
      <c r="I45" s="495"/>
      <c r="J45" s="495"/>
      <c r="K45" s="495"/>
      <c r="L45" s="495"/>
    </row>
    <row r="46" spans="1:14">
      <c r="C46" s="495"/>
      <c r="D46" s="495"/>
      <c r="E46" s="495"/>
      <c r="F46" s="495"/>
      <c r="G46" s="495"/>
      <c r="H46" s="495"/>
      <c r="I46" s="495"/>
      <c r="J46" s="495"/>
      <c r="K46" s="495"/>
      <c r="L46" s="495"/>
    </row>
    <row r="47" spans="1:14">
      <c r="C47" s="495"/>
      <c r="D47" s="495"/>
      <c r="E47" s="495"/>
      <c r="F47" s="495"/>
      <c r="G47" s="495"/>
      <c r="H47" s="495"/>
      <c r="I47" s="495"/>
      <c r="J47" s="495"/>
      <c r="K47" s="495"/>
      <c r="L47" s="495"/>
    </row>
    <row r="48" spans="1:14">
      <c r="C48" s="495"/>
      <c r="D48" s="495"/>
      <c r="E48" s="495"/>
      <c r="F48" s="495"/>
      <c r="G48" s="495"/>
      <c r="H48" s="495"/>
      <c r="I48" s="495"/>
      <c r="J48" s="495"/>
      <c r="K48" s="495"/>
      <c r="L48" s="495"/>
    </row>
    <row r="49" spans="3:12">
      <c r="C49" s="495"/>
      <c r="D49" s="495"/>
      <c r="E49" s="495"/>
      <c r="F49" s="495"/>
      <c r="G49" s="495"/>
      <c r="H49" s="495"/>
      <c r="I49" s="495"/>
      <c r="J49" s="495"/>
      <c r="K49" s="495"/>
      <c r="L49" s="495"/>
    </row>
    <row r="50" spans="3:12">
      <c r="C50" s="495"/>
      <c r="D50" s="495"/>
      <c r="E50" s="495"/>
      <c r="F50" s="495"/>
      <c r="G50" s="495"/>
      <c r="H50" s="495"/>
      <c r="I50" s="495"/>
      <c r="J50" s="495"/>
      <c r="K50" s="495"/>
      <c r="L50" s="495"/>
    </row>
    <row r="51" spans="3:12">
      <c r="C51" s="495"/>
      <c r="D51" s="495"/>
      <c r="E51" s="495"/>
      <c r="F51" s="495"/>
      <c r="G51" s="495"/>
      <c r="H51" s="495"/>
      <c r="I51" s="495"/>
      <c r="J51" s="495"/>
      <c r="K51" s="495"/>
      <c r="L51" s="495"/>
    </row>
    <row r="52" spans="3:12">
      <c r="C52" s="495"/>
      <c r="D52" s="495"/>
      <c r="E52" s="495"/>
      <c r="F52" s="495"/>
      <c r="G52" s="495"/>
      <c r="H52" s="495"/>
      <c r="I52" s="495"/>
      <c r="J52" s="495"/>
      <c r="K52" s="495"/>
      <c r="L52" s="495"/>
    </row>
    <row r="53" spans="3:12">
      <c r="C53" s="495"/>
      <c r="D53" s="495"/>
      <c r="E53" s="495"/>
      <c r="F53" s="495"/>
      <c r="G53" s="495"/>
      <c r="H53" s="495"/>
      <c r="I53" s="495"/>
      <c r="J53" s="495"/>
      <c r="K53" s="495"/>
      <c r="L53" s="495"/>
    </row>
    <row r="54" spans="3:12">
      <c r="C54" s="495"/>
      <c r="D54" s="495"/>
      <c r="E54" s="495"/>
      <c r="F54" s="495"/>
      <c r="G54" s="495"/>
      <c r="H54" s="495"/>
      <c r="I54" s="495"/>
      <c r="J54" s="495"/>
      <c r="K54" s="495"/>
      <c r="L54" s="495"/>
    </row>
    <row r="55" spans="3:12">
      <c r="C55" s="495"/>
      <c r="D55" s="495"/>
      <c r="E55" s="495"/>
      <c r="F55" s="495"/>
      <c r="G55" s="495"/>
      <c r="H55" s="495"/>
      <c r="I55" s="495"/>
      <c r="J55" s="495"/>
      <c r="K55" s="495"/>
      <c r="L55" s="495"/>
    </row>
    <row r="56" spans="3:12">
      <c r="C56" s="495"/>
      <c r="D56" s="495"/>
      <c r="E56" s="495"/>
      <c r="F56" s="495"/>
      <c r="G56" s="495"/>
      <c r="H56" s="495"/>
      <c r="I56" s="495"/>
      <c r="J56" s="495"/>
      <c r="K56" s="495"/>
      <c r="L56" s="495"/>
    </row>
    <row r="57" spans="3:12">
      <c r="C57" s="495"/>
      <c r="D57" s="495"/>
      <c r="E57" s="495"/>
      <c r="F57" s="495"/>
      <c r="G57" s="495"/>
      <c r="H57" s="495"/>
      <c r="I57" s="495"/>
      <c r="J57" s="495"/>
      <c r="K57" s="495"/>
      <c r="L57" s="495"/>
    </row>
    <row r="58" spans="3:12">
      <c r="C58" s="495"/>
      <c r="D58" s="495"/>
      <c r="E58" s="495"/>
      <c r="F58" s="495"/>
      <c r="G58" s="495"/>
      <c r="H58" s="495"/>
      <c r="I58" s="495"/>
      <c r="J58" s="495"/>
      <c r="K58" s="495"/>
      <c r="L58" s="495"/>
    </row>
    <row r="59" spans="3:12">
      <c r="C59" s="495"/>
      <c r="D59" s="495"/>
      <c r="E59" s="495"/>
      <c r="F59" s="495"/>
      <c r="G59" s="495"/>
      <c r="H59" s="495"/>
      <c r="I59" s="495"/>
      <c r="J59" s="495"/>
      <c r="K59" s="495"/>
      <c r="L59" s="495"/>
    </row>
    <row r="60" spans="3:12">
      <c r="C60" s="495"/>
      <c r="D60" s="495"/>
      <c r="E60" s="495"/>
      <c r="F60" s="495"/>
      <c r="G60" s="495"/>
      <c r="H60" s="495"/>
      <c r="I60" s="495"/>
      <c r="J60" s="495"/>
      <c r="K60" s="495"/>
      <c r="L60" s="495"/>
    </row>
    <row r="61" spans="3:12">
      <c r="C61" s="495"/>
      <c r="D61" s="495"/>
      <c r="E61" s="495"/>
      <c r="F61" s="495"/>
      <c r="G61" s="495"/>
      <c r="H61" s="495"/>
      <c r="I61" s="495"/>
      <c r="J61" s="495"/>
      <c r="K61" s="495"/>
      <c r="L61" s="495"/>
    </row>
    <row r="62" spans="3:12">
      <c r="C62" s="495"/>
      <c r="D62" s="495"/>
      <c r="E62" s="495"/>
      <c r="F62" s="495"/>
      <c r="G62" s="495"/>
      <c r="H62" s="495"/>
      <c r="I62" s="495"/>
      <c r="J62" s="495"/>
      <c r="K62" s="495"/>
      <c r="L62" s="495"/>
    </row>
    <row r="63" spans="3:12">
      <c r="C63" s="495"/>
      <c r="D63" s="495"/>
      <c r="E63" s="495"/>
      <c r="F63" s="495"/>
      <c r="G63" s="495"/>
      <c r="H63" s="495"/>
      <c r="I63" s="495"/>
      <c r="J63" s="495"/>
      <c r="K63" s="495"/>
      <c r="L63" s="495"/>
    </row>
    <row r="64" spans="3:12">
      <c r="C64" s="495"/>
      <c r="D64" s="495"/>
      <c r="E64" s="495"/>
      <c r="F64" s="495"/>
      <c r="G64" s="495"/>
      <c r="H64" s="495"/>
      <c r="I64" s="495"/>
      <c r="J64" s="495"/>
      <c r="K64" s="495"/>
      <c r="L64" s="495"/>
    </row>
    <row r="65" spans="3:12">
      <c r="C65" s="495"/>
      <c r="D65" s="495"/>
      <c r="E65" s="495"/>
      <c r="F65" s="495"/>
      <c r="G65" s="495"/>
      <c r="H65" s="495"/>
      <c r="I65" s="495"/>
      <c r="J65" s="495"/>
      <c r="K65" s="495"/>
      <c r="L65" s="495"/>
    </row>
    <row r="66" spans="3:12">
      <c r="C66" s="495"/>
      <c r="D66" s="495"/>
      <c r="E66" s="495"/>
      <c r="F66" s="495"/>
      <c r="G66" s="495"/>
      <c r="H66" s="495"/>
      <c r="I66" s="495"/>
      <c r="J66" s="495"/>
      <c r="K66" s="495"/>
      <c r="L66" s="495"/>
    </row>
    <row r="67" spans="3:12">
      <c r="C67" s="495"/>
      <c r="D67" s="495"/>
      <c r="E67" s="495"/>
      <c r="F67" s="495"/>
      <c r="G67" s="495"/>
      <c r="H67" s="495"/>
      <c r="I67" s="495"/>
      <c r="J67" s="495"/>
      <c r="K67" s="495"/>
      <c r="L67" s="495"/>
    </row>
    <row r="68" spans="3:12">
      <c r="C68" s="495"/>
      <c r="D68" s="495"/>
      <c r="E68" s="495"/>
      <c r="F68" s="495"/>
      <c r="G68" s="495"/>
      <c r="H68" s="495"/>
      <c r="I68" s="495"/>
      <c r="J68" s="495"/>
      <c r="K68" s="495"/>
      <c r="L68" s="495"/>
    </row>
    <row r="69" spans="3:12">
      <c r="C69" s="495"/>
      <c r="D69" s="495"/>
      <c r="E69" s="495"/>
      <c r="F69" s="495"/>
      <c r="G69" s="495"/>
      <c r="H69" s="495"/>
      <c r="I69" s="495"/>
      <c r="J69" s="495"/>
      <c r="K69" s="495"/>
      <c r="L69" s="495"/>
    </row>
    <row r="70" spans="3:12">
      <c r="C70" s="495"/>
      <c r="D70" s="495"/>
      <c r="E70" s="495"/>
      <c r="F70" s="495"/>
      <c r="G70" s="495"/>
      <c r="H70" s="495"/>
      <c r="I70" s="495"/>
      <c r="J70" s="495"/>
      <c r="K70" s="495"/>
      <c r="L70" s="495"/>
    </row>
    <row r="71" spans="3:12">
      <c r="C71" s="495"/>
      <c r="D71" s="495"/>
      <c r="E71" s="495"/>
      <c r="F71" s="495"/>
      <c r="G71" s="495"/>
      <c r="H71" s="495"/>
      <c r="I71" s="495"/>
      <c r="J71" s="495"/>
      <c r="K71" s="495"/>
      <c r="L71" s="495"/>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paperSize="9" scale="29" orientation="portrait" horizontalDpi="300" verticalDpi="300" r:id="rId1"/>
  <headerFooter>
    <oddFooter>&amp;C_x000D_&amp;1#&amp;"Aptos"&amp;10&amp;K000000 C4 - EXTERNAL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9"/>
  <sheetViews>
    <sheetView showGridLines="0" zoomScale="80" zoomScaleNormal="80" workbookViewId="0">
      <selection activeCell="C18" sqref="C18"/>
    </sheetView>
  </sheetViews>
  <sheetFormatPr defaultColWidth="8.77734375" defaultRowHeight="12"/>
  <cols>
    <col min="1" max="1" width="11.77734375" style="313" bestFit="1" customWidth="1"/>
    <col min="2" max="2" width="68.77734375" style="313" customWidth="1"/>
    <col min="3" max="11" width="28.21875" style="313" customWidth="1"/>
    <col min="12" max="16384" width="8.77734375" style="313"/>
  </cols>
  <sheetData>
    <row r="1" spans="1:11" s="286" customFormat="1" ht="13.8">
      <c r="A1" s="244" t="s">
        <v>30</v>
      </c>
      <c r="B1" s="273" t="str">
        <f>'Info '!C2</f>
        <v xml:space="preserve">PASHA Bank Georgia JSC </v>
      </c>
    </row>
    <row r="2" spans="1:11" s="286" customFormat="1">
      <c r="A2" s="244" t="s">
        <v>31</v>
      </c>
      <c r="B2" s="272">
        <f>'1. key ratios '!B2</f>
        <v>46203</v>
      </c>
    </row>
    <row r="3" spans="1:11" s="286" customFormat="1" ht="13.8" customHeight="1">
      <c r="A3" s="245" t="s">
        <v>468</v>
      </c>
    </row>
    <row r="4" spans="1:11" ht="13.8" customHeight="1">
      <c r="C4" s="316" t="s">
        <v>662</v>
      </c>
      <c r="D4" s="316" t="s">
        <v>661</v>
      </c>
      <c r="E4" s="316" t="s">
        <v>660</v>
      </c>
      <c r="F4" s="316" t="s">
        <v>659</v>
      </c>
      <c r="G4" s="316" t="s">
        <v>658</v>
      </c>
      <c r="H4" s="316" t="s">
        <v>657</v>
      </c>
      <c r="I4" s="316" t="s">
        <v>656</v>
      </c>
      <c r="J4" s="316" t="s">
        <v>655</v>
      </c>
      <c r="K4" s="316" t="s">
        <v>654</v>
      </c>
    </row>
    <row r="5" spans="1:11" ht="103.95" customHeight="1">
      <c r="A5" s="867" t="s">
        <v>653</v>
      </c>
      <c r="B5" s="868"/>
      <c r="C5" s="315" t="s">
        <v>469</v>
      </c>
      <c r="D5" s="315" t="s">
        <v>470</v>
      </c>
      <c r="E5" s="315" t="s">
        <v>471</v>
      </c>
      <c r="F5" s="315" t="s">
        <v>472</v>
      </c>
      <c r="G5" s="315" t="s">
        <v>473</v>
      </c>
      <c r="H5" s="315" t="s">
        <v>474</v>
      </c>
      <c r="I5" s="315" t="s">
        <v>475</v>
      </c>
      <c r="J5" s="315" t="s">
        <v>476</v>
      </c>
      <c r="K5" s="315" t="s">
        <v>477</v>
      </c>
    </row>
    <row r="6" spans="1:11">
      <c r="A6" s="275">
        <v>1</v>
      </c>
      <c r="B6" s="275" t="s">
        <v>437</v>
      </c>
      <c r="C6" s="713">
        <v>58629761.984200001</v>
      </c>
      <c r="D6" s="713"/>
      <c r="E6" s="713"/>
      <c r="F6" s="713"/>
      <c r="G6" s="713">
        <v>243658362.16589999</v>
      </c>
      <c r="H6" s="713"/>
      <c r="I6" s="713">
        <v>61766458.834700003</v>
      </c>
      <c r="J6" s="713">
        <v>6485722.7209999999</v>
      </c>
      <c r="K6" s="713">
        <v>51589998.399300002</v>
      </c>
    </row>
    <row r="7" spans="1:11">
      <c r="A7" s="275">
        <v>2</v>
      </c>
      <c r="B7" s="275" t="s">
        <v>478</v>
      </c>
      <c r="C7" s="713"/>
      <c r="D7" s="713"/>
      <c r="E7" s="713"/>
      <c r="F7" s="713"/>
      <c r="G7" s="713">
        <v>2993491.0019</v>
      </c>
      <c r="H7" s="713"/>
      <c r="I7" s="713">
        <v>40337507.899999999</v>
      </c>
      <c r="J7" s="713">
        <v>0</v>
      </c>
      <c r="K7" s="713">
        <v>57675059.142899998</v>
      </c>
    </row>
    <row r="8" spans="1:11">
      <c r="A8" s="275">
        <v>3</v>
      </c>
      <c r="B8" s="275" t="s">
        <v>445</v>
      </c>
      <c r="C8" s="713">
        <v>2565291.6617999999</v>
      </c>
      <c r="D8" s="713"/>
      <c r="E8" s="713">
        <v>43548.32</v>
      </c>
      <c r="F8" s="713"/>
      <c r="G8" s="713">
        <v>21793764.665899999</v>
      </c>
      <c r="H8" s="713"/>
      <c r="I8" s="713">
        <v>11641718.229800001</v>
      </c>
      <c r="J8" s="713">
        <v>7610472.0607000003</v>
      </c>
      <c r="K8" s="713">
        <v>52186360.979599997</v>
      </c>
    </row>
    <row r="9" spans="1:11">
      <c r="A9" s="275">
        <v>4</v>
      </c>
      <c r="B9" s="295" t="s">
        <v>479</v>
      </c>
      <c r="C9" s="737"/>
      <c r="D9" s="737"/>
      <c r="E9" s="737"/>
      <c r="F9" s="737"/>
      <c r="G9" s="737">
        <v>23161742.573899999</v>
      </c>
      <c r="H9" s="737"/>
      <c r="I9" s="737">
        <v>15.793699999999999</v>
      </c>
      <c r="J9" s="737">
        <v>1552519.0573</v>
      </c>
      <c r="K9" s="737">
        <v>193073.52160000001</v>
      </c>
    </row>
    <row r="10" spans="1:11">
      <c r="A10" s="275">
        <v>5</v>
      </c>
      <c r="B10" s="295" t="s">
        <v>480</v>
      </c>
      <c r="C10" s="737"/>
      <c r="D10" s="737"/>
      <c r="E10" s="737"/>
      <c r="F10" s="737"/>
      <c r="G10" s="737"/>
      <c r="H10" s="737"/>
      <c r="I10" s="737"/>
      <c r="J10" s="737"/>
      <c r="K10" s="737"/>
    </row>
    <row r="11" spans="1:11">
      <c r="A11" s="275">
        <v>6</v>
      </c>
      <c r="B11" s="295" t="s">
        <v>481</v>
      </c>
      <c r="C11" s="737"/>
      <c r="D11" s="737"/>
      <c r="E11" s="737"/>
      <c r="F11" s="737"/>
      <c r="G11" s="737">
        <v>0</v>
      </c>
      <c r="H11" s="737"/>
      <c r="I11" s="737">
        <v>0</v>
      </c>
      <c r="J11" s="737">
        <v>0</v>
      </c>
      <c r="K11" s="737">
        <v>0</v>
      </c>
    </row>
    <row r="13" spans="1:11" ht="13.8">
      <c r="B13" s="314"/>
      <c r="C13" s="496"/>
      <c r="D13" s="496"/>
      <c r="E13" s="496"/>
      <c r="F13" s="496"/>
      <c r="G13" s="496"/>
      <c r="H13" s="496"/>
      <c r="I13" s="496"/>
      <c r="J13" s="496"/>
      <c r="K13" s="496"/>
    </row>
    <row r="14" spans="1:11">
      <c r="C14" s="496"/>
      <c r="D14" s="496"/>
      <c r="E14" s="496"/>
      <c r="F14" s="496"/>
      <c r="G14" s="496"/>
      <c r="H14" s="496"/>
      <c r="I14" s="496"/>
      <c r="J14" s="496"/>
      <c r="K14" s="496"/>
    </row>
    <row r="15" spans="1:11">
      <c r="C15" s="496"/>
      <c r="D15" s="496"/>
      <c r="E15" s="496"/>
      <c r="F15" s="496"/>
      <c r="G15" s="496"/>
      <c r="H15" s="496"/>
      <c r="I15" s="496"/>
      <c r="J15" s="496"/>
      <c r="K15" s="496"/>
    </row>
    <row r="16" spans="1:11">
      <c r="C16" s="496"/>
      <c r="D16" s="496"/>
      <c r="E16" s="496"/>
      <c r="F16" s="496"/>
      <c r="G16" s="496"/>
      <c r="H16" s="496"/>
      <c r="I16" s="496"/>
      <c r="J16" s="496"/>
      <c r="K16" s="496"/>
    </row>
    <row r="17" spans="3:11">
      <c r="C17" s="496"/>
      <c r="D17" s="496"/>
      <c r="E17" s="496"/>
      <c r="F17" s="496"/>
      <c r="G17" s="496"/>
      <c r="H17" s="496"/>
      <c r="I17" s="496"/>
      <c r="J17" s="496"/>
      <c r="K17" s="496"/>
    </row>
    <row r="18" spans="3:11">
      <c r="C18" s="496"/>
      <c r="D18" s="496"/>
      <c r="E18" s="496"/>
      <c r="F18" s="496"/>
      <c r="G18" s="496"/>
      <c r="H18" s="496"/>
      <c r="I18" s="496"/>
      <c r="J18" s="496"/>
      <c r="K18" s="496"/>
    </row>
    <row r="19" spans="3:11">
      <c r="C19" s="496"/>
      <c r="D19" s="453"/>
      <c r="E19" s="453"/>
      <c r="F19" s="453"/>
      <c r="G19" s="453"/>
      <c r="H19" s="453"/>
      <c r="I19" s="453"/>
      <c r="J19" s="453"/>
      <c r="K19" s="453"/>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paperSize="9" scale="26" orientation="portrait" horizontalDpi="300" verticalDpi="300" r:id="rId1"/>
  <headerFooter>
    <oddFooter>&amp;C_x000D_&amp;1#&amp;"Aptos"&amp;10&amp;K000000 C4 - EXTERNAL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36"/>
  <sheetViews>
    <sheetView showGridLines="0" zoomScale="80" zoomScaleNormal="80" workbookViewId="0">
      <selection activeCell="G11" sqref="G11"/>
    </sheetView>
  </sheetViews>
  <sheetFormatPr defaultColWidth="8.77734375" defaultRowHeight="14.4"/>
  <cols>
    <col min="1" max="1" width="12.21875" style="317" customWidth="1"/>
    <col min="2" max="2" width="71.77734375" style="317" customWidth="1"/>
    <col min="3" max="3" width="10.6640625" style="317" bestFit="1" customWidth="1"/>
    <col min="4" max="7" width="15.5546875" style="317" customWidth="1"/>
    <col min="8" max="8" width="10.6640625" style="317" bestFit="1" customWidth="1"/>
    <col min="9" max="12" width="17.21875" style="317" customWidth="1"/>
    <col min="13" max="13" width="10.6640625" style="317" bestFit="1" customWidth="1"/>
    <col min="14" max="17" width="16.21875" style="317" customWidth="1"/>
    <col min="18" max="18" width="12.21875" style="317" bestFit="1" customWidth="1"/>
    <col min="19" max="19" width="46.88671875" style="317" bestFit="1" customWidth="1"/>
    <col min="20" max="20" width="43.44140625" style="317" bestFit="1" customWidth="1"/>
    <col min="21" max="21" width="45.88671875" style="317" bestFit="1" customWidth="1"/>
    <col min="22" max="22" width="43.33203125" style="317" bestFit="1" customWidth="1"/>
    <col min="23" max="16384" width="8.77734375" style="317"/>
  </cols>
  <sheetData>
    <row r="1" spans="1:22">
      <c r="A1" s="244" t="s">
        <v>30</v>
      </c>
      <c r="B1" s="273" t="str">
        <f>'Info '!C2</f>
        <v xml:space="preserve">PASHA Bank Georgia JSC </v>
      </c>
    </row>
    <row r="2" spans="1:22">
      <c r="A2" s="244" t="s">
        <v>31</v>
      </c>
      <c r="B2" s="272">
        <f>'1. key ratios '!B2</f>
        <v>46203</v>
      </c>
    </row>
    <row r="3" spans="1:22">
      <c r="A3" s="245" t="s">
        <v>496</v>
      </c>
      <c r="B3" s="286"/>
    </row>
    <row r="4" spans="1:22">
      <c r="A4" s="245"/>
      <c r="B4" s="286"/>
    </row>
    <row r="5" spans="1:22" ht="24" customHeight="1">
      <c r="A5" s="742" t="s">
        <v>497</v>
      </c>
      <c r="B5" s="743"/>
      <c r="C5" s="747" t="s">
        <v>663</v>
      </c>
      <c r="D5" s="747"/>
      <c r="E5" s="747"/>
      <c r="F5" s="747"/>
      <c r="G5" s="747"/>
      <c r="H5" s="747" t="s">
        <v>515</v>
      </c>
      <c r="I5" s="747"/>
      <c r="J5" s="747"/>
      <c r="K5" s="747"/>
      <c r="L5" s="747"/>
      <c r="M5" s="747" t="s">
        <v>627</v>
      </c>
      <c r="N5" s="747"/>
      <c r="O5" s="747"/>
      <c r="P5" s="747"/>
      <c r="Q5" s="747"/>
      <c r="R5" s="746" t="s">
        <v>498</v>
      </c>
      <c r="S5" s="746" t="s">
        <v>512</v>
      </c>
      <c r="T5" s="746" t="s">
        <v>513</v>
      </c>
      <c r="U5" s="746" t="s">
        <v>672</v>
      </c>
      <c r="V5" s="746" t="s">
        <v>673</v>
      </c>
    </row>
    <row r="6" spans="1:22" ht="36" customHeight="1">
      <c r="A6" s="744"/>
      <c r="B6" s="745"/>
      <c r="C6" s="322"/>
      <c r="D6" s="284" t="s">
        <v>648</v>
      </c>
      <c r="E6" s="284" t="s">
        <v>647</v>
      </c>
      <c r="F6" s="284" t="s">
        <v>646</v>
      </c>
      <c r="G6" s="284" t="s">
        <v>645</v>
      </c>
      <c r="H6" s="322"/>
      <c r="I6" s="284" t="s">
        <v>648</v>
      </c>
      <c r="J6" s="284" t="s">
        <v>647</v>
      </c>
      <c r="K6" s="284" t="s">
        <v>646</v>
      </c>
      <c r="L6" s="284" t="s">
        <v>645</v>
      </c>
      <c r="M6" s="322"/>
      <c r="N6" s="284" t="s">
        <v>648</v>
      </c>
      <c r="O6" s="284" t="s">
        <v>647</v>
      </c>
      <c r="P6" s="284" t="s">
        <v>646</v>
      </c>
      <c r="Q6" s="284" t="s">
        <v>645</v>
      </c>
      <c r="R6" s="746"/>
      <c r="S6" s="746"/>
      <c r="T6" s="746"/>
      <c r="U6" s="746"/>
      <c r="V6" s="746"/>
    </row>
    <row r="7" spans="1:22" s="530" customFormat="1" ht="21" customHeight="1">
      <c r="A7" s="529">
        <v>1</v>
      </c>
      <c r="B7" s="321" t="s">
        <v>506</v>
      </c>
      <c r="C7" s="738"/>
      <c r="D7" s="738"/>
      <c r="E7" s="738"/>
      <c r="F7" s="738"/>
      <c r="G7" s="738"/>
      <c r="H7" s="738"/>
      <c r="I7" s="738"/>
      <c r="J7" s="738"/>
      <c r="K7" s="738"/>
      <c r="L7" s="738"/>
      <c r="M7" s="738"/>
      <c r="N7" s="738"/>
      <c r="O7" s="738"/>
      <c r="P7" s="738"/>
      <c r="Q7" s="738"/>
      <c r="R7" s="738">
        <v>0</v>
      </c>
      <c r="S7" s="739"/>
      <c r="T7" s="739"/>
      <c r="U7" s="739"/>
      <c r="V7" s="738"/>
    </row>
    <row r="8" spans="1:22" s="530" customFormat="1" ht="21" customHeight="1">
      <c r="A8" s="529">
        <v>2</v>
      </c>
      <c r="B8" s="320" t="s">
        <v>505</v>
      </c>
      <c r="C8" s="737">
        <v>70444.899999999994</v>
      </c>
      <c r="D8" s="738">
        <v>56897.69</v>
      </c>
      <c r="E8" s="738">
        <v>0</v>
      </c>
      <c r="F8" s="738">
        <v>13547.21</v>
      </c>
      <c r="G8" s="738"/>
      <c r="H8" s="738">
        <v>70204.699200000003</v>
      </c>
      <c r="I8" s="738">
        <v>56342.809200000003</v>
      </c>
      <c r="J8" s="738">
        <v>0</v>
      </c>
      <c r="K8" s="738">
        <v>13861.89</v>
      </c>
      <c r="L8" s="738"/>
      <c r="M8" s="738">
        <v>12779.348099999999</v>
      </c>
      <c r="N8" s="738">
        <v>630.21019999999999</v>
      </c>
      <c r="O8" s="738">
        <v>0</v>
      </c>
      <c r="P8" s="738">
        <v>12149.1379</v>
      </c>
      <c r="Q8" s="738"/>
      <c r="R8" s="740">
        <v>10</v>
      </c>
      <c r="S8" s="739">
        <v>7.4499999999999997E-2</v>
      </c>
      <c r="T8" s="739">
        <v>7.7200000000000005E-2</v>
      </c>
      <c r="U8" s="739">
        <v>0.13320000000000001</v>
      </c>
      <c r="V8" s="738">
        <v>11.098599999999999</v>
      </c>
    </row>
    <row r="9" spans="1:22" s="530" customFormat="1" ht="21" customHeight="1">
      <c r="A9" s="529">
        <v>3</v>
      </c>
      <c r="B9" s="320" t="s">
        <v>504</v>
      </c>
      <c r="C9" s="738"/>
      <c r="D9" s="738"/>
      <c r="E9" s="738"/>
      <c r="F9" s="738"/>
      <c r="G9" s="738"/>
      <c r="H9" s="738"/>
      <c r="I9" s="738"/>
      <c r="J9" s="738"/>
      <c r="K9" s="738"/>
      <c r="L9" s="738"/>
      <c r="M9" s="738"/>
      <c r="N9" s="738"/>
      <c r="O9" s="738"/>
      <c r="P9" s="738"/>
      <c r="Q9" s="738"/>
      <c r="R9" s="738">
        <v>0</v>
      </c>
      <c r="S9" s="739"/>
      <c r="T9" s="739"/>
      <c r="U9" s="739"/>
      <c r="V9" s="738"/>
    </row>
    <row r="10" spans="1:22" s="530" customFormat="1" ht="21" customHeight="1">
      <c r="A10" s="529">
        <v>4</v>
      </c>
      <c r="B10" s="320" t="s">
        <v>503</v>
      </c>
      <c r="C10" s="738"/>
      <c r="D10" s="738"/>
      <c r="E10" s="738"/>
      <c r="F10" s="738"/>
      <c r="G10" s="738"/>
      <c r="H10" s="738"/>
      <c r="I10" s="738"/>
      <c r="J10" s="738"/>
      <c r="K10" s="738"/>
      <c r="L10" s="738"/>
      <c r="M10" s="738"/>
      <c r="N10" s="738"/>
      <c r="O10" s="738"/>
      <c r="P10" s="738"/>
      <c r="Q10" s="738"/>
      <c r="R10" s="738">
        <v>0</v>
      </c>
      <c r="S10" s="739"/>
      <c r="T10" s="739"/>
      <c r="U10" s="739"/>
      <c r="V10" s="738"/>
    </row>
    <row r="11" spans="1:22" s="530" customFormat="1" ht="21" customHeight="1">
      <c r="A11" s="529">
        <v>5</v>
      </c>
      <c r="B11" s="320" t="s">
        <v>502</v>
      </c>
      <c r="C11" s="738">
        <v>3363.9097999999999</v>
      </c>
      <c r="D11" s="738">
        <v>2135.25</v>
      </c>
      <c r="E11" s="738">
        <v>0</v>
      </c>
      <c r="F11" s="738">
        <v>1228.6597999999999</v>
      </c>
      <c r="G11" s="738"/>
      <c r="H11" s="738">
        <v>3367.8198000000002</v>
      </c>
      <c r="I11" s="738">
        <v>2139.16</v>
      </c>
      <c r="J11" s="738">
        <v>0</v>
      </c>
      <c r="K11" s="738">
        <v>1228.6597999999999</v>
      </c>
      <c r="L11" s="738"/>
      <c r="M11" s="738">
        <v>909.14319999999998</v>
      </c>
      <c r="N11" s="738">
        <v>11.9617</v>
      </c>
      <c r="O11" s="738">
        <v>0</v>
      </c>
      <c r="P11" s="738">
        <v>897.18150000000003</v>
      </c>
      <c r="Q11" s="738"/>
      <c r="R11" s="738">
        <v>13</v>
      </c>
      <c r="S11" s="739">
        <v>0.14949999999999999</v>
      </c>
      <c r="T11" s="739">
        <v>0.16039999999999999</v>
      </c>
      <c r="U11" s="739">
        <v>9.5200000000000007E-2</v>
      </c>
      <c r="V11" s="741">
        <v>5.3261000000000003</v>
      </c>
    </row>
    <row r="12" spans="1:22" s="530" customFormat="1" ht="21" customHeight="1">
      <c r="A12" s="529">
        <v>6</v>
      </c>
      <c r="B12" s="320" t="s">
        <v>501</v>
      </c>
      <c r="C12" s="738"/>
      <c r="D12" s="738"/>
      <c r="E12" s="738"/>
      <c r="F12" s="738"/>
      <c r="G12" s="738"/>
      <c r="H12" s="738"/>
      <c r="I12" s="738"/>
      <c r="J12" s="738"/>
      <c r="K12" s="738"/>
      <c r="L12" s="738"/>
      <c r="M12" s="738"/>
      <c r="N12" s="738"/>
      <c r="O12" s="738"/>
      <c r="P12" s="738"/>
      <c r="Q12" s="738"/>
      <c r="R12" s="738">
        <v>0</v>
      </c>
      <c r="S12" s="739"/>
      <c r="T12" s="739"/>
      <c r="U12" s="739"/>
      <c r="V12" s="738"/>
    </row>
    <row r="13" spans="1:22" s="530" customFormat="1" ht="21" customHeight="1">
      <c r="A13" s="529">
        <v>7</v>
      </c>
      <c r="B13" s="320" t="s">
        <v>500</v>
      </c>
      <c r="C13" s="738"/>
      <c r="D13" s="738"/>
      <c r="E13" s="738"/>
      <c r="F13" s="738"/>
      <c r="G13" s="738"/>
      <c r="H13" s="738"/>
      <c r="I13" s="738"/>
      <c r="J13" s="738"/>
      <c r="K13" s="738"/>
      <c r="L13" s="738"/>
      <c r="M13" s="738"/>
      <c r="N13" s="738"/>
      <c r="O13" s="738"/>
      <c r="P13" s="738"/>
      <c r="Q13" s="738"/>
      <c r="R13" s="738">
        <v>0</v>
      </c>
      <c r="S13" s="739"/>
      <c r="T13" s="739"/>
      <c r="U13" s="739"/>
      <c r="V13" s="738"/>
    </row>
    <row r="14" spans="1:22" s="530" customFormat="1" ht="21" customHeight="1">
      <c r="A14" s="529">
        <v>7.1</v>
      </c>
      <c r="B14" s="531" t="s">
        <v>509</v>
      </c>
      <c r="C14" s="738"/>
      <c r="D14" s="738"/>
      <c r="E14" s="738"/>
      <c r="F14" s="738"/>
      <c r="G14" s="738"/>
      <c r="H14" s="738"/>
      <c r="I14" s="738"/>
      <c r="J14" s="738"/>
      <c r="K14" s="738"/>
      <c r="L14" s="738"/>
      <c r="M14" s="738"/>
      <c r="N14" s="738"/>
      <c r="O14" s="738"/>
      <c r="P14" s="738"/>
      <c r="Q14" s="738"/>
      <c r="R14" s="738">
        <v>0</v>
      </c>
      <c r="S14" s="739"/>
      <c r="T14" s="739"/>
      <c r="U14" s="739"/>
      <c r="V14" s="738"/>
    </row>
    <row r="15" spans="1:22" s="530" customFormat="1" ht="21" customHeight="1">
      <c r="A15" s="529">
        <v>7.2</v>
      </c>
      <c r="B15" s="531" t="s">
        <v>511</v>
      </c>
      <c r="C15" s="738"/>
      <c r="D15" s="738"/>
      <c r="E15" s="738"/>
      <c r="F15" s="738"/>
      <c r="G15" s="738"/>
      <c r="H15" s="738"/>
      <c r="I15" s="738"/>
      <c r="J15" s="738"/>
      <c r="K15" s="738"/>
      <c r="L15" s="738"/>
      <c r="M15" s="738"/>
      <c r="N15" s="738"/>
      <c r="O15" s="738"/>
      <c r="P15" s="738"/>
      <c r="Q15" s="738"/>
      <c r="R15" s="738">
        <v>0</v>
      </c>
      <c r="S15" s="739"/>
      <c r="T15" s="739"/>
      <c r="U15" s="739"/>
      <c r="V15" s="738"/>
    </row>
    <row r="16" spans="1:22" s="530" customFormat="1" ht="21" customHeight="1">
      <c r="A16" s="529">
        <v>7.3</v>
      </c>
      <c r="B16" s="531" t="s">
        <v>508</v>
      </c>
      <c r="C16" s="738"/>
      <c r="D16" s="738"/>
      <c r="E16" s="738"/>
      <c r="F16" s="738"/>
      <c r="G16" s="738"/>
      <c r="H16" s="738"/>
      <c r="I16" s="738"/>
      <c r="J16" s="738"/>
      <c r="K16" s="738"/>
      <c r="L16" s="738"/>
      <c r="M16" s="738"/>
      <c r="N16" s="738"/>
      <c r="O16" s="738"/>
      <c r="P16" s="738"/>
      <c r="Q16" s="738"/>
      <c r="R16" s="738">
        <v>0</v>
      </c>
      <c r="S16" s="739"/>
      <c r="T16" s="739"/>
      <c r="U16" s="739"/>
      <c r="V16" s="738"/>
    </row>
    <row r="17" spans="1:22" s="530" customFormat="1" ht="21" customHeight="1">
      <c r="A17" s="529">
        <v>8</v>
      </c>
      <c r="B17" s="320" t="s">
        <v>507</v>
      </c>
      <c r="C17" s="738"/>
      <c r="D17" s="738"/>
      <c r="E17" s="738"/>
      <c r="F17" s="738"/>
      <c r="G17" s="738"/>
      <c r="H17" s="738"/>
      <c r="I17" s="738"/>
      <c r="J17" s="738"/>
      <c r="K17" s="738"/>
      <c r="L17" s="738"/>
      <c r="M17" s="738"/>
      <c r="N17" s="738"/>
      <c r="O17" s="738"/>
      <c r="P17" s="738"/>
      <c r="Q17" s="738"/>
      <c r="R17" s="738">
        <v>0</v>
      </c>
      <c r="S17" s="739"/>
      <c r="T17" s="739"/>
      <c r="U17" s="739"/>
      <c r="V17" s="738"/>
    </row>
    <row r="18" spans="1:22" s="530" customFormat="1" ht="21" customHeight="1">
      <c r="A18" s="532">
        <v>9</v>
      </c>
      <c r="B18" s="319" t="s">
        <v>499</v>
      </c>
      <c r="C18" s="533"/>
      <c r="D18" s="533"/>
      <c r="E18" s="533"/>
      <c r="F18" s="533"/>
      <c r="G18" s="533"/>
      <c r="H18" s="533"/>
      <c r="I18" s="533"/>
      <c r="J18" s="533"/>
      <c r="K18" s="533"/>
      <c r="L18" s="533"/>
      <c r="M18" s="533"/>
      <c r="N18" s="533"/>
      <c r="O18" s="533"/>
      <c r="P18" s="533"/>
      <c r="Q18" s="533"/>
      <c r="R18" s="533">
        <v>0</v>
      </c>
      <c r="S18" s="534"/>
      <c r="T18" s="534"/>
      <c r="U18" s="534"/>
      <c r="V18" s="533"/>
    </row>
    <row r="19" spans="1:22" s="530" customFormat="1" ht="21" customHeight="1">
      <c r="A19" s="529">
        <v>10</v>
      </c>
      <c r="B19" s="318" t="s">
        <v>510</v>
      </c>
      <c r="C19" s="737">
        <v>73808.809800000003</v>
      </c>
      <c r="D19" s="738">
        <v>59032.94</v>
      </c>
      <c r="E19" s="738">
        <v>0</v>
      </c>
      <c r="F19" s="738">
        <v>14775.8698</v>
      </c>
      <c r="G19" s="738"/>
      <c r="H19" s="738">
        <v>73572.519</v>
      </c>
      <c r="I19" s="738">
        <v>58481.9692</v>
      </c>
      <c r="J19" s="738">
        <v>0</v>
      </c>
      <c r="K19" s="738">
        <v>15090.549800000001</v>
      </c>
      <c r="L19" s="738"/>
      <c r="M19" s="738">
        <v>13688.4913</v>
      </c>
      <c r="N19" s="738">
        <v>642.17190000000005</v>
      </c>
      <c r="O19" s="738">
        <v>0</v>
      </c>
      <c r="P19" s="738">
        <v>13046.3194</v>
      </c>
      <c r="Q19" s="738"/>
      <c r="R19" s="738">
        <v>28</v>
      </c>
      <c r="S19" s="739">
        <v>0.1241</v>
      </c>
      <c r="T19" s="739">
        <v>0.1323</v>
      </c>
      <c r="U19" s="739">
        <v>0.13150000000000001</v>
      </c>
      <c r="V19" s="738">
        <v>10.2539</v>
      </c>
    </row>
    <row r="20" spans="1:22" s="530" customFormat="1" ht="27" customHeight="1">
      <c r="A20" s="529">
        <v>10.1</v>
      </c>
      <c r="B20" s="531" t="s">
        <v>514</v>
      </c>
      <c r="C20" s="738"/>
      <c r="D20" s="738"/>
      <c r="E20" s="738"/>
      <c r="F20" s="738"/>
      <c r="G20" s="738"/>
      <c r="H20" s="738"/>
      <c r="I20" s="738"/>
      <c r="J20" s="738"/>
      <c r="K20" s="738"/>
      <c r="L20" s="738"/>
      <c r="M20" s="738"/>
      <c r="N20" s="738"/>
      <c r="O20" s="738"/>
      <c r="P20" s="738"/>
      <c r="Q20" s="738"/>
      <c r="R20" s="738">
        <v>0</v>
      </c>
      <c r="S20" s="739"/>
      <c r="T20" s="739"/>
      <c r="U20" s="739"/>
      <c r="V20" s="738"/>
    </row>
    <row r="22" spans="1:22">
      <c r="C22" s="454"/>
      <c r="D22" s="454"/>
      <c r="E22" s="454"/>
      <c r="F22" s="454"/>
      <c r="G22" s="454"/>
      <c r="H22" s="454"/>
      <c r="I22" s="454"/>
      <c r="J22" s="454"/>
      <c r="K22" s="454"/>
      <c r="L22" s="454"/>
      <c r="M22" s="454"/>
      <c r="N22" s="454"/>
      <c r="O22" s="454"/>
      <c r="P22" s="454"/>
      <c r="Q22" s="454"/>
      <c r="R22" s="454"/>
      <c r="S22" s="502"/>
      <c r="T22" s="502"/>
      <c r="U22" s="502"/>
      <c r="V22" s="454"/>
    </row>
    <row r="23" spans="1:22">
      <c r="C23" s="454"/>
      <c r="D23" s="454"/>
      <c r="E23" s="454"/>
      <c r="F23" s="454"/>
      <c r="G23" s="454"/>
      <c r="H23" s="454"/>
      <c r="I23" s="454"/>
      <c r="J23" s="454"/>
      <c r="K23" s="454"/>
      <c r="L23" s="454"/>
      <c r="M23" s="454"/>
      <c r="N23" s="454"/>
      <c r="O23" s="454"/>
      <c r="P23" s="454"/>
      <c r="Q23" s="454"/>
      <c r="R23" s="454"/>
      <c r="S23" s="503"/>
      <c r="T23" s="503"/>
      <c r="U23" s="503"/>
      <c r="V23" s="454"/>
    </row>
    <row r="24" spans="1:22">
      <c r="C24" s="454"/>
      <c r="D24" s="454"/>
      <c r="E24" s="454"/>
      <c r="F24" s="454"/>
      <c r="G24" s="454"/>
      <c r="H24" s="454"/>
      <c r="I24" s="454"/>
      <c r="J24" s="454"/>
      <c r="K24" s="454"/>
      <c r="L24" s="454"/>
      <c r="M24" s="454"/>
      <c r="N24" s="454"/>
      <c r="O24" s="454"/>
      <c r="P24" s="454"/>
      <c r="Q24" s="454"/>
      <c r="R24" s="454"/>
      <c r="S24" s="503"/>
      <c r="T24" s="503"/>
      <c r="U24" s="503"/>
      <c r="V24" s="454"/>
    </row>
    <row r="25" spans="1:22">
      <c r="C25" s="454"/>
      <c r="D25" s="454"/>
      <c r="E25" s="454"/>
      <c r="F25" s="454"/>
      <c r="G25" s="454"/>
      <c r="H25" s="454"/>
      <c r="I25" s="454"/>
      <c r="J25" s="454"/>
      <c r="K25" s="454"/>
      <c r="L25" s="454"/>
      <c r="M25" s="454"/>
      <c r="N25" s="454"/>
      <c r="O25" s="454"/>
      <c r="P25" s="454"/>
      <c r="Q25" s="454"/>
      <c r="R25" s="454"/>
      <c r="S25" s="503"/>
      <c r="T25" s="503"/>
      <c r="U25" s="503"/>
      <c r="V25" s="454"/>
    </row>
    <row r="26" spans="1:22">
      <c r="C26" s="454"/>
      <c r="D26" s="454"/>
      <c r="E26" s="454"/>
      <c r="F26" s="454"/>
      <c r="G26" s="454"/>
      <c r="H26" s="454"/>
      <c r="I26" s="454"/>
      <c r="J26" s="454"/>
      <c r="K26" s="454"/>
      <c r="L26" s="454"/>
      <c r="M26" s="454"/>
      <c r="N26" s="454"/>
      <c r="O26" s="454"/>
      <c r="P26" s="454"/>
      <c r="Q26" s="454"/>
      <c r="R26" s="454"/>
      <c r="S26" s="503"/>
      <c r="T26" s="503"/>
      <c r="U26" s="503"/>
      <c r="V26" s="454"/>
    </row>
    <row r="27" spans="1:22">
      <c r="C27" s="454"/>
      <c r="D27" s="454"/>
      <c r="E27" s="454"/>
      <c r="F27" s="454"/>
      <c r="G27" s="454"/>
      <c r="H27" s="454"/>
      <c r="I27" s="454"/>
      <c r="J27" s="454"/>
      <c r="K27" s="454"/>
      <c r="L27" s="454"/>
      <c r="M27" s="454"/>
      <c r="N27" s="454"/>
      <c r="O27" s="454"/>
      <c r="P27" s="454"/>
      <c r="Q27" s="454"/>
      <c r="R27" s="454"/>
      <c r="S27" s="503"/>
      <c r="T27" s="503"/>
      <c r="U27" s="503"/>
      <c r="V27" s="454"/>
    </row>
    <row r="28" spans="1:22">
      <c r="C28" s="454"/>
      <c r="D28" s="454"/>
      <c r="E28" s="454"/>
      <c r="F28" s="454"/>
      <c r="G28" s="454"/>
      <c r="H28" s="454"/>
      <c r="I28" s="454"/>
      <c r="J28" s="454"/>
      <c r="K28" s="454"/>
      <c r="L28" s="454"/>
      <c r="M28" s="454"/>
      <c r="N28" s="454"/>
      <c r="O28" s="454"/>
      <c r="P28" s="454"/>
      <c r="Q28" s="454"/>
      <c r="R28" s="454"/>
      <c r="S28" s="503"/>
      <c r="T28" s="503"/>
      <c r="U28" s="503"/>
      <c r="V28" s="454"/>
    </row>
    <row r="29" spans="1:22">
      <c r="C29" s="454"/>
      <c r="D29" s="454"/>
      <c r="E29" s="454"/>
      <c r="F29" s="454"/>
      <c r="G29" s="454"/>
      <c r="H29" s="454"/>
      <c r="I29" s="454"/>
      <c r="J29" s="454"/>
      <c r="K29" s="454"/>
      <c r="L29" s="454"/>
      <c r="M29" s="454"/>
      <c r="N29" s="454"/>
      <c r="O29" s="454"/>
      <c r="P29" s="454"/>
      <c r="Q29" s="454"/>
      <c r="R29" s="454"/>
      <c r="S29" s="503"/>
      <c r="T29" s="503"/>
      <c r="U29" s="503"/>
      <c r="V29" s="454"/>
    </row>
    <row r="30" spans="1:22">
      <c r="C30" s="454"/>
      <c r="D30" s="454"/>
      <c r="E30" s="454"/>
      <c r="F30" s="454"/>
      <c r="G30" s="454"/>
      <c r="H30" s="454"/>
      <c r="I30" s="454"/>
      <c r="J30" s="454"/>
      <c r="K30" s="454"/>
      <c r="L30" s="454"/>
      <c r="M30" s="454"/>
      <c r="N30" s="454"/>
      <c r="O30" s="454"/>
      <c r="P30" s="454"/>
      <c r="Q30" s="454"/>
      <c r="R30" s="454"/>
      <c r="S30" s="503"/>
      <c r="T30" s="503"/>
      <c r="U30" s="503"/>
      <c r="V30" s="454"/>
    </row>
    <row r="31" spans="1:22">
      <c r="C31" s="454"/>
      <c r="D31" s="454"/>
      <c r="E31" s="454"/>
      <c r="F31" s="454"/>
      <c r="G31" s="454"/>
      <c r="H31" s="454"/>
      <c r="I31" s="454"/>
      <c r="J31" s="454"/>
      <c r="K31" s="454"/>
      <c r="L31" s="454"/>
      <c r="M31" s="454"/>
      <c r="N31" s="454"/>
      <c r="O31" s="454"/>
      <c r="P31" s="454"/>
      <c r="Q31" s="454"/>
      <c r="R31" s="454"/>
      <c r="S31" s="503"/>
      <c r="T31" s="503"/>
      <c r="U31" s="503"/>
      <c r="V31" s="454"/>
    </row>
    <row r="32" spans="1:22">
      <c r="C32" s="454"/>
      <c r="D32" s="454"/>
      <c r="E32" s="454"/>
      <c r="F32" s="454"/>
      <c r="G32" s="454"/>
      <c r="H32" s="454"/>
      <c r="I32" s="454"/>
      <c r="J32" s="454"/>
      <c r="K32" s="454"/>
      <c r="L32" s="454"/>
      <c r="M32" s="454"/>
      <c r="N32" s="454"/>
      <c r="O32" s="454"/>
      <c r="P32" s="454"/>
      <c r="Q32" s="454"/>
      <c r="R32" s="454"/>
      <c r="S32" s="503"/>
      <c r="T32" s="503"/>
      <c r="U32" s="503"/>
      <c r="V32" s="454"/>
    </row>
    <row r="33" spans="3:22">
      <c r="C33" s="454"/>
      <c r="D33" s="454"/>
      <c r="E33" s="454"/>
      <c r="F33" s="454"/>
      <c r="G33" s="454"/>
      <c r="H33" s="454"/>
      <c r="I33" s="454"/>
      <c r="J33" s="454"/>
      <c r="K33" s="454"/>
      <c r="L33" s="454"/>
      <c r="M33" s="454"/>
      <c r="N33" s="454"/>
      <c r="O33" s="454"/>
      <c r="P33" s="454"/>
      <c r="Q33" s="454"/>
      <c r="R33" s="454"/>
      <c r="S33" s="503"/>
      <c r="T33" s="503"/>
      <c r="U33" s="503"/>
      <c r="V33" s="454"/>
    </row>
    <row r="34" spans="3:22">
      <c r="C34" s="454"/>
      <c r="D34" s="454"/>
      <c r="E34" s="454"/>
      <c r="F34" s="454"/>
      <c r="G34" s="454"/>
      <c r="H34" s="454"/>
      <c r="I34" s="454"/>
      <c r="J34" s="454"/>
      <c r="K34" s="454"/>
      <c r="L34" s="454"/>
      <c r="M34" s="454"/>
      <c r="N34" s="454"/>
      <c r="O34" s="454"/>
      <c r="P34" s="454"/>
      <c r="Q34" s="454"/>
      <c r="R34" s="454"/>
      <c r="S34" s="503"/>
      <c r="T34" s="503"/>
      <c r="U34" s="503"/>
      <c r="V34" s="454"/>
    </row>
    <row r="35" spans="3:22">
      <c r="C35" s="454"/>
      <c r="D35" s="454"/>
      <c r="E35" s="454"/>
      <c r="F35" s="454"/>
      <c r="G35" s="454"/>
      <c r="H35" s="454"/>
      <c r="I35" s="454"/>
      <c r="J35" s="454"/>
      <c r="K35" s="454"/>
      <c r="L35" s="454"/>
      <c r="M35" s="454"/>
      <c r="N35" s="454"/>
      <c r="O35" s="454"/>
      <c r="P35" s="454"/>
      <c r="Q35" s="454"/>
      <c r="R35" s="454"/>
      <c r="S35" s="503"/>
      <c r="T35" s="503"/>
      <c r="U35" s="503"/>
      <c r="V35" s="454"/>
    </row>
    <row r="36" spans="3:22">
      <c r="C36" s="454"/>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scale="17" orientation="portrait" horizontalDpi="300" verticalDpi="300" r:id="rId1"/>
  <headerFooter>
    <oddFooter>&amp;C_x000D_&amp;1#&amp;"Aptos"&amp;10&amp;K000000 C4 - EXTERNAL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5"/>
  <sheetViews>
    <sheetView topLeftCell="A24" zoomScale="80" zoomScaleNormal="80" workbookViewId="0">
      <selection activeCell="H51" sqref="H51"/>
    </sheetView>
  </sheetViews>
  <sheetFormatPr defaultRowHeight="14.4"/>
  <cols>
    <col min="2" max="2" width="66.6640625" customWidth="1"/>
    <col min="3" max="8" width="17.77734375" customWidth="1"/>
    <col min="9" max="9" width="11.44140625" customWidth="1"/>
    <col min="11" max="11" width="10.21875" bestFit="1" customWidth="1"/>
  </cols>
  <sheetData>
    <row r="1" spans="1:14" s="5" customFormat="1" ht="13.8">
      <c r="A1" s="2" t="s">
        <v>30</v>
      </c>
      <c r="B1" s="3" t="str">
        <f>'Info '!C2</f>
        <v xml:space="preserve">PASHA Bank Georgia JSC </v>
      </c>
      <c r="C1" s="3"/>
      <c r="D1" s="4"/>
      <c r="E1" s="4"/>
      <c r="F1" s="4"/>
      <c r="G1" s="4"/>
    </row>
    <row r="2" spans="1:14" s="5" customFormat="1" ht="13.8">
      <c r="A2" s="2" t="s">
        <v>31</v>
      </c>
      <c r="B2" s="209">
        <f>'1. key ratios '!B2</f>
        <v>46203</v>
      </c>
      <c r="C2" s="3"/>
      <c r="D2" s="4"/>
      <c r="E2" s="4"/>
      <c r="F2" s="4"/>
      <c r="G2" s="4"/>
    </row>
    <row r="3" spans="1:14" ht="15" thickBot="1"/>
    <row r="4" spans="1:14">
      <c r="A4" s="765" t="s">
        <v>6</v>
      </c>
      <c r="B4" s="767" t="s">
        <v>585</v>
      </c>
      <c r="C4" s="760" t="s">
        <v>522</v>
      </c>
      <c r="D4" s="760"/>
      <c r="E4" s="760"/>
      <c r="F4" s="760" t="s">
        <v>523</v>
      </c>
      <c r="G4" s="760"/>
      <c r="H4" s="761"/>
    </row>
    <row r="5" spans="1:14" ht="15.45" customHeight="1">
      <c r="A5" s="766"/>
      <c r="B5" s="768"/>
      <c r="C5" s="565" t="s">
        <v>32</v>
      </c>
      <c r="D5" s="565" t="s">
        <v>33</v>
      </c>
      <c r="E5" s="565" t="s">
        <v>34</v>
      </c>
      <c r="F5" s="565" t="s">
        <v>32</v>
      </c>
      <c r="G5" s="565" t="s">
        <v>33</v>
      </c>
      <c r="H5" s="566" t="s">
        <v>34</v>
      </c>
    </row>
    <row r="6" spans="1:14">
      <c r="A6" s="567">
        <v>1</v>
      </c>
      <c r="B6" s="411" t="s">
        <v>586</v>
      </c>
      <c r="C6" s="490">
        <f>SUM(C7:C12)</f>
        <v>15320877.629999999</v>
      </c>
      <c r="D6" s="490">
        <f>SUM(D7:D12)</f>
        <v>12858698.59</v>
      </c>
      <c r="E6" s="568">
        <f>C6+D6</f>
        <v>28179576.219999999</v>
      </c>
      <c r="F6" s="490">
        <f>SUM(F7:F12)</f>
        <v>13659534.619999999</v>
      </c>
      <c r="G6" s="490">
        <f>SUM(G7:G12)</f>
        <v>12111029.702500001</v>
      </c>
      <c r="H6" s="569">
        <f>F6+G6</f>
        <v>25770564.322499998</v>
      </c>
      <c r="I6" s="420"/>
      <c r="J6" s="420"/>
      <c r="K6" s="420"/>
      <c r="L6" s="420"/>
      <c r="M6" s="420"/>
      <c r="N6" s="420"/>
    </row>
    <row r="7" spans="1:14">
      <c r="A7" s="567">
        <v>1.1000000000000001</v>
      </c>
      <c r="B7" s="412" t="s">
        <v>529</v>
      </c>
      <c r="C7" s="490"/>
      <c r="D7" s="490"/>
      <c r="E7" s="568">
        <f t="shared" ref="E7:E45" si="0">C7+D7</f>
        <v>0</v>
      </c>
      <c r="F7" s="490"/>
      <c r="G7" s="490"/>
      <c r="H7" s="569">
        <f t="shared" ref="H7:H45" si="1">F7+G7</f>
        <v>0</v>
      </c>
      <c r="I7" s="420"/>
      <c r="J7" s="420"/>
      <c r="K7" s="420"/>
      <c r="L7" s="420"/>
      <c r="M7" s="420"/>
      <c r="N7" s="420"/>
    </row>
    <row r="8" spans="1:14">
      <c r="A8" s="567">
        <v>1.2</v>
      </c>
      <c r="B8" s="412" t="s">
        <v>531</v>
      </c>
      <c r="C8" s="490"/>
      <c r="D8" s="490"/>
      <c r="E8" s="568">
        <f t="shared" si="0"/>
        <v>0</v>
      </c>
      <c r="F8" s="490"/>
      <c r="G8" s="490"/>
      <c r="H8" s="569">
        <f t="shared" si="1"/>
        <v>0</v>
      </c>
      <c r="I8" s="420"/>
      <c r="J8" s="420"/>
      <c r="K8" s="420"/>
      <c r="L8" s="420"/>
      <c r="M8" s="420"/>
      <c r="N8" s="420"/>
    </row>
    <row r="9" spans="1:14" ht="21.45" customHeight="1">
      <c r="A9" s="567">
        <v>1.3</v>
      </c>
      <c r="B9" s="412" t="s">
        <v>587</v>
      </c>
      <c r="C9" s="490"/>
      <c r="D9" s="490"/>
      <c r="E9" s="568">
        <f t="shared" si="0"/>
        <v>0</v>
      </c>
      <c r="F9" s="490"/>
      <c r="G9" s="490"/>
      <c r="H9" s="569">
        <f t="shared" si="1"/>
        <v>0</v>
      </c>
      <c r="I9" s="420"/>
      <c r="J9" s="420"/>
      <c r="K9" s="420"/>
      <c r="L9" s="420"/>
      <c r="M9" s="420"/>
      <c r="N9" s="420"/>
    </row>
    <row r="10" spans="1:14">
      <c r="A10" s="567">
        <v>1.4</v>
      </c>
      <c r="B10" s="412" t="s">
        <v>533</v>
      </c>
      <c r="C10" s="490"/>
      <c r="D10" s="490"/>
      <c r="E10" s="568">
        <f t="shared" si="0"/>
        <v>0</v>
      </c>
      <c r="F10" s="490"/>
      <c r="G10" s="490"/>
      <c r="H10" s="569">
        <f t="shared" si="1"/>
        <v>0</v>
      </c>
      <c r="I10" s="420"/>
      <c r="J10" s="420"/>
      <c r="K10" s="420"/>
      <c r="L10" s="420"/>
      <c r="M10" s="420"/>
      <c r="N10" s="420"/>
    </row>
    <row r="11" spans="1:14">
      <c r="A11" s="567">
        <v>1.5</v>
      </c>
      <c r="B11" s="412" t="s">
        <v>537</v>
      </c>
      <c r="C11" s="490">
        <v>15320877.629999999</v>
      </c>
      <c r="D11" s="490">
        <v>12858698.59</v>
      </c>
      <c r="E11" s="568">
        <f t="shared" si="0"/>
        <v>28179576.219999999</v>
      </c>
      <c r="F11" s="490">
        <v>13659534.619999999</v>
      </c>
      <c r="G11" s="490">
        <v>12111029.702500001</v>
      </c>
      <c r="H11" s="569">
        <f t="shared" si="1"/>
        <v>25770564.322499998</v>
      </c>
      <c r="I11" s="420"/>
      <c r="J11" s="420"/>
      <c r="K11" s="420"/>
      <c r="L11" s="420"/>
      <c r="M11" s="420"/>
      <c r="N11" s="420"/>
    </row>
    <row r="12" spans="1:14">
      <c r="A12" s="567">
        <v>1.6</v>
      </c>
      <c r="B12" s="412" t="s">
        <v>419</v>
      </c>
      <c r="C12" s="490"/>
      <c r="D12" s="490"/>
      <c r="E12" s="568">
        <f t="shared" si="0"/>
        <v>0</v>
      </c>
      <c r="F12" s="490"/>
      <c r="G12" s="490"/>
      <c r="H12" s="569">
        <f t="shared" si="1"/>
        <v>0</v>
      </c>
      <c r="I12" s="420"/>
      <c r="J12" s="420"/>
      <c r="K12" s="420"/>
      <c r="L12" s="420"/>
      <c r="M12" s="420"/>
      <c r="N12" s="420"/>
    </row>
    <row r="13" spans="1:14">
      <c r="A13" s="567">
        <v>2</v>
      </c>
      <c r="B13" s="411" t="s">
        <v>588</v>
      </c>
      <c r="C13" s="490">
        <f>SUM(C14:C17)</f>
        <v>-12672091.019999998</v>
      </c>
      <c r="D13" s="490">
        <f>SUM(D14:D17)</f>
        <v>-4854897.8114999998</v>
      </c>
      <c r="E13" s="568">
        <f t="shared" si="0"/>
        <v>-17526988.831499998</v>
      </c>
      <c r="F13" s="490">
        <f>SUM(F14:F17)</f>
        <v>-7295299.0800000001</v>
      </c>
      <c r="G13" s="490">
        <f>SUM(G14:G17)</f>
        <v>-6215185.7188999997</v>
      </c>
      <c r="H13" s="569">
        <f t="shared" si="1"/>
        <v>-13510484.798900001</v>
      </c>
      <c r="I13" s="420"/>
      <c r="J13" s="420"/>
      <c r="K13" s="420"/>
      <c r="L13" s="420"/>
      <c r="M13" s="420"/>
      <c r="N13" s="420"/>
    </row>
    <row r="14" spans="1:14">
      <c r="A14" s="567">
        <v>2.1</v>
      </c>
      <c r="B14" s="412" t="s">
        <v>589</v>
      </c>
      <c r="C14" s="490"/>
      <c r="D14" s="490"/>
      <c r="E14" s="568">
        <f t="shared" si="0"/>
        <v>0</v>
      </c>
      <c r="F14" s="490"/>
      <c r="G14" s="490"/>
      <c r="H14" s="569">
        <f t="shared" si="1"/>
        <v>0</v>
      </c>
      <c r="I14" s="420"/>
      <c r="J14" s="420"/>
      <c r="K14" s="420"/>
      <c r="L14" s="420"/>
      <c r="M14" s="420"/>
      <c r="N14" s="420"/>
    </row>
    <row r="15" spans="1:14" ht="24.45" customHeight="1">
      <c r="A15" s="567">
        <v>2.2000000000000002</v>
      </c>
      <c r="B15" s="412" t="s">
        <v>590</v>
      </c>
      <c r="C15" s="490"/>
      <c r="D15" s="490"/>
      <c r="E15" s="568">
        <f t="shared" si="0"/>
        <v>0</v>
      </c>
      <c r="F15" s="490"/>
      <c r="G15" s="490"/>
      <c r="H15" s="569">
        <f t="shared" si="1"/>
        <v>0</v>
      </c>
      <c r="I15" s="420"/>
      <c r="J15" s="420"/>
      <c r="K15" s="420"/>
      <c r="L15" s="420"/>
      <c r="M15" s="420"/>
      <c r="N15" s="420"/>
    </row>
    <row r="16" spans="1:14" ht="20.55" customHeight="1">
      <c r="A16" s="567">
        <v>2.2999999999999998</v>
      </c>
      <c r="B16" s="412" t="s">
        <v>591</v>
      </c>
      <c r="C16" s="490">
        <v>-12672091.019999998</v>
      </c>
      <c r="D16" s="490">
        <v>-4854897.8114999998</v>
      </c>
      <c r="E16" s="568">
        <f t="shared" si="0"/>
        <v>-17526988.831499998</v>
      </c>
      <c r="F16" s="490">
        <v>-7295299.0800000001</v>
      </c>
      <c r="G16" s="490">
        <v>-6215185.7188999997</v>
      </c>
      <c r="H16" s="569">
        <f t="shared" si="1"/>
        <v>-13510484.798900001</v>
      </c>
      <c r="I16" s="420"/>
      <c r="J16" s="420"/>
      <c r="K16" s="420"/>
      <c r="L16" s="420"/>
      <c r="M16" s="420"/>
      <c r="N16" s="420"/>
    </row>
    <row r="17" spans="1:14">
      <c r="A17" s="567">
        <v>2.4</v>
      </c>
      <c r="B17" s="412" t="s">
        <v>592</v>
      </c>
      <c r="C17" s="490"/>
      <c r="D17" s="490"/>
      <c r="E17" s="568">
        <f t="shared" si="0"/>
        <v>0</v>
      </c>
      <c r="F17" s="490"/>
      <c r="G17" s="490"/>
      <c r="H17" s="569">
        <f t="shared" si="1"/>
        <v>0</v>
      </c>
      <c r="I17" s="420"/>
      <c r="J17" s="420"/>
      <c r="K17" s="420"/>
      <c r="L17" s="420"/>
      <c r="M17" s="420"/>
      <c r="N17" s="420"/>
    </row>
    <row r="18" spans="1:14">
      <c r="A18" s="567">
        <v>3</v>
      </c>
      <c r="B18" s="411" t="s">
        <v>593</v>
      </c>
      <c r="C18" s="490"/>
      <c r="D18" s="490"/>
      <c r="E18" s="568">
        <f t="shared" si="0"/>
        <v>0</v>
      </c>
      <c r="F18" s="490"/>
      <c r="G18" s="490"/>
      <c r="H18" s="569">
        <f t="shared" si="1"/>
        <v>0</v>
      </c>
      <c r="I18" s="420"/>
      <c r="J18" s="420"/>
      <c r="K18" s="420"/>
      <c r="L18" s="420"/>
      <c r="M18" s="420"/>
      <c r="N18" s="420"/>
    </row>
    <row r="19" spans="1:14">
      <c r="A19" s="567">
        <v>4</v>
      </c>
      <c r="B19" s="411" t="s">
        <v>594</v>
      </c>
      <c r="C19" s="490">
        <v>417439.33</v>
      </c>
      <c r="D19" s="490">
        <v>792618.56030000001</v>
      </c>
      <c r="E19" s="568">
        <f t="shared" si="0"/>
        <v>1210057.8903000001</v>
      </c>
      <c r="F19" s="490">
        <v>327875.3</v>
      </c>
      <c r="G19" s="490">
        <v>713504.66</v>
      </c>
      <c r="H19" s="569">
        <f t="shared" si="1"/>
        <v>1041379.96</v>
      </c>
      <c r="I19" s="420"/>
      <c r="J19" s="420"/>
      <c r="K19" s="420"/>
      <c r="L19" s="420"/>
      <c r="M19" s="420"/>
      <c r="N19" s="420"/>
    </row>
    <row r="20" spans="1:14">
      <c r="A20" s="567">
        <v>5</v>
      </c>
      <c r="B20" s="411" t="s">
        <v>595</v>
      </c>
      <c r="C20" s="490">
        <v>-151456.54</v>
      </c>
      <c r="D20" s="490">
        <v>-639743.76</v>
      </c>
      <c r="E20" s="568">
        <f t="shared" si="0"/>
        <v>-791200.3</v>
      </c>
      <c r="F20" s="490">
        <v>-118377.73</v>
      </c>
      <c r="G20" s="490">
        <v>-620287.16</v>
      </c>
      <c r="H20" s="569">
        <f t="shared" si="1"/>
        <v>-738664.89</v>
      </c>
      <c r="I20" s="420"/>
      <c r="J20" s="420"/>
      <c r="K20" s="420"/>
      <c r="L20" s="420"/>
      <c r="M20" s="420"/>
      <c r="N20" s="420"/>
    </row>
    <row r="21" spans="1:14" ht="24" customHeight="1">
      <c r="A21" s="567">
        <v>6</v>
      </c>
      <c r="B21" s="411" t="s">
        <v>596</v>
      </c>
      <c r="C21" s="490"/>
      <c r="D21" s="490"/>
      <c r="E21" s="568">
        <f t="shared" si="0"/>
        <v>0</v>
      </c>
      <c r="F21" s="490"/>
      <c r="G21" s="490"/>
      <c r="H21" s="569">
        <f t="shared" si="1"/>
        <v>0</v>
      </c>
      <c r="I21" s="420"/>
      <c r="J21" s="420"/>
      <c r="K21" s="420"/>
      <c r="L21" s="420"/>
      <c r="M21" s="420"/>
      <c r="N21" s="420"/>
    </row>
    <row r="22" spans="1:14" ht="18.45" customHeight="1">
      <c r="A22" s="567">
        <v>7</v>
      </c>
      <c r="B22" s="411" t="s">
        <v>597</v>
      </c>
      <c r="C22" s="490">
        <v>1153334.33</v>
      </c>
      <c r="D22" s="490">
        <v>0</v>
      </c>
      <c r="E22" s="568">
        <f t="shared" si="0"/>
        <v>1153334.33</v>
      </c>
      <c r="F22" s="490">
        <v>632895.22</v>
      </c>
      <c r="G22" s="490">
        <v>0</v>
      </c>
      <c r="H22" s="569">
        <f t="shared" si="1"/>
        <v>632895.22</v>
      </c>
      <c r="I22" s="420"/>
      <c r="J22" s="420"/>
      <c r="K22" s="420"/>
      <c r="L22" s="420"/>
      <c r="M22" s="420"/>
      <c r="N22" s="420"/>
    </row>
    <row r="23" spans="1:14" ht="25.5" customHeight="1">
      <c r="A23" s="567">
        <v>8</v>
      </c>
      <c r="B23" s="413" t="s">
        <v>598</v>
      </c>
      <c r="C23" s="490"/>
      <c r="D23" s="490"/>
      <c r="E23" s="568">
        <f t="shared" si="0"/>
        <v>0</v>
      </c>
      <c r="F23" s="490"/>
      <c r="G23" s="490"/>
      <c r="H23" s="569">
        <f t="shared" si="1"/>
        <v>0</v>
      </c>
      <c r="I23" s="420"/>
      <c r="J23" s="420"/>
      <c r="K23" s="420"/>
      <c r="L23" s="420"/>
      <c r="M23" s="420"/>
      <c r="N23" s="420"/>
    </row>
    <row r="24" spans="1:14" ht="34.5" customHeight="1">
      <c r="A24" s="567">
        <v>9</v>
      </c>
      <c r="B24" s="413" t="s">
        <v>599</v>
      </c>
      <c r="C24" s="490"/>
      <c r="D24" s="490"/>
      <c r="E24" s="568">
        <f t="shared" si="0"/>
        <v>0</v>
      </c>
      <c r="F24" s="490"/>
      <c r="G24" s="490"/>
      <c r="H24" s="569">
        <f t="shared" si="1"/>
        <v>0</v>
      </c>
      <c r="I24" s="420"/>
      <c r="J24" s="420"/>
      <c r="K24" s="420"/>
      <c r="L24" s="420"/>
      <c r="M24" s="420"/>
      <c r="N24" s="420"/>
    </row>
    <row r="25" spans="1:14">
      <c r="A25" s="567">
        <v>10</v>
      </c>
      <c r="B25" s="411" t="s">
        <v>600</v>
      </c>
      <c r="C25" s="490">
        <v>5846328.4100000039</v>
      </c>
      <c r="D25" s="490">
        <v>0</v>
      </c>
      <c r="E25" s="568">
        <f t="shared" si="0"/>
        <v>5846328.4100000039</v>
      </c>
      <c r="F25" s="490">
        <v>6291846.46</v>
      </c>
      <c r="G25" s="490">
        <v>0</v>
      </c>
      <c r="H25" s="569">
        <f t="shared" si="1"/>
        <v>6291846.46</v>
      </c>
      <c r="I25" s="420"/>
      <c r="J25" s="420"/>
      <c r="K25" s="420"/>
      <c r="L25" s="420"/>
      <c r="M25" s="420"/>
      <c r="N25" s="420"/>
    </row>
    <row r="26" spans="1:14">
      <c r="A26" s="567">
        <v>11</v>
      </c>
      <c r="B26" s="414" t="s">
        <v>601</v>
      </c>
      <c r="C26" s="490">
        <v>-89961.05</v>
      </c>
      <c r="D26" s="490">
        <v>0</v>
      </c>
      <c r="E26" s="568">
        <f t="shared" si="0"/>
        <v>-89961.05</v>
      </c>
      <c r="F26" s="490">
        <v>248596.55</v>
      </c>
      <c r="G26" s="490">
        <v>0</v>
      </c>
      <c r="H26" s="569">
        <f t="shared" si="1"/>
        <v>248596.55</v>
      </c>
      <c r="I26" s="420"/>
      <c r="J26" s="420"/>
      <c r="K26" s="420"/>
      <c r="L26" s="420"/>
      <c r="M26" s="420"/>
      <c r="N26" s="420"/>
    </row>
    <row r="27" spans="1:14">
      <c r="A27" s="567">
        <v>12</v>
      </c>
      <c r="B27" s="411" t="s">
        <v>602</v>
      </c>
      <c r="C27" s="490">
        <v>50.74</v>
      </c>
      <c r="D27" s="490">
        <v>0</v>
      </c>
      <c r="E27" s="568">
        <f t="shared" si="0"/>
        <v>50.74</v>
      </c>
      <c r="F27" s="490">
        <v>741.96</v>
      </c>
      <c r="G27" s="490">
        <v>0</v>
      </c>
      <c r="H27" s="569">
        <f t="shared" si="1"/>
        <v>741.96</v>
      </c>
      <c r="I27" s="420"/>
      <c r="J27" s="420"/>
      <c r="K27" s="420"/>
      <c r="L27" s="420"/>
      <c r="M27" s="420"/>
      <c r="N27" s="420"/>
    </row>
    <row r="28" spans="1:14">
      <c r="A28" s="567">
        <v>13</v>
      </c>
      <c r="B28" s="411" t="s">
        <v>603</v>
      </c>
      <c r="C28" s="490">
        <v>-2103386.6800000002</v>
      </c>
      <c r="D28" s="490">
        <v>0</v>
      </c>
      <c r="E28" s="568">
        <f t="shared" si="0"/>
        <v>-2103386.6800000002</v>
      </c>
      <c r="F28" s="490">
        <v>-2321767.04</v>
      </c>
      <c r="G28" s="490">
        <v>-443.11</v>
      </c>
      <c r="H28" s="569">
        <f t="shared" si="1"/>
        <v>-2322210.15</v>
      </c>
      <c r="I28" s="420"/>
      <c r="J28" s="420"/>
      <c r="K28" s="420"/>
      <c r="L28" s="420"/>
      <c r="M28" s="420"/>
      <c r="N28" s="420"/>
    </row>
    <row r="29" spans="1:14">
      <c r="A29" s="567">
        <v>14</v>
      </c>
      <c r="B29" s="411" t="s">
        <v>604</v>
      </c>
      <c r="C29" s="490">
        <f>SUM(C30:C31)</f>
        <v>-11175393</v>
      </c>
      <c r="D29" s="490">
        <f>SUM(D30:D31)</f>
        <v>0</v>
      </c>
      <c r="E29" s="568">
        <f t="shared" si="0"/>
        <v>-11175393</v>
      </c>
      <c r="F29" s="490">
        <f>SUM(F30:F31)</f>
        <v>-10776313.75</v>
      </c>
      <c r="G29" s="490">
        <f>SUM(G30:G31)</f>
        <v>0</v>
      </c>
      <c r="H29" s="569">
        <f t="shared" si="1"/>
        <v>-10776313.75</v>
      </c>
      <c r="I29" s="420"/>
      <c r="J29" s="420"/>
      <c r="K29" s="420"/>
      <c r="L29" s="420"/>
      <c r="M29" s="420"/>
      <c r="N29" s="420"/>
    </row>
    <row r="30" spans="1:14">
      <c r="A30" s="567">
        <v>14.1</v>
      </c>
      <c r="B30" s="415" t="s">
        <v>605</v>
      </c>
      <c r="C30" s="490">
        <v>-10525382.949999999</v>
      </c>
      <c r="D30" s="490"/>
      <c r="E30" s="568">
        <f t="shared" si="0"/>
        <v>-10525382.949999999</v>
      </c>
      <c r="F30" s="490">
        <v>-10166355.76</v>
      </c>
      <c r="G30" s="490"/>
      <c r="H30" s="569">
        <f t="shared" si="1"/>
        <v>-10166355.76</v>
      </c>
      <c r="I30" s="420"/>
      <c r="J30" s="420"/>
      <c r="K30" s="420"/>
      <c r="L30" s="420"/>
      <c r="M30" s="420"/>
      <c r="N30" s="420"/>
    </row>
    <row r="31" spans="1:14">
      <c r="A31" s="567">
        <v>14.2</v>
      </c>
      <c r="B31" s="415" t="s">
        <v>606</v>
      </c>
      <c r="C31" s="490">
        <v>-650010.05000000005</v>
      </c>
      <c r="D31" s="490"/>
      <c r="E31" s="568">
        <f t="shared" si="0"/>
        <v>-650010.05000000005</v>
      </c>
      <c r="F31" s="490">
        <v>-609957.99</v>
      </c>
      <c r="G31" s="490"/>
      <c r="H31" s="569">
        <f t="shared" si="1"/>
        <v>-609957.99</v>
      </c>
      <c r="I31" s="420"/>
      <c r="J31" s="420"/>
      <c r="K31" s="420"/>
      <c r="L31" s="420"/>
      <c r="M31" s="420"/>
      <c r="N31" s="420"/>
    </row>
    <row r="32" spans="1:14">
      <c r="A32" s="567">
        <v>15</v>
      </c>
      <c r="B32" s="411" t="s">
        <v>607</v>
      </c>
      <c r="C32" s="490">
        <v>-1809344.13</v>
      </c>
      <c r="D32" s="490"/>
      <c r="E32" s="568">
        <f t="shared" si="0"/>
        <v>-1809344.13</v>
      </c>
      <c r="F32" s="490">
        <v>-1968782.77</v>
      </c>
      <c r="G32" s="490"/>
      <c r="H32" s="569">
        <f t="shared" si="1"/>
        <v>-1968782.77</v>
      </c>
      <c r="I32" s="420"/>
      <c r="J32" s="420"/>
      <c r="K32" s="420"/>
      <c r="L32" s="420"/>
      <c r="M32" s="420"/>
      <c r="N32" s="420"/>
    </row>
    <row r="33" spans="1:14" ht="22.5" customHeight="1">
      <c r="A33" s="567">
        <v>16</v>
      </c>
      <c r="B33" s="416" t="s">
        <v>608</v>
      </c>
      <c r="C33" s="490"/>
      <c r="D33" s="490"/>
      <c r="E33" s="568">
        <f t="shared" si="0"/>
        <v>0</v>
      </c>
      <c r="F33" s="490"/>
      <c r="G33" s="490"/>
      <c r="H33" s="569">
        <f t="shared" si="1"/>
        <v>0</v>
      </c>
      <c r="I33" s="420"/>
      <c r="J33" s="420"/>
      <c r="K33" s="420"/>
      <c r="L33" s="420"/>
      <c r="M33" s="420"/>
      <c r="N33" s="420"/>
    </row>
    <row r="34" spans="1:14">
      <c r="A34" s="567">
        <v>17</v>
      </c>
      <c r="B34" s="411" t="s">
        <v>609</v>
      </c>
      <c r="C34" s="490">
        <f t="shared" ref="C34:D34" si="2">SUM(C35:C36)</f>
        <v>-35817.659799999994</v>
      </c>
      <c r="D34" s="490">
        <f t="shared" si="2"/>
        <v>287421.58120000002</v>
      </c>
      <c r="E34" s="568">
        <f t="shared" si="0"/>
        <v>251603.92140000002</v>
      </c>
      <c r="F34" s="490">
        <f t="shared" ref="F34:G34" si="3">SUM(F35:F36)</f>
        <v>-158357.4045</v>
      </c>
      <c r="G34" s="490">
        <f t="shared" si="3"/>
        <v>812.15830000000278</v>
      </c>
      <c r="H34" s="569">
        <f t="shared" si="1"/>
        <v>-157545.24619999999</v>
      </c>
      <c r="I34" s="420"/>
      <c r="J34" s="420"/>
      <c r="K34" s="420"/>
      <c r="L34" s="420"/>
      <c r="M34" s="420"/>
      <c r="N34" s="420"/>
    </row>
    <row r="35" spans="1:14">
      <c r="A35" s="567">
        <v>17.100000000000001</v>
      </c>
      <c r="B35" s="415" t="s">
        <v>610</v>
      </c>
      <c r="C35" s="490">
        <v>-35817.659799999994</v>
      </c>
      <c r="D35" s="490">
        <v>287421.58120000002</v>
      </c>
      <c r="E35" s="568">
        <f t="shared" si="0"/>
        <v>251603.92140000002</v>
      </c>
      <c r="F35" s="490">
        <v>10645.955499999996</v>
      </c>
      <c r="G35" s="490">
        <v>812.15830000000278</v>
      </c>
      <c r="H35" s="569">
        <f t="shared" si="1"/>
        <v>11458.113799999999</v>
      </c>
      <c r="I35" s="420"/>
      <c r="J35" s="420"/>
      <c r="K35" s="420"/>
      <c r="L35" s="420"/>
      <c r="M35" s="420"/>
      <c r="N35" s="420"/>
    </row>
    <row r="36" spans="1:14">
      <c r="A36" s="567">
        <v>17.2</v>
      </c>
      <c r="B36" s="415" t="s">
        <v>611</v>
      </c>
      <c r="C36" s="490"/>
      <c r="D36" s="490"/>
      <c r="E36" s="568">
        <f t="shared" si="0"/>
        <v>0</v>
      </c>
      <c r="F36" s="490">
        <v>-169003.36</v>
      </c>
      <c r="G36" s="490">
        <v>0</v>
      </c>
      <c r="H36" s="569">
        <f t="shared" si="1"/>
        <v>-169003.36</v>
      </c>
      <c r="I36" s="420"/>
      <c r="J36" s="420"/>
      <c r="K36" s="420"/>
      <c r="L36" s="420"/>
      <c r="M36" s="420"/>
      <c r="N36" s="420"/>
    </row>
    <row r="37" spans="1:14" ht="41.55" customHeight="1">
      <c r="A37" s="567">
        <v>18</v>
      </c>
      <c r="B37" s="417" t="s">
        <v>612</v>
      </c>
      <c r="C37" s="490">
        <f>SUM(C38:C39)</f>
        <v>-615348.17905466992</v>
      </c>
      <c r="D37" s="490">
        <f>SUM(D38:D39)</f>
        <v>1657184.499415</v>
      </c>
      <c r="E37" s="568">
        <f t="shared" si="0"/>
        <v>1041836.32036033</v>
      </c>
      <c r="F37" s="490">
        <f>SUM(F38:F39)</f>
        <v>-516903.75050620991</v>
      </c>
      <c r="G37" s="490">
        <f>SUM(G38:G39)</f>
        <v>-2602281.0469</v>
      </c>
      <c r="H37" s="569">
        <f t="shared" si="1"/>
        <v>-3119184.7974062096</v>
      </c>
      <c r="I37" s="420"/>
      <c r="J37" s="420"/>
      <c r="K37" s="420"/>
      <c r="L37" s="420"/>
      <c r="M37" s="420"/>
      <c r="N37" s="420"/>
    </row>
    <row r="38" spans="1:14">
      <c r="A38" s="567">
        <v>18.100000000000001</v>
      </c>
      <c r="B38" s="418" t="s">
        <v>613</v>
      </c>
      <c r="C38" s="490"/>
      <c r="D38" s="490"/>
      <c r="E38" s="568">
        <f t="shared" si="0"/>
        <v>0</v>
      </c>
      <c r="F38" s="490"/>
      <c r="G38" s="490">
        <v>0</v>
      </c>
      <c r="H38" s="569">
        <f t="shared" si="1"/>
        <v>0</v>
      </c>
      <c r="I38" s="420"/>
      <c r="J38" s="420"/>
      <c r="K38" s="420"/>
      <c r="L38" s="420"/>
      <c r="M38" s="420"/>
      <c r="N38" s="420"/>
    </row>
    <row r="39" spans="1:14">
      <c r="A39" s="567">
        <v>18.2</v>
      </c>
      <c r="B39" s="418" t="s">
        <v>614</v>
      </c>
      <c r="C39" s="490">
        <v>-615348.17905466992</v>
      </c>
      <c r="D39" s="490">
        <v>1657184.499415</v>
      </c>
      <c r="E39" s="568">
        <f t="shared" si="0"/>
        <v>1041836.32036033</v>
      </c>
      <c r="F39" s="490">
        <v>-516903.75050620991</v>
      </c>
      <c r="G39" s="490">
        <v>-2602281.0469</v>
      </c>
      <c r="H39" s="569">
        <f t="shared" si="1"/>
        <v>-3119184.7974062096</v>
      </c>
      <c r="I39" s="420"/>
      <c r="J39" s="420"/>
      <c r="K39" s="420"/>
      <c r="L39" s="420"/>
      <c r="M39" s="420"/>
      <c r="N39" s="420"/>
    </row>
    <row r="40" spans="1:14" ht="24.45" customHeight="1">
      <c r="A40" s="567">
        <v>19</v>
      </c>
      <c r="B40" s="417" t="s">
        <v>615</v>
      </c>
      <c r="C40" s="490"/>
      <c r="D40" s="490"/>
      <c r="E40" s="568">
        <f t="shared" si="0"/>
        <v>0</v>
      </c>
      <c r="F40" s="490"/>
      <c r="G40" s="490"/>
      <c r="H40" s="569">
        <f t="shared" si="1"/>
        <v>0</v>
      </c>
      <c r="I40" s="420"/>
      <c r="J40" s="420"/>
      <c r="K40" s="420"/>
      <c r="L40" s="420"/>
      <c r="M40" s="420"/>
      <c r="N40" s="420"/>
    </row>
    <row r="41" spans="1:14" ht="17.55" customHeight="1">
      <c r="A41" s="567">
        <v>20</v>
      </c>
      <c r="B41" s="417" t="s">
        <v>616</v>
      </c>
      <c r="C41" s="490"/>
      <c r="D41" s="490"/>
      <c r="E41" s="568">
        <f t="shared" si="0"/>
        <v>0</v>
      </c>
      <c r="F41" s="490"/>
      <c r="G41" s="490"/>
      <c r="H41" s="569">
        <f t="shared" si="1"/>
        <v>0</v>
      </c>
      <c r="I41" s="420"/>
      <c r="J41" s="420"/>
      <c r="K41" s="420"/>
      <c r="L41" s="420"/>
      <c r="M41" s="420"/>
      <c r="N41" s="420"/>
    </row>
    <row r="42" spans="1:14" ht="26.55" customHeight="1">
      <c r="A42" s="567">
        <v>21</v>
      </c>
      <c r="B42" s="417" t="s">
        <v>617</v>
      </c>
      <c r="C42" s="490"/>
      <c r="D42" s="490"/>
      <c r="E42" s="568">
        <f t="shared" si="0"/>
        <v>0</v>
      </c>
      <c r="F42" s="490"/>
      <c r="G42" s="490"/>
      <c r="H42" s="569">
        <f t="shared" si="1"/>
        <v>0</v>
      </c>
      <c r="I42" s="420"/>
      <c r="J42" s="420"/>
      <c r="K42" s="420"/>
      <c r="L42" s="420"/>
      <c r="M42" s="420"/>
      <c r="N42" s="420"/>
    </row>
    <row r="43" spans="1:14">
      <c r="A43" s="567">
        <v>22</v>
      </c>
      <c r="B43" s="419" t="s">
        <v>618</v>
      </c>
      <c r="C43" s="490">
        <f>SUM(C6,C13,C18,C19,C20,C21,C22,C23,C24,C25,C26,C27,C28,C29,C32,C33,C34,C37,C40,C41,C42)</f>
        <v>-5914767.8188546654</v>
      </c>
      <c r="D43" s="490">
        <f>SUM(D6,D13,D18,D19,D20,D21,D22,D23,D24,D25,D26,D27,D28,D29,D32,D33,D34,D37,D40,D41,D42)</f>
        <v>10101281.659414999</v>
      </c>
      <c r="E43" s="568">
        <f t="shared" si="0"/>
        <v>4186513.8405603338</v>
      </c>
      <c r="F43" s="490">
        <f>SUM(F6,F13,F18,F19,F20,F21,F22,F23,F24,F25,F26,F27,F28,F29,F32,F33,F34,F37,F40,F41,F42)</f>
        <v>-1994311.4150062082</v>
      </c>
      <c r="G43" s="490">
        <f>SUM(G6,G13,G18,G19,G20,G21,G22,G23,G24,G25,G26,G27,G28,G29,G32,G33,G34,G37,G40,G41,G42)</f>
        <v>3387149.4850000008</v>
      </c>
      <c r="H43" s="569">
        <f t="shared" si="1"/>
        <v>1392838.0699937926</v>
      </c>
      <c r="I43" s="420"/>
      <c r="J43" s="420"/>
      <c r="K43" s="420"/>
      <c r="L43" s="420"/>
      <c r="M43" s="420"/>
      <c r="N43" s="420"/>
    </row>
    <row r="44" spans="1:14">
      <c r="A44" s="567">
        <v>23</v>
      </c>
      <c r="B44" s="419" t="s">
        <v>619</v>
      </c>
      <c r="C44" s="490">
        <v>208565.43</v>
      </c>
      <c r="D44" s="490"/>
      <c r="E44" s="568">
        <f t="shared" si="0"/>
        <v>208565.43</v>
      </c>
      <c r="F44" s="490">
        <v>962381.73</v>
      </c>
      <c r="G44" s="490"/>
      <c r="H44" s="569">
        <f t="shared" si="1"/>
        <v>962381.73</v>
      </c>
      <c r="I44" s="420"/>
      <c r="J44" s="420"/>
      <c r="K44" s="420"/>
      <c r="L44" s="420"/>
      <c r="M44" s="420"/>
      <c r="N44" s="420"/>
    </row>
    <row r="45" spans="1:14" ht="15" thickBot="1">
      <c r="A45" s="570">
        <v>24</v>
      </c>
      <c r="B45" s="571" t="s">
        <v>620</v>
      </c>
      <c r="C45" s="536">
        <f>C43-C44</f>
        <v>-6123333.2488546651</v>
      </c>
      <c r="D45" s="536">
        <f>D43-D44</f>
        <v>10101281.659414999</v>
      </c>
      <c r="E45" s="572">
        <f t="shared" si="0"/>
        <v>3977948.4105603341</v>
      </c>
      <c r="F45" s="536">
        <f>F43-F44</f>
        <v>-2956693.1450062082</v>
      </c>
      <c r="G45" s="536">
        <f>G43-G44</f>
        <v>3387149.4850000008</v>
      </c>
      <c r="H45" s="573">
        <f t="shared" si="1"/>
        <v>430456.33999379259</v>
      </c>
      <c r="I45" s="420"/>
      <c r="J45" s="420"/>
      <c r="K45" s="420"/>
      <c r="L45" s="420"/>
      <c r="M45" s="420"/>
      <c r="N45" s="420"/>
    </row>
  </sheetData>
  <mergeCells count="4">
    <mergeCell ref="A4:A5"/>
    <mergeCell ref="B4:B5"/>
    <mergeCell ref="C4:E4"/>
    <mergeCell ref="F4:H4"/>
  </mergeCells>
  <pageMargins left="0.7" right="0.7" top="0.75" bottom="0.75" header="0.3" footer="0.3"/>
  <pageSetup paperSize="9" scale="48" orientation="portrait" horizontalDpi="300" verticalDpi="300" r:id="rId1"/>
  <headerFooter>
    <oddFooter>&amp;C_x000D_&amp;1#&amp;"Aptos"&amp;10&amp;K000000 C4 - EXTERNAL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7"/>
  <sheetViews>
    <sheetView topLeftCell="A24" zoomScale="80" zoomScaleNormal="80" workbookViewId="0">
      <selection activeCell="L8" sqref="L8"/>
    </sheetView>
  </sheetViews>
  <sheetFormatPr defaultColWidth="8.77734375" defaultRowHeight="13.8"/>
  <cols>
    <col min="1" max="1" width="8.77734375" style="363"/>
    <col min="2" max="2" width="87.6640625" style="361" bestFit="1" customWidth="1"/>
    <col min="3" max="8" width="15.44140625" style="361" customWidth="1"/>
    <col min="9" max="11" width="8.77734375" style="361"/>
    <col min="12" max="12" width="8.88671875" style="361" bestFit="1" customWidth="1"/>
    <col min="13" max="14" width="9.33203125" style="361" bestFit="1" customWidth="1"/>
    <col min="15" max="16384" width="8.77734375" style="361"/>
  </cols>
  <sheetData>
    <row r="1" spans="1:14">
      <c r="A1" s="107" t="s">
        <v>30</v>
      </c>
      <c r="B1" s="360" t="str">
        <f>'Info '!C2</f>
        <v xml:space="preserve">PASHA Bank Georgia JSC </v>
      </c>
      <c r="C1" s="360"/>
    </row>
    <row r="2" spans="1:14">
      <c r="A2" s="107" t="s">
        <v>31</v>
      </c>
      <c r="B2" s="362">
        <f>'1. key ratios '!B2</f>
        <v>46203</v>
      </c>
      <c r="C2" s="360"/>
    </row>
    <row r="3" spans="1:14" ht="14.4" thickBot="1">
      <c r="A3" s="361"/>
    </row>
    <row r="4" spans="1:14">
      <c r="A4" s="769" t="s">
        <v>6</v>
      </c>
      <c r="B4" s="771" t="s">
        <v>94</v>
      </c>
      <c r="C4" s="773" t="s">
        <v>522</v>
      </c>
      <c r="D4" s="773"/>
      <c r="E4" s="773"/>
      <c r="F4" s="773" t="s">
        <v>523</v>
      </c>
      <c r="G4" s="773"/>
      <c r="H4" s="774"/>
    </row>
    <row r="5" spans="1:14">
      <c r="A5" s="770"/>
      <c r="B5" s="772"/>
      <c r="C5" s="565" t="s">
        <v>32</v>
      </c>
      <c r="D5" s="565" t="s">
        <v>33</v>
      </c>
      <c r="E5" s="565" t="s">
        <v>34</v>
      </c>
      <c r="F5" s="565" t="s">
        <v>32</v>
      </c>
      <c r="G5" s="565" t="s">
        <v>33</v>
      </c>
      <c r="H5" s="566" t="s">
        <v>34</v>
      </c>
    </row>
    <row r="6" spans="1:14">
      <c r="A6" s="577">
        <v>1</v>
      </c>
      <c r="B6" s="578" t="s">
        <v>621</v>
      </c>
      <c r="C6" s="574"/>
      <c r="D6" s="574"/>
      <c r="E6" s="579">
        <f t="shared" ref="E6:E43" si="0">C6+D6</f>
        <v>0</v>
      </c>
      <c r="F6" s="574"/>
      <c r="G6" s="574"/>
      <c r="H6" s="580">
        <f t="shared" ref="H6:H43" si="1">F6+G6</f>
        <v>0</v>
      </c>
      <c r="I6" s="457"/>
      <c r="J6" s="457"/>
      <c r="K6" s="457"/>
      <c r="L6" s="457"/>
      <c r="M6" s="457"/>
      <c r="N6" s="457"/>
    </row>
    <row r="7" spans="1:14">
      <c r="A7" s="577">
        <v>2</v>
      </c>
      <c r="B7" s="578" t="s">
        <v>183</v>
      </c>
      <c r="C7" s="574"/>
      <c r="D7" s="574"/>
      <c r="E7" s="579">
        <f t="shared" si="0"/>
        <v>0</v>
      </c>
      <c r="F7" s="574"/>
      <c r="G7" s="574"/>
      <c r="H7" s="580">
        <f t="shared" si="1"/>
        <v>0</v>
      </c>
      <c r="I7" s="457"/>
      <c r="J7" s="457"/>
      <c r="K7" s="457"/>
      <c r="L7" s="457"/>
      <c r="M7" s="457"/>
      <c r="N7" s="457"/>
    </row>
    <row r="8" spans="1:14">
      <c r="A8" s="577">
        <v>3</v>
      </c>
      <c r="B8" s="578" t="s">
        <v>193</v>
      </c>
      <c r="C8" s="574">
        <f>C9+C10</f>
        <v>676892970.40999997</v>
      </c>
      <c r="D8" s="574">
        <f>D9+D10</f>
        <v>2617530461.4078002</v>
      </c>
      <c r="E8" s="579">
        <f t="shared" si="0"/>
        <v>3294423431.8178</v>
      </c>
      <c r="F8" s="574">
        <f>F9+F10</f>
        <v>345139000.41000003</v>
      </c>
      <c r="G8" s="574">
        <f>G9+G10</f>
        <v>2836264132.3039999</v>
      </c>
      <c r="H8" s="580">
        <f t="shared" si="1"/>
        <v>3181403132.7139997</v>
      </c>
      <c r="I8" s="457"/>
      <c r="J8" s="457"/>
      <c r="K8" s="457"/>
      <c r="L8" s="457"/>
      <c r="M8" s="457"/>
      <c r="N8" s="457"/>
    </row>
    <row r="9" spans="1:14">
      <c r="A9" s="577">
        <v>3.1</v>
      </c>
      <c r="B9" s="581" t="s">
        <v>184</v>
      </c>
      <c r="C9" s="575">
        <v>647850004</v>
      </c>
      <c r="D9" s="575">
        <v>2601958576.8476</v>
      </c>
      <c r="E9" s="579">
        <f t="shared" si="0"/>
        <v>3249808580.8476</v>
      </c>
      <c r="F9" s="575">
        <v>323410004</v>
      </c>
      <c r="G9" s="575">
        <v>2818153322.8779998</v>
      </c>
      <c r="H9" s="580">
        <f t="shared" si="1"/>
        <v>3141563326.8779998</v>
      </c>
      <c r="I9" s="457"/>
      <c r="J9" s="457"/>
      <c r="K9" s="457"/>
      <c r="L9" s="457"/>
      <c r="M9" s="457"/>
      <c r="N9" s="457"/>
    </row>
    <row r="10" spans="1:14">
      <c r="A10" s="577">
        <v>3.2</v>
      </c>
      <c r="B10" s="581" t="s">
        <v>180</v>
      </c>
      <c r="C10" s="574">
        <v>29042966.41</v>
      </c>
      <c r="D10" s="574">
        <f>1206240+14365644.5602</f>
        <v>15571884.5602</v>
      </c>
      <c r="E10" s="579">
        <f t="shared" si="0"/>
        <v>44614850.970200002</v>
      </c>
      <c r="F10" s="574">
        <v>21728996.41</v>
      </c>
      <c r="G10" s="574">
        <v>18110809.425999999</v>
      </c>
      <c r="H10" s="580">
        <f t="shared" si="1"/>
        <v>39839805.835999995</v>
      </c>
      <c r="I10" s="457"/>
      <c r="J10" s="457"/>
      <c r="K10" s="457"/>
      <c r="L10" s="457"/>
      <c r="M10" s="457"/>
      <c r="N10" s="457"/>
    </row>
    <row r="11" spans="1:14">
      <c r="A11" s="577">
        <v>4</v>
      </c>
      <c r="B11" s="578" t="s">
        <v>182</v>
      </c>
      <c r="C11" s="574">
        <f>C12+C13</f>
        <v>0</v>
      </c>
      <c r="D11" s="574">
        <f>D12+D13</f>
        <v>0</v>
      </c>
      <c r="E11" s="579">
        <f t="shared" si="0"/>
        <v>0</v>
      </c>
      <c r="F11" s="574">
        <f>F12+F13</f>
        <v>0</v>
      </c>
      <c r="G11" s="574">
        <f>G12+G13</f>
        <v>0</v>
      </c>
      <c r="H11" s="580">
        <f t="shared" si="1"/>
        <v>0</v>
      </c>
      <c r="I11" s="457"/>
      <c r="J11" s="457"/>
      <c r="K11" s="457"/>
      <c r="L11" s="457"/>
      <c r="M11" s="457"/>
      <c r="N11" s="457"/>
    </row>
    <row r="12" spans="1:14">
      <c r="A12" s="577">
        <v>4.0999999999999996</v>
      </c>
      <c r="B12" s="581" t="s">
        <v>166</v>
      </c>
      <c r="C12" s="574"/>
      <c r="D12" s="574"/>
      <c r="E12" s="579">
        <f t="shared" si="0"/>
        <v>0</v>
      </c>
      <c r="F12" s="574"/>
      <c r="G12" s="574"/>
      <c r="H12" s="580">
        <f t="shared" si="1"/>
        <v>0</v>
      </c>
      <c r="I12" s="457"/>
      <c r="J12" s="457"/>
      <c r="K12" s="457"/>
      <c r="L12" s="457"/>
      <c r="M12" s="457"/>
      <c r="N12" s="457"/>
    </row>
    <row r="13" spans="1:14">
      <c r="A13" s="577">
        <v>4.2</v>
      </c>
      <c r="B13" s="581" t="s">
        <v>167</v>
      </c>
      <c r="C13" s="574"/>
      <c r="D13" s="574"/>
      <c r="E13" s="579">
        <f t="shared" si="0"/>
        <v>0</v>
      </c>
      <c r="F13" s="574"/>
      <c r="G13" s="574"/>
      <c r="H13" s="580">
        <f t="shared" si="1"/>
        <v>0</v>
      </c>
      <c r="I13" s="457"/>
      <c r="J13" s="457"/>
      <c r="K13" s="457"/>
      <c r="L13" s="457"/>
      <c r="M13" s="457"/>
      <c r="N13" s="457"/>
    </row>
    <row r="14" spans="1:14">
      <c r="A14" s="577">
        <v>5</v>
      </c>
      <c r="B14" s="578" t="s">
        <v>192</v>
      </c>
      <c r="C14" s="574">
        <f>C15+C16+C17+C23+C24+C25+C26</f>
        <v>131390382.77</v>
      </c>
      <c r="D14" s="574">
        <f>D15+D16+D17+D23+D24+D25+D26</f>
        <v>518640127.8143</v>
      </c>
      <c r="E14" s="579">
        <f t="shared" si="0"/>
        <v>650030510.58430004</v>
      </c>
      <c r="F14" s="574">
        <f>F15+F16+F17+F23+F24+F25+F26</f>
        <v>114928348.59999999</v>
      </c>
      <c r="G14" s="574">
        <f>G15+G16+G17+G23+G24+G25+G26</f>
        <v>522297419.8775</v>
      </c>
      <c r="H14" s="580">
        <f t="shared" si="1"/>
        <v>637225768.47749996</v>
      </c>
      <c r="I14" s="457"/>
      <c r="J14" s="457"/>
      <c r="K14" s="457"/>
      <c r="L14" s="457"/>
      <c r="M14" s="457"/>
      <c r="N14" s="457"/>
    </row>
    <row r="15" spans="1:14">
      <c r="A15" s="577">
        <v>5.0999999999999996</v>
      </c>
      <c r="B15" s="582" t="s">
        <v>170</v>
      </c>
      <c r="C15" s="574">
        <v>2242538.4</v>
      </c>
      <c r="D15" s="574">
        <v>61477617.312799998</v>
      </c>
      <c r="E15" s="579">
        <f t="shared" si="0"/>
        <v>63720155.712799996</v>
      </c>
      <c r="F15" s="574">
        <v>3951361.87</v>
      </c>
      <c r="G15" s="574">
        <v>48383831.806199998</v>
      </c>
      <c r="H15" s="580">
        <f t="shared" si="1"/>
        <v>52335193.676199995</v>
      </c>
      <c r="I15" s="457"/>
      <c r="J15" s="457"/>
      <c r="K15" s="457"/>
      <c r="L15" s="457"/>
      <c r="M15" s="457"/>
      <c r="N15" s="457"/>
    </row>
    <row r="16" spans="1:14">
      <c r="A16" s="577">
        <v>5.2</v>
      </c>
      <c r="B16" s="582" t="s">
        <v>169</v>
      </c>
      <c r="C16" s="574"/>
      <c r="D16" s="574"/>
      <c r="E16" s="579">
        <f t="shared" si="0"/>
        <v>0</v>
      </c>
      <c r="F16" s="574"/>
      <c r="G16" s="574"/>
      <c r="H16" s="580">
        <f t="shared" si="1"/>
        <v>0</v>
      </c>
      <c r="I16" s="457"/>
      <c r="J16" s="457"/>
      <c r="K16" s="457"/>
      <c r="L16" s="457"/>
      <c r="M16" s="457"/>
      <c r="N16" s="457"/>
    </row>
    <row r="17" spans="1:14">
      <c r="A17" s="577">
        <v>5.3</v>
      </c>
      <c r="B17" s="582" t="s">
        <v>168</v>
      </c>
      <c r="C17" s="574">
        <f>C18+C19+C20+C21+C22</f>
        <v>34008852.579999998</v>
      </c>
      <c r="D17" s="574">
        <f>D18+D19+D20+D21+D22</f>
        <v>372898559.15549999</v>
      </c>
      <c r="E17" s="579">
        <f t="shared" si="0"/>
        <v>406907411.73549998</v>
      </c>
      <c r="F17" s="574">
        <f>F18+F19+F20+F21+F22</f>
        <v>34008852.579999998</v>
      </c>
      <c r="G17" s="574">
        <f>G18+G19+G20+G21+G22</f>
        <v>373925609.08240002</v>
      </c>
      <c r="H17" s="580">
        <f t="shared" si="1"/>
        <v>407934461.66240001</v>
      </c>
      <c r="I17" s="457"/>
      <c r="J17" s="457"/>
      <c r="K17" s="457"/>
      <c r="L17" s="457"/>
      <c r="M17" s="457"/>
      <c r="N17" s="457"/>
    </row>
    <row r="18" spans="1:14">
      <c r="A18" s="577" t="s">
        <v>15</v>
      </c>
      <c r="B18" s="583" t="s">
        <v>36</v>
      </c>
      <c r="C18" s="574">
        <v>1</v>
      </c>
      <c r="D18" s="574">
        <v>41069563.329899997</v>
      </c>
      <c r="E18" s="579">
        <f t="shared" si="0"/>
        <v>41069564.329899997</v>
      </c>
      <c r="F18" s="574">
        <v>1</v>
      </c>
      <c r="G18" s="574">
        <v>18823087.943500001</v>
      </c>
      <c r="H18" s="580">
        <f t="shared" si="1"/>
        <v>18823088.943500001</v>
      </c>
      <c r="I18" s="457"/>
      <c r="J18" s="457"/>
      <c r="K18" s="457"/>
      <c r="L18" s="457"/>
      <c r="M18" s="457"/>
      <c r="N18" s="457"/>
    </row>
    <row r="19" spans="1:14">
      <c r="A19" s="577" t="s">
        <v>16</v>
      </c>
      <c r="B19" s="583" t="s">
        <v>37</v>
      </c>
      <c r="C19" s="574">
        <v>167892</v>
      </c>
      <c r="D19" s="574">
        <v>187940242.33149999</v>
      </c>
      <c r="E19" s="579">
        <f t="shared" si="0"/>
        <v>188108134.33149999</v>
      </c>
      <c r="F19" s="574">
        <v>167892</v>
      </c>
      <c r="G19" s="574">
        <v>248935649.87490001</v>
      </c>
      <c r="H19" s="580">
        <f t="shared" si="1"/>
        <v>249103541.87490001</v>
      </c>
      <c r="I19" s="457"/>
      <c r="J19" s="457"/>
      <c r="K19" s="457"/>
      <c r="L19" s="457"/>
      <c r="M19" s="457"/>
      <c r="N19" s="457"/>
    </row>
    <row r="20" spans="1:14">
      <c r="A20" s="577" t="s">
        <v>17</v>
      </c>
      <c r="B20" s="583" t="s">
        <v>38</v>
      </c>
      <c r="C20" s="574">
        <v>0</v>
      </c>
      <c r="D20" s="574">
        <v>4169.5748000000003</v>
      </c>
      <c r="E20" s="579">
        <f t="shared" si="0"/>
        <v>4169.5748000000003</v>
      </c>
      <c r="F20" s="574">
        <v>0</v>
      </c>
      <c r="G20" s="574">
        <v>0</v>
      </c>
      <c r="H20" s="580">
        <f t="shared" si="1"/>
        <v>0</v>
      </c>
      <c r="I20" s="457"/>
      <c r="J20" s="457"/>
      <c r="K20" s="457"/>
      <c r="L20" s="457"/>
      <c r="M20" s="457"/>
      <c r="N20" s="457"/>
    </row>
    <row r="21" spans="1:14">
      <c r="A21" s="577" t="s">
        <v>18</v>
      </c>
      <c r="B21" s="583" t="s">
        <v>39</v>
      </c>
      <c r="C21" s="574">
        <v>40960.58</v>
      </c>
      <c r="D21" s="574">
        <v>87850193.598900005</v>
      </c>
      <c r="E21" s="579">
        <f t="shared" si="0"/>
        <v>87891154.178900003</v>
      </c>
      <c r="F21" s="574">
        <v>40960.58</v>
      </c>
      <c r="G21" s="574">
        <v>84949003.708000004</v>
      </c>
      <c r="H21" s="580">
        <f t="shared" si="1"/>
        <v>84989964.288000003</v>
      </c>
      <c r="I21" s="457"/>
      <c r="J21" s="457"/>
      <c r="K21" s="457"/>
      <c r="L21" s="457"/>
      <c r="M21" s="457"/>
      <c r="N21" s="457"/>
    </row>
    <row r="22" spans="1:14">
      <c r="A22" s="577" t="s">
        <v>19</v>
      </c>
      <c r="B22" s="583" t="s">
        <v>40</v>
      </c>
      <c r="C22" s="574">
        <v>33799999</v>
      </c>
      <c r="D22" s="574">
        <v>56034390.3204</v>
      </c>
      <c r="E22" s="579">
        <f t="shared" si="0"/>
        <v>89834389.3204</v>
      </c>
      <c r="F22" s="574">
        <v>33799999</v>
      </c>
      <c r="G22" s="574">
        <v>21217867.556000002</v>
      </c>
      <c r="H22" s="580">
        <f t="shared" si="1"/>
        <v>55017866.556000002</v>
      </c>
      <c r="I22" s="457"/>
      <c r="J22" s="457"/>
      <c r="K22" s="457"/>
      <c r="L22" s="457"/>
      <c r="M22" s="457"/>
      <c r="N22" s="457"/>
    </row>
    <row r="23" spans="1:14">
      <c r="A23" s="577">
        <v>5.4</v>
      </c>
      <c r="B23" s="582" t="s">
        <v>171</v>
      </c>
      <c r="C23" s="574">
        <v>1911601</v>
      </c>
      <c r="D23" s="574">
        <v>34749592.7962</v>
      </c>
      <c r="E23" s="579">
        <f t="shared" si="0"/>
        <v>36661193.7962</v>
      </c>
      <c r="F23" s="574">
        <v>1911601</v>
      </c>
      <c r="G23" s="574">
        <v>38734402.100299999</v>
      </c>
      <c r="H23" s="580">
        <f t="shared" si="1"/>
        <v>40646003.100299999</v>
      </c>
      <c r="I23" s="457"/>
      <c r="J23" s="457"/>
      <c r="K23" s="457"/>
      <c r="L23" s="457"/>
      <c r="M23" s="457"/>
      <c r="N23" s="457"/>
    </row>
    <row r="24" spans="1:14">
      <c r="A24" s="577">
        <v>5.5</v>
      </c>
      <c r="B24" s="582" t="s">
        <v>172</v>
      </c>
      <c r="C24" s="574">
        <v>0.01</v>
      </c>
      <c r="D24" s="574">
        <v>42.933199999999999</v>
      </c>
      <c r="E24" s="579">
        <f t="shared" si="0"/>
        <v>42.943199999999997</v>
      </c>
      <c r="F24" s="574">
        <v>0</v>
      </c>
      <c r="G24" s="574">
        <v>55.098399999999998</v>
      </c>
      <c r="H24" s="580">
        <f t="shared" si="1"/>
        <v>55.098399999999998</v>
      </c>
      <c r="I24" s="457"/>
      <c r="J24" s="457"/>
      <c r="K24" s="457"/>
      <c r="L24" s="457"/>
      <c r="M24" s="457"/>
      <c r="N24" s="457"/>
    </row>
    <row r="25" spans="1:14">
      <c r="A25" s="577">
        <v>5.6</v>
      </c>
      <c r="B25" s="582" t="s">
        <v>173</v>
      </c>
      <c r="C25" s="574">
        <v>0</v>
      </c>
      <c r="D25" s="574">
        <v>15037317.444800001</v>
      </c>
      <c r="E25" s="579">
        <f t="shared" si="0"/>
        <v>15037317.444800001</v>
      </c>
      <c r="F25" s="574">
        <v>0</v>
      </c>
      <c r="G25" s="574">
        <v>15482417.038699999</v>
      </c>
      <c r="H25" s="580">
        <f t="shared" si="1"/>
        <v>15482417.038699999</v>
      </c>
      <c r="I25" s="457"/>
      <c r="J25" s="457"/>
      <c r="K25" s="457"/>
      <c r="L25" s="457"/>
      <c r="M25" s="457"/>
      <c r="N25" s="457"/>
    </row>
    <row r="26" spans="1:14">
      <c r="A26" s="577">
        <v>5.7</v>
      </c>
      <c r="B26" s="582" t="s">
        <v>40</v>
      </c>
      <c r="C26" s="574">
        <v>93227390.780000001</v>
      </c>
      <c r="D26" s="574">
        <v>34476998.171800002</v>
      </c>
      <c r="E26" s="579">
        <f t="shared" si="0"/>
        <v>127704388.9518</v>
      </c>
      <c r="F26" s="574">
        <v>75056533.150000006</v>
      </c>
      <c r="G26" s="574">
        <v>45771104.751500003</v>
      </c>
      <c r="H26" s="580">
        <f t="shared" si="1"/>
        <v>120827637.90150002</v>
      </c>
      <c r="I26" s="457"/>
      <c r="J26" s="457"/>
      <c r="K26" s="457"/>
      <c r="L26" s="457"/>
      <c r="M26" s="457"/>
      <c r="N26" s="457"/>
    </row>
    <row r="27" spans="1:14">
      <c r="A27" s="577">
        <v>6</v>
      </c>
      <c r="B27" s="584" t="s">
        <v>622</v>
      </c>
      <c r="C27" s="574">
        <v>9288390.1600000001</v>
      </c>
      <c r="D27" s="574">
        <v>22763592.973700002</v>
      </c>
      <c r="E27" s="579">
        <f t="shared" si="0"/>
        <v>32051983.133700002</v>
      </c>
      <c r="F27" s="574">
        <v>3437502.5</v>
      </c>
      <c r="G27" s="574">
        <v>20603731.9144</v>
      </c>
      <c r="H27" s="580">
        <f t="shared" si="1"/>
        <v>24041234.4144</v>
      </c>
      <c r="I27" s="457"/>
      <c r="J27" s="457"/>
      <c r="K27" s="457"/>
      <c r="L27" s="457"/>
      <c r="M27" s="457"/>
      <c r="N27" s="457"/>
    </row>
    <row r="28" spans="1:14">
      <c r="A28" s="577">
        <v>7</v>
      </c>
      <c r="B28" s="584" t="s">
        <v>623</v>
      </c>
      <c r="C28" s="574">
        <v>35525705.07</v>
      </c>
      <c r="D28" s="574">
        <v>28303467.7141</v>
      </c>
      <c r="E28" s="579">
        <f t="shared" si="0"/>
        <v>63829172.784099996</v>
      </c>
      <c r="F28" s="574">
        <v>25016902.009999998</v>
      </c>
      <c r="G28" s="574">
        <v>39929158.502399996</v>
      </c>
      <c r="H28" s="580">
        <f t="shared" si="1"/>
        <v>64946060.512399994</v>
      </c>
      <c r="I28" s="457"/>
      <c r="J28" s="457"/>
      <c r="K28" s="457"/>
      <c r="L28" s="457"/>
      <c r="M28" s="457"/>
      <c r="N28" s="457"/>
    </row>
    <row r="29" spans="1:14">
      <c r="A29" s="577">
        <v>8</v>
      </c>
      <c r="B29" s="584" t="s">
        <v>181</v>
      </c>
      <c r="C29" s="574"/>
      <c r="D29" s="574"/>
      <c r="E29" s="579">
        <f t="shared" si="0"/>
        <v>0</v>
      </c>
      <c r="F29" s="574">
        <v>0</v>
      </c>
      <c r="G29" s="574">
        <v>1539561.0649999999</v>
      </c>
      <c r="H29" s="580">
        <f t="shared" si="1"/>
        <v>1539561.0649999999</v>
      </c>
      <c r="I29" s="457"/>
      <c r="J29" s="457"/>
      <c r="K29" s="457"/>
      <c r="L29" s="457"/>
      <c r="M29" s="457"/>
      <c r="N29" s="457"/>
    </row>
    <row r="30" spans="1:14">
      <c r="A30" s="577">
        <v>9</v>
      </c>
      <c r="B30" s="585" t="s">
        <v>198</v>
      </c>
      <c r="C30" s="574">
        <f>C31+C32+C33+C34+C35+C36+C37</f>
        <v>142526246.70000002</v>
      </c>
      <c r="D30" s="574">
        <f>D31+D32+D33+D34+D35+D36+D37</f>
        <v>179971869.35960001</v>
      </c>
      <c r="E30" s="579">
        <f t="shared" si="0"/>
        <v>322498116.0596</v>
      </c>
      <c r="F30" s="574">
        <f>F31+F32+F33+F34+F35+F36+F37</f>
        <v>65160564.549999997</v>
      </c>
      <c r="G30" s="574">
        <f>G31+G32+G33+G34+G35+G36+G37</f>
        <v>183618742.0499</v>
      </c>
      <c r="H30" s="580">
        <f t="shared" si="1"/>
        <v>248779306.59990001</v>
      </c>
      <c r="I30" s="457"/>
      <c r="J30" s="457"/>
      <c r="K30" s="457"/>
      <c r="L30" s="457"/>
      <c r="M30" s="457"/>
      <c r="N30" s="457"/>
    </row>
    <row r="31" spans="1:14">
      <c r="A31" s="577">
        <v>9.1</v>
      </c>
      <c r="B31" s="586" t="s">
        <v>188</v>
      </c>
      <c r="C31" s="574">
        <v>137399003.90000001</v>
      </c>
      <c r="D31" s="574">
        <v>25227590.8499</v>
      </c>
      <c r="E31" s="579">
        <f t="shared" si="0"/>
        <v>162626594.74990001</v>
      </c>
      <c r="F31" s="574">
        <v>51151507.25</v>
      </c>
      <c r="G31" s="574">
        <v>73539353.469500005</v>
      </c>
      <c r="H31" s="580">
        <f t="shared" si="1"/>
        <v>124690860.71950001</v>
      </c>
      <c r="I31" s="457"/>
      <c r="J31" s="457"/>
      <c r="K31" s="457"/>
      <c r="L31" s="457"/>
      <c r="M31" s="457"/>
      <c r="N31" s="457"/>
    </row>
    <row r="32" spans="1:14">
      <c r="A32" s="577">
        <v>9.1999999999999993</v>
      </c>
      <c r="B32" s="586" t="s">
        <v>189</v>
      </c>
      <c r="C32" s="574">
        <v>5127242.8</v>
      </c>
      <c r="D32" s="574">
        <v>154744278.5097</v>
      </c>
      <c r="E32" s="579">
        <f t="shared" si="0"/>
        <v>159871521.30970001</v>
      </c>
      <c r="F32" s="574">
        <v>14009057.300000001</v>
      </c>
      <c r="G32" s="574">
        <v>110079388.5804</v>
      </c>
      <c r="H32" s="580">
        <f t="shared" si="1"/>
        <v>124088445.8804</v>
      </c>
      <c r="I32" s="457"/>
      <c r="J32" s="457"/>
      <c r="K32" s="457"/>
      <c r="L32" s="457"/>
      <c r="M32" s="457"/>
      <c r="N32" s="457"/>
    </row>
    <row r="33" spans="1:14">
      <c r="A33" s="577">
        <v>9.3000000000000007</v>
      </c>
      <c r="B33" s="586" t="s">
        <v>185</v>
      </c>
      <c r="C33" s="574"/>
      <c r="D33" s="574"/>
      <c r="E33" s="579">
        <f t="shared" si="0"/>
        <v>0</v>
      </c>
      <c r="F33" s="574"/>
      <c r="G33" s="574"/>
      <c r="H33" s="580">
        <f t="shared" si="1"/>
        <v>0</v>
      </c>
      <c r="I33" s="457"/>
      <c r="J33" s="457"/>
      <c r="K33" s="457"/>
      <c r="L33" s="457"/>
      <c r="M33" s="457"/>
      <c r="N33" s="457"/>
    </row>
    <row r="34" spans="1:14">
      <c r="A34" s="577">
        <v>9.4</v>
      </c>
      <c r="B34" s="586" t="s">
        <v>186</v>
      </c>
      <c r="C34" s="574"/>
      <c r="D34" s="574"/>
      <c r="E34" s="579">
        <f t="shared" si="0"/>
        <v>0</v>
      </c>
      <c r="F34" s="574"/>
      <c r="G34" s="574"/>
      <c r="H34" s="580">
        <f t="shared" si="1"/>
        <v>0</v>
      </c>
      <c r="I34" s="457"/>
      <c r="J34" s="457"/>
      <c r="K34" s="457"/>
      <c r="L34" s="457"/>
      <c r="M34" s="457"/>
      <c r="N34" s="457"/>
    </row>
    <row r="35" spans="1:14">
      <c r="A35" s="577">
        <v>9.5</v>
      </c>
      <c r="B35" s="586" t="s">
        <v>187</v>
      </c>
      <c r="C35" s="574"/>
      <c r="D35" s="574"/>
      <c r="E35" s="579">
        <f t="shared" si="0"/>
        <v>0</v>
      </c>
      <c r="F35" s="574"/>
      <c r="G35" s="574"/>
      <c r="H35" s="580">
        <f t="shared" si="1"/>
        <v>0</v>
      </c>
      <c r="I35" s="457"/>
      <c r="J35" s="457"/>
      <c r="K35" s="457"/>
      <c r="L35" s="457"/>
      <c r="M35" s="457"/>
      <c r="N35" s="457"/>
    </row>
    <row r="36" spans="1:14">
      <c r="A36" s="577">
        <v>9.6</v>
      </c>
      <c r="B36" s="586" t="s">
        <v>190</v>
      </c>
      <c r="C36" s="574"/>
      <c r="D36" s="574"/>
      <c r="E36" s="579">
        <f t="shared" si="0"/>
        <v>0</v>
      </c>
      <c r="F36" s="574"/>
      <c r="G36" s="574"/>
      <c r="H36" s="580">
        <f t="shared" si="1"/>
        <v>0</v>
      </c>
      <c r="I36" s="457"/>
      <c r="J36" s="457"/>
      <c r="K36" s="457"/>
      <c r="L36" s="457"/>
      <c r="M36" s="457"/>
      <c r="N36" s="457"/>
    </row>
    <row r="37" spans="1:14">
      <c r="A37" s="577">
        <v>9.6999999999999993</v>
      </c>
      <c r="B37" s="586" t="s">
        <v>191</v>
      </c>
      <c r="C37" s="574"/>
      <c r="D37" s="574"/>
      <c r="E37" s="579">
        <f t="shared" si="0"/>
        <v>0</v>
      </c>
      <c r="F37" s="574"/>
      <c r="G37" s="574"/>
      <c r="H37" s="580">
        <f t="shared" si="1"/>
        <v>0</v>
      </c>
      <c r="I37" s="457"/>
      <c r="J37" s="457"/>
      <c r="K37" s="457"/>
      <c r="L37" s="457"/>
      <c r="M37" s="457"/>
      <c r="N37" s="457"/>
    </row>
    <row r="38" spans="1:14">
      <c r="A38" s="577">
        <v>10</v>
      </c>
      <c r="B38" s="578" t="s">
        <v>194</v>
      </c>
      <c r="C38" s="574">
        <f>C41+C42</f>
        <v>11632181.25</v>
      </c>
      <c r="D38" s="574">
        <f>D41+D42</f>
        <v>1970024.551</v>
      </c>
      <c r="E38" s="587">
        <f t="shared" si="0"/>
        <v>13602205.800999999</v>
      </c>
      <c r="F38" s="574">
        <f>F41+F42</f>
        <v>15107659.140000001</v>
      </c>
      <c r="G38" s="574">
        <f>G41+G42</f>
        <v>1970024.551</v>
      </c>
      <c r="H38" s="580">
        <f t="shared" si="1"/>
        <v>17077683.691</v>
      </c>
      <c r="I38" s="504"/>
      <c r="J38" s="504"/>
      <c r="K38" s="504"/>
      <c r="L38" s="504"/>
      <c r="M38" s="504"/>
      <c r="N38" s="504"/>
    </row>
    <row r="39" spans="1:14">
      <c r="A39" s="577">
        <v>10.1</v>
      </c>
      <c r="B39" s="586" t="s">
        <v>195</v>
      </c>
      <c r="C39" s="574">
        <v>0</v>
      </c>
      <c r="D39" s="574">
        <v>0</v>
      </c>
      <c r="E39" s="579">
        <f t="shared" si="0"/>
        <v>0</v>
      </c>
      <c r="F39" s="574">
        <v>60727.119599999998</v>
      </c>
      <c r="G39" s="574"/>
      <c r="H39" s="580">
        <f t="shared" si="1"/>
        <v>60727.119599999998</v>
      </c>
      <c r="I39" s="457"/>
      <c r="J39" s="457"/>
      <c r="K39" s="457"/>
      <c r="L39" s="457"/>
      <c r="M39" s="457"/>
      <c r="N39" s="457"/>
    </row>
    <row r="40" spans="1:14" ht="14.4">
      <c r="A40" s="577">
        <v>10.199999999999999</v>
      </c>
      <c r="B40" s="586" t="s">
        <v>196</v>
      </c>
      <c r="C40" s="576">
        <v>0</v>
      </c>
      <c r="D40" s="576">
        <v>0</v>
      </c>
      <c r="E40" s="579">
        <f t="shared" si="0"/>
        <v>0</v>
      </c>
      <c r="F40" s="576">
        <v>0</v>
      </c>
      <c r="G40" s="576">
        <v>0</v>
      </c>
      <c r="H40" s="580">
        <f t="shared" si="1"/>
        <v>0</v>
      </c>
      <c r="I40" s="457"/>
      <c r="J40" s="457"/>
      <c r="K40" s="457"/>
      <c r="L40" s="457"/>
      <c r="M40" s="457"/>
      <c r="N40" s="457"/>
    </row>
    <row r="41" spans="1:14">
      <c r="A41" s="577">
        <v>10.3</v>
      </c>
      <c r="B41" s="586" t="s">
        <v>199</v>
      </c>
      <c r="C41" s="574">
        <v>9485147.8000000007</v>
      </c>
      <c r="D41" s="574">
        <v>1970024.551</v>
      </c>
      <c r="E41" s="579">
        <f t="shared" si="0"/>
        <v>11455172.351</v>
      </c>
      <c r="F41" s="574">
        <v>10621394.49</v>
      </c>
      <c r="G41" s="574">
        <v>1970024.551</v>
      </c>
      <c r="H41" s="580">
        <f t="shared" si="1"/>
        <v>12591419.041000001</v>
      </c>
      <c r="I41" s="457"/>
      <c r="J41" s="457"/>
      <c r="K41" s="457"/>
      <c r="L41" s="457"/>
      <c r="M41" s="457"/>
      <c r="N41" s="457"/>
    </row>
    <row r="42" spans="1:14" ht="26.4">
      <c r="A42" s="577">
        <v>10.4</v>
      </c>
      <c r="B42" s="586" t="s">
        <v>200</v>
      </c>
      <c r="C42" s="575">
        <v>2147033.4500000002</v>
      </c>
      <c r="D42" s="575">
        <v>0</v>
      </c>
      <c r="E42" s="579">
        <f t="shared" si="0"/>
        <v>2147033.4500000002</v>
      </c>
      <c r="F42" s="575">
        <v>4486264.6500000004</v>
      </c>
      <c r="G42" s="575">
        <v>0</v>
      </c>
      <c r="H42" s="580">
        <f t="shared" si="1"/>
        <v>4486264.6500000004</v>
      </c>
      <c r="I42" s="457"/>
      <c r="J42" s="457"/>
      <c r="K42" s="457"/>
      <c r="L42" s="457"/>
      <c r="M42" s="457"/>
      <c r="N42" s="457"/>
    </row>
    <row r="43" spans="1:14" ht="14.4" thickBot="1">
      <c r="A43" s="588">
        <v>11</v>
      </c>
      <c r="B43" s="589" t="s">
        <v>197</v>
      </c>
      <c r="C43" s="590"/>
      <c r="D43" s="590"/>
      <c r="E43" s="591">
        <f t="shared" si="0"/>
        <v>0</v>
      </c>
      <c r="F43" s="590"/>
      <c r="G43" s="590"/>
      <c r="H43" s="592">
        <f t="shared" si="1"/>
        <v>0</v>
      </c>
      <c r="I43" s="457"/>
      <c r="J43" s="457"/>
      <c r="K43" s="457"/>
      <c r="L43" s="457"/>
      <c r="M43" s="457"/>
      <c r="N43" s="457"/>
    </row>
    <row r="44" spans="1:14">
      <c r="C44" s="260"/>
      <c r="D44" s="260"/>
      <c r="E44" s="260"/>
      <c r="F44" s="260"/>
      <c r="G44" s="260"/>
      <c r="H44" s="260"/>
    </row>
    <row r="45" spans="1:14">
      <c r="C45" s="260"/>
      <c r="D45" s="260"/>
      <c r="E45" s="260"/>
      <c r="F45" s="260"/>
      <c r="G45" s="260"/>
      <c r="H45" s="260"/>
    </row>
    <row r="46" spans="1:14">
      <c r="C46" s="260"/>
      <c r="D46" s="260"/>
      <c r="E46" s="260"/>
      <c r="F46" s="260"/>
      <c r="G46" s="260"/>
      <c r="H46" s="260"/>
    </row>
    <row r="47" spans="1:14">
      <c r="C47" s="260"/>
      <c r="D47" s="260"/>
      <c r="E47" s="260"/>
      <c r="F47" s="260"/>
      <c r="G47" s="260"/>
      <c r="H47" s="260"/>
    </row>
  </sheetData>
  <mergeCells count="4">
    <mergeCell ref="A4:A5"/>
    <mergeCell ref="B4:B5"/>
    <mergeCell ref="C4:E4"/>
    <mergeCell ref="F4:H4"/>
  </mergeCells>
  <pageMargins left="0.7" right="0.7" top="0.75" bottom="0.75" header="0.3" footer="0.3"/>
  <pageSetup paperSize="9" scale="46" orientation="portrait" horizontalDpi="300" verticalDpi="300" r:id="rId1"/>
  <headerFooter>
    <oddFooter>&amp;C_x000D_&amp;1#&amp;"Aptos"&amp;10&amp;K000000 C4 - EXTERNAL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9"/>
  <sheetViews>
    <sheetView zoomScale="80" zoomScaleNormal="80" workbookViewId="0">
      <pane xSplit="1" ySplit="4" topLeftCell="B5" activePane="bottomRight" state="frozen"/>
      <selection activeCell="B42" sqref="B42"/>
      <selection pane="topRight" activeCell="B42" sqref="B42"/>
      <selection pane="bottomLeft" activeCell="B42" sqref="B42"/>
      <selection pane="bottomRight" activeCell="D22" sqref="D22"/>
    </sheetView>
  </sheetViews>
  <sheetFormatPr defaultColWidth="9.21875" defaultRowHeight="13.2"/>
  <cols>
    <col min="1" max="1" width="9.5546875" style="4" bestFit="1" customWidth="1"/>
    <col min="2" max="2" width="93.5546875" style="4" customWidth="1"/>
    <col min="3" max="4" width="13.21875" style="4" customWidth="1"/>
    <col min="5" max="7" width="13.21875" style="15" customWidth="1"/>
    <col min="8" max="11" width="9.77734375" style="15" customWidth="1"/>
    <col min="12" max="16384" width="9.21875" style="15"/>
  </cols>
  <sheetData>
    <row r="1" spans="1:13">
      <c r="A1" s="2" t="s">
        <v>30</v>
      </c>
      <c r="B1" s="3" t="str">
        <f>'Info '!C2</f>
        <v xml:space="preserve">PASHA Bank Georgia JSC </v>
      </c>
      <c r="C1" s="3"/>
    </row>
    <row r="2" spans="1:13">
      <c r="A2" s="2" t="s">
        <v>31</v>
      </c>
      <c r="B2" s="209">
        <f>'1. key ratios '!B2</f>
        <v>46203</v>
      </c>
      <c r="C2" s="3"/>
    </row>
    <row r="3" spans="1:13">
      <c r="A3" s="2"/>
      <c r="B3" s="3"/>
      <c r="C3" s="3"/>
    </row>
    <row r="4" spans="1:13" ht="15" customHeight="1" thickBot="1">
      <c r="A4" s="4" t="s">
        <v>96</v>
      </c>
      <c r="B4" s="70" t="s">
        <v>174</v>
      </c>
      <c r="C4" s="17" t="s">
        <v>35</v>
      </c>
    </row>
    <row r="5" spans="1:13" ht="15" customHeight="1">
      <c r="A5" s="105" t="s">
        <v>6</v>
      </c>
      <c r="B5" s="106"/>
      <c r="C5" s="207" t="str">
        <f>INT((MONTH($B$2))/3)&amp;"Q"&amp;"-"&amp;YEAR($B$2)</f>
        <v>2Q-2026</v>
      </c>
      <c r="D5" s="207" t="str">
        <f>IF(INT(MONTH($B$2))=3, "4"&amp;"Q"&amp;"-"&amp;YEAR($B$2)-1, IF(INT(MONTH($B$2))=6, "1"&amp;"Q"&amp;"-"&amp;YEAR($B$2), IF(INT(MONTH($B$2))=9, "2"&amp;"Q"&amp;"-"&amp;YEAR($B$2),IF(INT(MONTH($B$2))=12, "3"&amp;"Q"&amp;"-"&amp;YEAR($B$2), 0))))</f>
        <v>1Q-2026</v>
      </c>
      <c r="E5" s="207" t="str">
        <f>IF(INT(MONTH($B$2))=3, "3"&amp;"Q"&amp;"-"&amp;YEAR($B$2)-1, IF(INT(MONTH($B$2))=6, "4"&amp;"Q"&amp;"-"&amp;YEAR($B$2)-1, IF(INT(MONTH($B$2))=9, "1"&amp;"Q"&amp;"-"&amp;YEAR($B$2),IF(INT(MONTH($B$2))=12, "2"&amp;"Q"&amp;"-"&amp;YEAR($B$2), 0))))</f>
        <v>4Q-2025</v>
      </c>
      <c r="F5" s="207" t="str">
        <f>IF(INT(MONTH($B$2))=3, "2"&amp;"Q"&amp;"-"&amp;YEAR($B$2)-1, IF(INT(MONTH($B$2))=6, "3"&amp;"Q"&amp;"-"&amp;YEAR($B$2)-1, IF(INT(MONTH($B$2))=9, "4"&amp;"Q"&amp;"-"&amp;YEAR($B$2)-1,IF(INT(MONTH($B$2))=12, "1"&amp;"Q"&amp;"-"&amp;YEAR($B$2), 0))))</f>
        <v>3Q-2025</v>
      </c>
      <c r="G5" s="208" t="str">
        <f>IF(INT(MONTH($B$2))=3, "1"&amp;"Q"&amp;"-"&amp;YEAR($B$2)-1, IF(INT(MONTH($B$2))=6, "2"&amp;"Q"&amp;"-"&amp;YEAR($B$2)-1, IF(INT(MONTH($B$2))=9, "3"&amp;"Q"&amp;"-"&amp;YEAR($B$2)-1,IF(INT(MONTH($B$2))=12, "4"&amp;"Q"&amp;"-"&amp;YEAR($B$2)-1, 0))))</f>
        <v>2Q-2025</v>
      </c>
    </row>
    <row r="6" spans="1:13" ht="15" customHeight="1">
      <c r="A6" s="18">
        <v>1</v>
      </c>
      <c r="B6" s="168" t="s">
        <v>178</v>
      </c>
      <c r="C6" s="202">
        <f>C7+C9+C10</f>
        <v>561087827.0139761</v>
      </c>
      <c r="D6" s="203">
        <f>D7+D9+D10</f>
        <v>585103953.47003365</v>
      </c>
      <c r="E6" s="170">
        <f t="shared" ref="E6:G6" si="0">E7+E9+E10</f>
        <v>584058719</v>
      </c>
      <c r="F6" s="202">
        <f t="shared" si="0"/>
        <v>535783282</v>
      </c>
      <c r="G6" s="205">
        <f t="shared" si="0"/>
        <v>533218917</v>
      </c>
      <c r="H6" s="424"/>
      <c r="I6" s="424"/>
      <c r="J6" s="424"/>
      <c r="K6" s="424"/>
      <c r="L6" s="424"/>
      <c r="M6" s="424"/>
    </row>
    <row r="7" spans="1:13" ht="15" customHeight="1">
      <c r="A7" s="18">
        <v>1.1000000000000001</v>
      </c>
      <c r="B7" s="168" t="s">
        <v>745</v>
      </c>
      <c r="C7" s="421">
        <v>525968081.57397997</v>
      </c>
      <c r="D7" s="422">
        <v>548503868.16568995</v>
      </c>
      <c r="E7" s="421">
        <v>550879870</v>
      </c>
      <c r="F7" s="421">
        <v>494346419</v>
      </c>
      <c r="G7" s="423">
        <v>491806152</v>
      </c>
      <c r="H7" s="424"/>
      <c r="I7" s="424"/>
      <c r="J7" s="424"/>
      <c r="K7" s="424"/>
      <c r="L7" s="424"/>
      <c r="M7" s="424"/>
    </row>
    <row r="8" spans="1:13">
      <c r="A8" s="18" t="s">
        <v>14</v>
      </c>
      <c r="B8" s="168" t="s">
        <v>95</v>
      </c>
      <c r="C8" s="421"/>
      <c r="D8" s="422"/>
      <c r="E8" s="421"/>
      <c r="F8" s="421"/>
      <c r="G8" s="423"/>
      <c r="H8" s="424"/>
      <c r="I8" s="424"/>
      <c r="J8" s="424"/>
      <c r="K8" s="424"/>
      <c r="L8" s="424"/>
      <c r="M8" s="424"/>
    </row>
    <row r="9" spans="1:13" ht="15" customHeight="1">
      <c r="A9" s="18">
        <v>1.2</v>
      </c>
      <c r="B9" s="169" t="s">
        <v>94</v>
      </c>
      <c r="C9" s="421">
        <v>33661681.315000005</v>
      </c>
      <c r="D9" s="422">
        <v>35560413.229949996</v>
      </c>
      <c r="E9" s="421">
        <v>32325187</v>
      </c>
      <c r="F9" s="421">
        <v>40843246</v>
      </c>
      <c r="G9" s="423">
        <v>40666665</v>
      </c>
      <c r="H9" s="424"/>
      <c r="I9" s="424"/>
      <c r="J9" s="424"/>
      <c r="K9" s="424"/>
      <c r="L9" s="424"/>
      <c r="M9" s="424"/>
    </row>
    <row r="10" spans="1:13" ht="15" customHeight="1">
      <c r="A10" s="18">
        <v>1.3</v>
      </c>
      <c r="B10" s="168" t="s">
        <v>28</v>
      </c>
      <c r="C10" s="421">
        <v>1458064.1249960794</v>
      </c>
      <c r="D10" s="422">
        <v>1039672.07439371</v>
      </c>
      <c r="E10" s="421">
        <v>853662</v>
      </c>
      <c r="F10" s="421">
        <v>593617</v>
      </c>
      <c r="G10" s="423">
        <v>746100</v>
      </c>
      <c r="H10" s="424"/>
      <c r="I10" s="424"/>
      <c r="J10" s="424"/>
      <c r="K10" s="424"/>
      <c r="L10" s="424"/>
      <c r="M10" s="424"/>
    </row>
    <row r="11" spans="1:13" ht="15" customHeight="1">
      <c r="A11" s="18">
        <v>2</v>
      </c>
      <c r="B11" s="168" t="s">
        <v>175</v>
      </c>
      <c r="C11" s="421">
        <v>2184669.538813516</v>
      </c>
      <c r="D11" s="422">
        <v>2227968.6489212946</v>
      </c>
      <c r="E11" s="421">
        <v>1616943</v>
      </c>
      <c r="F11" s="421">
        <v>730860</v>
      </c>
      <c r="G11" s="423">
        <v>2777016</v>
      </c>
      <c r="H11" s="424"/>
      <c r="I11" s="424"/>
      <c r="J11" s="424"/>
      <c r="K11" s="424"/>
      <c r="L11" s="424"/>
      <c r="M11" s="424"/>
    </row>
    <row r="12" spans="1:13" ht="15" customHeight="1">
      <c r="A12" s="18">
        <v>3</v>
      </c>
      <c r="B12" s="168" t="s">
        <v>176</v>
      </c>
      <c r="C12" s="421">
        <v>77787139.099999994</v>
      </c>
      <c r="D12" s="422">
        <v>77787139.099999994</v>
      </c>
      <c r="E12" s="421">
        <v>77787139</v>
      </c>
      <c r="F12" s="421">
        <v>77450981</v>
      </c>
      <c r="G12" s="423">
        <v>77450981</v>
      </c>
      <c r="H12" s="424"/>
      <c r="I12" s="424"/>
      <c r="J12" s="424"/>
      <c r="K12" s="424"/>
      <c r="L12" s="424"/>
      <c r="M12" s="424"/>
    </row>
    <row r="13" spans="1:13" ht="15" customHeight="1" thickBot="1">
      <c r="A13" s="20">
        <v>4</v>
      </c>
      <c r="B13" s="21" t="s">
        <v>177</v>
      </c>
      <c r="C13" s="171">
        <f>C6+C11+C12</f>
        <v>641059635.65278959</v>
      </c>
      <c r="D13" s="204">
        <f>D6+D11+D12</f>
        <v>665119061.21895492</v>
      </c>
      <c r="E13" s="172">
        <f t="shared" ref="E13:G13" si="1">E6+E11+E12</f>
        <v>663462801</v>
      </c>
      <c r="F13" s="171">
        <f t="shared" si="1"/>
        <v>613965123</v>
      </c>
      <c r="G13" s="206">
        <f t="shared" si="1"/>
        <v>613446914</v>
      </c>
      <c r="H13" s="424"/>
      <c r="I13" s="424"/>
      <c r="J13" s="424"/>
      <c r="K13" s="424"/>
      <c r="L13" s="424"/>
      <c r="M13" s="424"/>
    </row>
    <row r="14" spans="1:13">
      <c r="B14" s="24"/>
    </row>
    <row r="15" spans="1:13">
      <c r="B15" s="24"/>
    </row>
    <row r="16" spans="1:13">
      <c r="B16" s="24"/>
    </row>
    <row r="17" s="15" customFormat="1" ht="10.199999999999999"/>
    <row r="18" s="15" customFormat="1" ht="10.199999999999999"/>
    <row r="19" s="15" customFormat="1" ht="10.199999999999999"/>
    <row r="20" s="15" customFormat="1" ht="10.199999999999999"/>
    <row r="21" s="15" customFormat="1" ht="10.199999999999999"/>
    <row r="22" s="15" customFormat="1" ht="10.199999999999999"/>
    <row r="23" s="15" customFormat="1" ht="10.199999999999999"/>
    <row r="24" s="15" customFormat="1" ht="10.199999999999999"/>
    <row r="25" s="15" customFormat="1" ht="10.199999999999999"/>
    <row r="26" s="15" customFormat="1" ht="10.199999999999999"/>
    <row r="27" s="15" customFormat="1" ht="10.199999999999999"/>
    <row r="28" s="15" customFormat="1" ht="10.199999999999999"/>
    <row r="29" s="15" customFormat="1" ht="10.199999999999999"/>
  </sheetData>
  <pageMargins left="0.7" right="0.7" top="0.75" bottom="0.75" header="0.3" footer="0.3"/>
  <pageSetup paperSize="9" scale="51" orientation="portrait" horizontalDpi="300" verticalDpi="300" r:id="rId1"/>
  <headerFooter>
    <oddFooter>&amp;C_x000D_&amp;1#&amp;"Aptos"&amp;10&amp;K000000 C4 - EXTERNAL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6"/>
  <sheetViews>
    <sheetView tabSelected="1" zoomScale="80" zoomScaleNormal="80" workbookViewId="0">
      <pane xSplit="1" ySplit="4" topLeftCell="B23" activePane="bottomRight" state="frozen"/>
      <selection activeCell="B42" sqref="B42"/>
      <selection pane="topRight" activeCell="B42" sqref="B42"/>
      <selection pane="bottomLeft" activeCell="B42" sqref="B42"/>
      <selection pane="bottomRight" activeCell="F32" sqref="F32:G32"/>
    </sheetView>
  </sheetViews>
  <sheetFormatPr defaultColWidth="9.21875" defaultRowHeight="13.8"/>
  <cols>
    <col min="1" max="1" width="9.5546875" style="4" bestFit="1" customWidth="1"/>
    <col min="2" max="2" width="65.5546875" style="4" customWidth="1"/>
    <col min="3" max="3" width="49.21875" style="4" bestFit="1" customWidth="1"/>
    <col min="4" max="16384" width="9.21875" style="5"/>
  </cols>
  <sheetData>
    <row r="1" spans="1:8">
      <c r="A1" s="2" t="s">
        <v>30</v>
      </c>
      <c r="B1" s="3" t="str">
        <f>'Info '!C2</f>
        <v xml:space="preserve">PASHA Bank Georgia JSC </v>
      </c>
    </row>
    <row r="2" spans="1:8">
      <c r="A2" s="2" t="s">
        <v>31</v>
      </c>
      <c r="B2" s="209">
        <f>'1. key ratios '!B2</f>
        <v>46203</v>
      </c>
    </row>
    <row r="4" spans="1:8" ht="28.05" customHeight="1" thickBot="1">
      <c r="A4" s="25" t="s">
        <v>41</v>
      </c>
      <c r="B4" s="26" t="s">
        <v>151</v>
      </c>
      <c r="C4" s="27"/>
    </row>
    <row r="5" spans="1:8">
      <c r="A5" s="593"/>
      <c r="B5" s="594" t="s">
        <v>42</v>
      </c>
      <c r="C5" s="595" t="s">
        <v>335</v>
      </c>
    </row>
    <row r="6" spans="1:8">
      <c r="A6" s="596">
        <v>1</v>
      </c>
      <c r="B6" s="466" t="s">
        <v>756</v>
      </c>
      <c r="C6" s="597" t="s">
        <v>760</v>
      </c>
    </row>
    <row r="7" spans="1:8">
      <c r="A7" s="596">
        <v>2</v>
      </c>
      <c r="B7" s="466" t="s">
        <v>757</v>
      </c>
      <c r="C7" s="597" t="s">
        <v>761</v>
      </c>
    </row>
    <row r="8" spans="1:8">
      <c r="A8" s="596">
        <v>3</v>
      </c>
      <c r="B8" s="466" t="s">
        <v>758</v>
      </c>
      <c r="C8" s="597" t="s">
        <v>761</v>
      </c>
    </row>
    <row r="9" spans="1:8">
      <c r="A9" s="596">
        <v>4</v>
      </c>
      <c r="B9" s="466" t="s">
        <v>759</v>
      </c>
      <c r="C9" s="597" t="s">
        <v>760</v>
      </c>
    </row>
    <row r="10" spans="1:8">
      <c r="A10" s="596">
        <v>5</v>
      </c>
      <c r="B10" s="466" t="s">
        <v>753</v>
      </c>
      <c r="C10" s="597" t="s">
        <v>762</v>
      </c>
    </row>
    <row r="11" spans="1:8">
      <c r="A11" s="596">
        <v>6</v>
      </c>
      <c r="B11" s="598"/>
      <c r="C11" s="599"/>
    </row>
    <row r="12" spans="1:8">
      <c r="A12" s="596">
        <v>7</v>
      </c>
      <c r="B12" s="598"/>
      <c r="C12" s="599"/>
      <c r="H12" s="28"/>
    </row>
    <row r="13" spans="1:8">
      <c r="A13" s="596">
        <v>8</v>
      </c>
      <c r="B13" s="598"/>
      <c r="C13" s="599"/>
    </row>
    <row r="14" spans="1:8">
      <c r="A14" s="596">
        <v>9</v>
      </c>
      <c r="B14" s="598"/>
      <c r="C14" s="599"/>
    </row>
    <row r="15" spans="1:8">
      <c r="A15" s="596">
        <v>10</v>
      </c>
      <c r="B15" s="598"/>
      <c r="C15" s="599"/>
    </row>
    <row r="16" spans="1:8">
      <c r="A16" s="596"/>
      <c r="B16" s="466"/>
      <c r="C16" s="597"/>
    </row>
    <row r="17" spans="1:4">
      <c r="A17" s="596"/>
      <c r="B17" s="600" t="s">
        <v>43</v>
      </c>
      <c r="C17" s="601" t="s">
        <v>336</v>
      </c>
    </row>
    <row r="18" spans="1:4">
      <c r="A18" s="596">
        <v>1</v>
      </c>
      <c r="B18" s="466" t="s">
        <v>754</v>
      </c>
      <c r="C18" s="602" t="s">
        <v>763</v>
      </c>
    </row>
    <row r="19" spans="1:4">
      <c r="A19" s="596">
        <v>2</v>
      </c>
      <c r="B19" s="466" t="s">
        <v>764</v>
      </c>
      <c r="C19" s="602" t="s">
        <v>765</v>
      </c>
    </row>
    <row r="20" spans="1:4">
      <c r="A20" s="596">
        <v>3</v>
      </c>
      <c r="B20" s="466" t="s">
        <v>766</v>
      </c>
      <c r="C20" s="602" t="s">
        <v>767</v>
      </c>
    </row>
    <row r="21" spans="1:4">
      <c r="A21" s="596">
        <v>4</v>
      </c>
      <c r="B21" s="466" t="s">
        <v>768</v>
      </c>
      <c r="C21" s="602" t="s">
        <v>769</v>
      </c>
    </row>
    <row r="22" spans="1:4">
      <c r="A22" s="596">
        <v>5</v>
      </c>
      <c r="B22" s="598"/>
      <c r="C22" s="603"/>
    </row>
    <row r="23" spans="1:4">
      <c r="A23" s="596">
        <v>6</v>
      </c>
      <c r="B23" s="598"/>
      <c r="C23" s="603"/>
    </row>
    <row r="24" spans="1:4">
      <c r="A24" s="596">
        <v>7</v>
      </c>
      <c r="B24" s="598"/>
      <c r="C24" s="603"/>
    </row>
    <row r="25" spans="1:4">
      <c r="A25" s="596">
        <v>8</v>
      </c>
      <c r="B25" s="598"/>
      <c r="C25" s="603"/>
    </row>
    <row r="26" spans="1:4">
      <c r="A26" s="596">
        <v>9</v>
      </c>
      <c r="B26" s="598"/>
      <c r="C26" s="603"/>
    </row>
    <row r="27" spans="1:4" ht="15.75" customHeight="1">
      <c r="A27" s="596">
        <v>10</v>
      </c>
      <c r="B27" s="598"/>
      <c r="C27" s="604"/>
    </row>
    <row r="28" spans="1:4" ht="15.75" customHeight="1">
      <c r="A28" s="596"/>
      <c r="B28" s="598"/>
      <c r="C28" s="604"/>
    </row>
    <row r="29" spans="1:4" ht="30" customHeight="1">
      <c r="A29" s="596"/>
      <c r="B29" s="775" t="s">
        <v>44</v>
      </c>
      <c r="C29" s="776"/>
    </row>
    <row r="30" spans="1:4" ht="14.4">
      <c r="A30" s="596">
        <v>1</v>
      </c>
      <c r="B30" s="598" t="s">
        <v>770</v>
      </c>
      <c r="C30" s="605">
        <v>0.85058799707602339</v>
      </c>
      <c r="D30" s="455"/>
    </row>
    <row r="31" spans="1:4" ht="15.75" customHeight="1">
      <c r="A31" s="596">
        <v>2</v>
      </c>
      <c r="B31" s="598" t="s">
        <v>771</v>
      </c>
      <c r="C31" s="605">
        <v>0.14941200292397661</v>
      </c>
      <c r="D31" s="455"/>
    </row>
    <row r="32" spans="1:4" ht="29.25" customHeight="1">
      <c r="A32" s="596"/>
      <c r="B32" s="775" t="s">
        <v>45</v>
      </c>
      <c r="C32" s="776"/>
      <c r="D32" s="455"/>
    </row>
    <row r="33" spans="1:4" ht="14.4">
      <c r="A33" s="596">
        <v>1</v>
      </c>
      <c r="B33" s="598" t="s">
        <v>772</v>
      </c>
      <c r="C33" s="605">
        <v>0.18988394736842104</v>
      </c>
      <c r="D33" s="455"/>
    </row>
    <row r="34" spans="1:4" ht="14.4">
      <c r="A34" s="427">
        <v>2</v>
      </c>
      <c r="B34" s="428" t="s">
        <v>773</v>
      </c>
      <c r="C34" s="605">
        <v>0.35211520467836255</v>
      </c>
      <c r="D34" s="455"/>
    </row>
    <row r="35" spans="1:4" ht="14.4">
      <c r="A35" s="427">
        <v>3</v>
      </c>
      <c r="B35" s="428" t="s">
        <v>774</v>
      </c>
      <c r="C35" s="605">
        <v>0.35211520467836255</v>
      </c>
      <c r="D35" s="455"/>
    </row>
    <row r="36" spans="1:4" ht="15" thickBot="1">
      <c r="A36" s="606">
        <v>4</v>
      </c>
      <c r="B36" s="607" t="s">
        <v>775</v>
      </c>
      <c r="C36" s="608">
        <v>0.10588564327485381</v>
      </c>
      <c r="D36" s="455"/>
    </row>
  </sheetData>
  <mergeCells count="2">
    <mergeCell ref="B32:C32"/>
    <mergeCell ref="B29:C29"/>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pageSetup paperSize="9" scale="70" orientation="portrait" horizontalDpi="300" verticalDpi="300" r:id="rId1"/>
  <headerFooter>
    <oddFooter>&amp;C_x000D_&amp;1#&amp;"Aptos"&amp;10&amp;K000000 C4 - EXTERNAL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3"/>
  <sheetViews>
    <sheetView zoomScale="80" zoomScaleNormal="80" workbookViewId="0">
      <pane xSplit="1" ySplit="5" topLeftCell="B6" activePane="bottomRight" state="frozen"/>
      <selection activeCell="B42" sqref="B42"/>
      <selection pane="topRight" activeCell="B42" sqref="B42"/>
      <selection pane="bottomLeft" activeCell="B42" sqref="B42"/>
      <selection pane="bottomRight" activeCell="M14" sqref="M14"/>
    </sheetView>
  </sheetViews>
  <sheetFormatPr defaultColWidth="9.21875" defaultRowHeight="13.8"/>
  <cols>
    <col min="1" max="1" width="9.5546875" style="4" bestFit="1" customWidth="1"/>
    <col min="2" max="2" width="54.21875" style="4" customWidth="1"/>
    <col min="3" max="3" width="28" style="4" customWidth="1"/>
    <col min="4" max="4" width="22.44140625" style="4" customWidth="1"/>
    <col min="5" max="5" width="22.21875" style="4" customWidth="1"/>
    <col min="6" max="6" width="12" style="5" bestFit="1" customWidth="1"/>
    <col min="7" max="7" width="12.5546875" style="5" bestFit="1" customWidth="1"/>
    <col min="8" max="8" width="11.33203125" style="5" customWidth="1"/>
    <col min="9" max="16384" width="9.21875" style="5"/>
  </cols>
  <sheetData>
    <row r="1" spans="1:8">
      <c r="A1" s="23" t="s">
        <v>30</v>
      </c>
      <c r="B1" s="3" t="str">
        <f>'Info '!C2</f>
        <v xml:space="preserve">PASHA Bank Georgia JSC </v>
      </c>
    </row>
    <row r="2" spans="1:8" s="2" customFormat="1" ht="15.75" customHeight="1">
      <c r="A2" s="23" t="s">
        <v>31</v>
      </c>
      <c r="B2" s="209">
        <f>'1. key ratios '!B2</f>
        <v>46203</v>
      </c>
    </row>
    <row r="3" spans="1:8" s="2" customFormat="1" ht="15.75" customHeight="1">
      <c r="A3" s="23"/>
    </row>
    <row r="4" spans="1:8" s="2" customFormat="1" ht="15.75" customHeight="1" thickBot="1">
      <c r="A4" s="139" t="s">
        <v>99</v>
      </c>
      <c r="B4" s="780" t="s">
        <v>212</v>
      </c>
      <c r="C4" s="781"/>
      <c r="D4" s="781"/>
      <c r="E4" s="781"/>
    </row>
    <row r="5" spans="1:8" s="30" customFormat="1" ht="17.55" customHeight="1">
      <c r="A5" s="613"/>
      <c r="B5" s="614"/>
      <c r="C5" s="615" t="s">
        <v>0</v>
      </c>
      <c r="D5" s="615" t="s">
        <v>1</v>
      </c>
      <c r="E5" s="616" t="s">
        <v>2</v>
      </c>
    </row>
    <row r="6" spans="1:8" ht="14.55" customHeight="1">
      <c r="A6" s="617"/>
      <c r="B6" s="777" t="s">
        <v>219</v>
      </c>
      <c r="C6" s="777" t="s">
        <v>624</v>
      </c>
      <c r="D6" s="778" t="s">
        <v>98</v>
      </c>
      <c r="E6" s="779"/>
    </row>
    <row r="7" spans="1:8" ht="99.6" customHeight="1">
      <c r="A7" s="617"/>
      <c r="B7" s="772"/>
      <c r="C7" s="777"/>
      <c r="D7" s="618" t="s">
        <v>97</v>
      </c>
      <c r="E7" s="619" t="s">
        <v>220</v>
      </c>
    </row>
    <row r="8" spans="1:8" ht="20.399999999999999">
      <c r="A8" s="620">
        <v>1</v>
      </c>
      <c r="B8" s="621" t="s">
        <v>525</v>
      </c>
      <c r="C8" s="609">
        <f>SUM(C9:C11)</f>
        <v>106769228.44350001</v>
      </c>
      <c r="D8" s="609">
        <f t="shared" ref="D8:E8" si="0">SUM(D9:D11)</f>
        <v>0</v>
      </c>
      <c r="E8" s="460">
        <f t="shared" si="0"/>
        <v>106769228.44350001</v>
      </c>
      <c r="F8" s="429"/>
      <c r="G8" s="429"/>
      <c r="H8" s="429"/>
    </row>
    <row r="9" spans="1:8" ht="14.4">
      <c r="A9" s="620">
        <v>1.1000000000000001</v>
      </c>
      <c r="B9" s="622" t="s">
        <v>526</v>
      </c>
      <c r="C9" s="609">
        <v>3343795.5180000002</v>
      </c>
      <c r="D9" s="609"/>
      <c r="E9" s="460">
        <f>C9-D9</f>
        <v>3343795.5180000002</v>
      </c>
      <c r="F9" s="429"/>
      <c r="G9" s="429"/>
      <c r="H9" s="429"/>
    </row>
    <row r="10" spans="1:8" ht="14.4">
      <c r="A10" s="620">
        <v>1.2</v>
      </c>
      <c r="B10" s="622" t="s">
        <v>527</v>
      </c>
      <c r="C10" s="609">
        <v>28651680.360799998</v>
      </c>
      <c r="D10" s="609"/>
      <c r="E10" s="460">
        <f>C10-D10</f>
        <v>28651680.360799998</v>
      </c>
      <c r="F10" s="429"/>
      <c r="G10" s="429"/>
      <c r="H10" s="429"/>
    </row>
    <row r="11" spans="1:8" ht="14.4">
      <c r="A11" s="620">
        <v>1.3</v>
      </c>
      <c r="B11" s="622" t="s">
        <v>528</v>
      </c>
      <c r="C11" s="609">
        <v>74773752.564700007</v>
      </c>
      <c r="D11" s="609"/>
      <c r="E11" s="460">
        <f>C11-D11</f>
        <v>74773752.564700007</v>
      </c>
      <c r="F11" s="429"/>
      <c r="G11" s="429"/>
      <c r="H11" s="429"/>
    </row>
    <row r="12" spans="1:8" ht="14.4">
      <c r="A12" s="620">
        <v>2</v>
      </c>
      <c r="B12" s="251" t="s">
        <v>529</v>
      </c>
      <c r="C12" s="609">
        <f>C13</f>
        <v>2902722.7499000002</v>
      </c>
      <c r="D12" s="609"/>
      <c r="E12" s="460">
        <f>C12-D12</f>
        <v>2902722.7499000002</v>
      </c>
      <c r="F12" s="429"/>
      <c r="G12" s="429"/>
      <c r="H12" s="429"/>
    </row>
    <row r="13" spans="1:8" ht="14.4">
      <c r="A13" s="620">
        <v>2.1</v>
      </c>
      <c r="B13" s="623" t="s">
        <v>530</v>
      </c>
      <c r="C13" s="609">
        <v>2902722.7499000002</v>
      </c>
      <c r="D13" s="609"/>
      <c r="E13" s="460">
        <f>C13-D13</f>
        <v>2902722.7499000002</v>
      </c>
      <c r="F13" s="429"/>
      <c r="G13" s="429"/>
      <c r="H13" s="429"/>
    </row>
    <row r="14" spans="1:8" ht="20.399999999999999">
      <c r="A14" s="620">
        <v>3</v>
      </c>
      <c r="B14" s="252" t="s">
        <v>531</v>
      </c>
      <c r="C14" s="609"/>
      <c r="D14" s="609"/>
      <c r="E14" s="460"/>
      <c r="F14" s="429"/>
      <c r="G14" s="429"/>
      <c r="H14" s="429"/>
    </row>
    <row r="15" spans="1:8" ht="14.4">
      <c r="A15" s="620">
        <v>4</v>
      </c>
      <c r="B15" s="253" t="s">
        <v>532</v>
      </c>
      <c r="C15" s="609"/>
      <c r="D15" s="609"/>
      <c r="E15" s="460"/>
      <c r="F15" s="429"/>
      <c r="G15" s="429"/>
      <c r="H15" s="429"/>
    </row>
    <row r="16" spans="1:8" ht="20.399999999999999">
      <c r="A16" s="620">
        <v>5</v>
      </c>
      <c r="B16" s="254" t="s">
        <v>533</v>
      </c>
      <c r="C16" s="609">
        <f>SUM(C17:C19)</f>
        <v>0</v>
      </c>
      <c r="D16" s="609">
        <f t="shared" ref="D16:E16" si="1">SUM(D17:D19)</f>
        <v>0</v>
      </c>
      <c r="E16" s="460">
        <f t="shared" si="1"/>
        <v>0</v>
      </c>
      <c r="F16" s="429"/>
      <c r="G16" s="429"/>
      <c r="H16" s="429"/>
    </row>
    <row r="17" spans="1:8" ht="14.4">
      <c r="A17" s="620">
        <v>5.0999999999999996</v>
      </c>
      <c r="B17" s="255" t="s">
        <v>534</v>
      </c>
      <c r="C17" s="609"/>
      <c r="D17" s="609"/>
      <c r="E17" s="460"/>
      <c r="F17" s="429"/>
      <c r="G17" s="429"/>
      <c r="H17" s="429"/>
    </row>
    <row r="18" spans="1:8" ht="14.4">
      <c r="A18" s="620">
        <v>5.2</v>
      </c>
      <c r="B18" s="255" t="s">
        <v>535</v>
      </c>
      <c r="C18" s="609"/>
      <c r="D18" s="609"/>
      <c r="E18" s="460"/>
      <c r="F18" s="429"/>
      <c r="G18" s="429"/>
      <c r="H18" s="429"/>
    </row>
    <row r="19" spans="1:8" ht="14.4">
      <c r="A19" s="620">
        <v>5.3</v>
      </c>
      <c r="B19" s="256" t="s">
        <v>536</v>
      </c>
      <c r="C19" s="609"/>
      <c r="D19" s="609"/>
      <c r="E19" s="460"/>
      <c r="F19" s="429"/>
      <c r="G19" s="429"/>
      <c r="H19" s="429"/>
    </row>
    <row r="20" spans="1:8" ht="14.4">
      <c r="A20" s="620">
        <v>6</v>
      </c>
      <c r="B20" s="252" t="s">
        <v>537</v>
      </c>
      <c r="C20" s="609">
        <f>SUM(C21:C22)</f>
        <v>530740690.05020005</v>
      </c>
      <c r="D20" s="609">
        <f t="shared" ref="D20:E20" si="2">SUM(D21:D22)</f>
        <v>0</v>
      </c>
      <c r="E20" s="460">
        <f t="shared" si="2"/>
        <v>530740690.05020005</v>
      </c>
      <c r="F20" s="429"/>
      <c r="G20" s="429"/>
      <c r="H20" s="429"/>
    </row>
    <row r="21" spans="1:8" ht="14.4">
      <c r="A21" s="620">
        <v>6.1</v>
      </c>
      <c r="B21" s="255" t="s">
        <v>535</v>
      </c>
      <c r="C21" s="610">
        <v>116938557.9645</v>
      </c>
      <c r="D21" s="610"/>
      <c r="E21" s="460">
        <f>C21-D21</f>
        <v>116938557.9645</v>
      </c>
      <c r="F21" s="429"/>
      <c r="G21" s="429"/>
      <c r="H21" s="429"/>
    </row>
    <row r="22" spans="1:8" ht="14.4">
      <c r="A22" s="620">
        <v>6.2</v>
      </c>
      <c r="B22" s="256" t="s">
        <v>536</v>
      </c>
      <c r="C22" s="610">
        <v>413802132.08570004</v>
      </c>
      <c r="D22" s="610"/>
      <c r="E22" s="460">
        <f>C22-D22</f>
        <v>413802132.08570004</v>
      </c>
      <c r="F22" s="429"/>
      <c r="G22" s="429"/>
      <c r="H22" s="429"/>
    </row>
    <row r="23" spans="1:8" ht="14.4">
      <c r="A23" s="620">
        <v>7</v>
      </c>
      <c r="B23" s="251" t="s">
        <v>538</v>
      </c>
      <c r="C23" s="610"/>
      <c r="D23" s="610"/>
      <c r="E23" s="460">
        <f>C23-D23</f>
        <v>0</v>
      </c>
      <c r="F23" s="429"/>
      <c r="G23" s="429"/>
      <c r="H23" s="429"/>
    </row>
    <row r="24" spans="1:8" ht="20.399999999999999">
      <c r="A24" s="620">
        <v>8</v>
      </c>
      <c r="B24" s="257" t="s">
        <v>539</v>
      </c>
      <c r="C24" s="610"/>
      <c r="D24" s="610"/>
      <c r="E24" s="460">
        <f>C24-D24</f>
        <v>0</v>
      </c>
      <c r="F24" s="429"/>
      <c r="G24" s="429"/>
      <c r="H24" s="429"/>
    </row>
    <row r="25" spans="1:8" ht="14.4">
      <c r="A25" s="620">
        <v>9</v>
      </c>
      <c r="B25" s="253" t="s">
        <v>540</v>
      </c>
      <c r="C25" s="610">
        <f>SUM(C26:C27)</f>
        <v>3769422.66</v>
      </c>
      <c r="D25" s="610">
        <f t="shared" ref="D25:E25" si="3">SUM(D26:D27)</f>
        <v>0</v>
      </c>
      <c r="E25" s="611">
        <f t="shared" si="3"/>
        <v>3769422.66</v>
      </c>
      <c r="F25" s="429"/>
      <c r="G25" s="429"/>
      <c r="H25" s="429"/>
    </row>
    <row r="26" spans="1:8" ht="14.4">
      <c r="A26" s="620">
        <v>9.1</v>
      </c>
      <c r="B26" s="255" t="s">
        <v>541</v>
      </c>
      <c r="C26" s="610">
        <v>3769422.66</v>
      </c>
      <c r="D26" s="610"/>
      <c r="E26" s="460">
        <f>C26-D26</f>
        <v>3769422.66</v>
      </c>
      <c r="F26" s="429"/>
      <c r="G26" s="429"/>
      <c r="H26" s="429"/>
    </row>
    <row r="27" spans="1:8" ht="14.4">
      <c r="A27" s="620">
        <v>9.1999999999999993</v>
      </c>
      <c r="B27" s="255" t="s">
        <v>542</v>
      </c>
      <c r="C27" s="610"/>
      <c r="D27" s="610"/>
      <c r="E27" s="460">
        <f>C27-D27</f>
        <v>0</v>
      </c>
      <c r="F27" s="429"/>
      <c r="G27" s="429"/>
      <c r="H27" s="429"/>
    </row>
    <row r="28" spans="1:8" ht="14.4">
      <c r="A28" s="620">
        <v>10</v>
      </c>
      <c r="B28" s="253" t="s">
        <v>543</v>
      </c>
      <c r="C28" s="610">
        <f>SUM(C29:C30)</f>
        <v>2813344.11</v>
      </c>
      <c r="D28" s="610">
        <f t="shared" ref="D28:E28" si="4">SUM(D29:D30)</f>
        <v>2813344.11</v>
      </c>
      <c r="E28" s="611">
        <f t="shared" si="4"/>
        <v>0</v>
      </c>
      <c r="F28" s="429"/>
      <c r="G28" s="429"/>
      <c r="H28" s="429"/>
    </row>
    <row r="29" spans="1:8" ht="14.4">
      <c r="A29" s="620">
        <v>10.1</v>
      </c>
      <c r="B29" s="255" t="s">
        <v>544</v>
      </c>
      <c r="C29" s="610"/>
      <c r="D29" s="610"/>
      <c r="E29" s="611"/>
      <c r="F29" s="429"/>
      <c r="G29" s="429"/>
      <c r="H29" s="429"/>
    </row>
    <row r="30" spans="1:8" ht="14.4">
      <c r="A30" s="620">
        <v>10.199999999999999</v>
      </c>
      <c r="B30" s="255" t="s">
        <v>545</v>
      </c>
      <c r="C30" s="610">
        <v>2813344.11</v>
      </c>
      <c r="D30" s="610">
        <v>2813344.11</v>
      </c>
      <c r="E30" s="460">
        <f>C30-D30</f>
        <v>0</v>
      </c>
      <c r="F30" s="429"/>
      <c r="G30" s="429"/>
      <c r="H30" s="429"/>
    </row>
    <row r="31" spans="1:8" ht="14.4">
      <c r="A31" s="620">
        <v>11</v>
      </c>
      <c r="B31" s="253" t="s">
        <v>546</v>
      </c>
      <c r="C31" s="610">
        <f>SUM(C32:C33)</f>
        <v>2267793.91</v>
      </c>
      <c r="D31" s="610">
        <f t="shared" ref="D31:E31" si="5">SUM(D32:D33)</f>
        <v>2267793.91</v>
      </c>
      <c r="E31" s="611">
        <f t="shared" si="5"/>
        <v>0</v>
      </c>
      <c r="F31" s="429"/>
      <c r="G31" s="429"/>
      <c r="H31" s="429"/>
    </row>
    <row r="32" spans="1:8" ht="14.4">
      <c r="A32" s="620">
        <v>11.1</v>
      </c>
      <c r="B32" s="255" t="s">
        <v>547</v>
      </c>
      <c r="C32" s="610"/>
      <c r="D32" s="610"/>
      <c r="E32" s="611"/>
      <c r="F32" s="429"/>
      <c r="G32" s="429"/>
      <c r="H32" s="429"/>
    </row>
    <row r="33" spans="1:8" ht="14.4">
      <c r="A33" s="620">
        <v>11.2</v>
      </c>
      <c r="B33" s="255" t="s">
        <v>548</v>
      </c>
      <c r="C33" s="610">
        <v>2267793.91</v>
      </c>
      <c r="D33" s="610">
        <v>2267793.91</v>
      </c>
      <c r="E33" s="611"/>
      <c r="F33" s="429"/>
      <c r="G33" s="429"/>
      <c r="H33" s="429"/>
    </row>
    <row r="34" spans="1:8" ht="14.4">
      <c r="A34" s="620">
        <v>13</v>
      </c>
      <c r="B34" s="253" t="s">
        <v>549</v>
      </c>
      <c r="C34" s="610">
        <v>11900839.198099999</v>
      </c>
      <c r="D34" s="610"/>
      <c r="E34" s="460">
        <f>C34-D34</f>
        <v>11900839.198099999</v>
      </c>
      <c r="F34" s="429"/>
      <c r="G34" s="429"/>
      <c r="H34" s="429"/>
    </row>
    <row r="35" spans="1:8" ht="14.4">
      <c r="A35" s="620">
        <v>13.1</v>
      </c>
      <c r="B35" s="624" t="s">
        <v>550</v>
      </c>
      <c r="C35" s="610">
        <v>4848246</v>
      </c>
      <c r="D35" s="610"/>
      <c r="E35" s="460">
        <f>C35-D35</f>
        <v>4848246</v>
      </c>
      <c r="F35" s="429"/>
      <c r="G35" s="429"/>
      <c r="H35" s="429"/>
    </row>
    <row r="36" spans="1:8" ht="14.4">
      <c r="A36" s="620">
        <v>13.2</v>
      </c>
      <c r="B36" s="624" t="s">
        <v>551</v>
      </c>
      <c r="C36" s="610"/>
      <c r="D36" s="610"/>
      <c r="E36" s="611"/>
      <c r="F36" s="429"/>
      <c r="G36" s="429"/>
      <c r="H36" s="429"/>
    </row>
    <row r="37" spans="1:8" ht="27" thickBot="1">
      <c r="A37" s="625"/>
      <c r="B37" s="626" t="s">
        <v>221</v>
      </c>
      <c r="C37" s="612">
        <f>SUM(C8,C12,C14,C15,C16,C20,C23,C24,C25,C28,C31,C34)</f>
        <v>661164041.12169993</v>
      </c>
      <c r="D37" s="612">
        <f t="shared" ref="D37" si="6">SUM(D8,D12,D14,D15,D16,D20,D23,D24,D25,D28,D31,D34)</f>
        <v>5081138.0199999996</v>
      </c>
      <c r="E37" s="627">
        <f>SUM(E8,E12,E14,E15,E16,E20,E23,E24,E25,E28,E31,E34)</f>
        <v>656082903.10169995</v>
      </c>
      <c r="F37" s="429"/>
      <c r="G37" s="429"/>
      <c r="H37" s="429"/>
    </row>
    <row r="38" spans="1:8">
      <c r="A38" s="5"/>
      <c r="B38" s="5"/>
      <c r="C38" s="5"/>
      <c r="D38" s="5"/>
      <c r="E38" s="5"/>
    </row>
    <row r="39" spans="1:8">
      <c r="A39" s="5"/>
      <c r="B39" s="5"/>
      <c r="C39" s="5"/>
      <c r="D39" s="5"/>
      <c r="E39" s="5"/>
    </row>
    <row r="41" spans="1:8" s="4" customFormat="1">
      <c r="B41" s="32"/>
      <c r="F41" s="5"/>
      <c r="G41" s="5"/>
    </row>
    <row r="42" spans="1:8" s="4" customFormat="1">
      <c r="B42" s="32"/>
      <c r="F42" s="5"/>
      <c r="G42" s="5"/>
    </row>
    <row r="43" spans="1:8" s="4" customFormat="1">
      <c r="B43" s="32"/>
      <c r="F43" s="5"/>
      <c r="G43" s="5"/>
    </row>
    <row r="44" spans="1:8" s="4" customFormat="1">
      <c r="B44" s="32"/>
      <c r="F44" s="5"/>
      <c r="G44" s="5"/>
    </row>
    <row r="45" spans="1:8" s="4" customFormat="1">
      <c r="B45" s="32"/>
      <c r="F45" s="5"/>
      <c r="G45" s="5"/>
    </row>
    <row r="46" spans="1:8" s="4" customFormat="1">
      <c r="B46" s="32"/>
      <c r="F46" s="5"/>
      <c r="G46" s="5"/>
    </row>
    <row r="47" spans="1:8" s="4" customFormat="1">
      <c r="B47" s="32"/>
      <c r="F47" s="5"/>
      <c r="G47" s="5"/>
    </row>
    <row r="48" spans="1:8" s="4" customFormat="1">
      <c r="B48" s="32"/>
      <c r="F48" s="5"/>
      <c r="G48" s="5"/>
    </row>
    <row r="49" spans="2:7" s="4" customFormat="1">
      <c r="B49" s="32"/>
      <c r="F49" s="5"/>
      <c r="G49" s="5"/>
    </row>
    <row r="50" spans="2:7" s="4" customFormat="1">
      <c r="B50" s="32"/>
      <c r="F50" s="5"/>
      <c r="G50" s="5"/>
    </row>
    <row r="51" spans="2:7" s="4" customFormat="1">
      <c r="B51" s="32"/>
      <c r="F51" s="5"/>
      <c r="G51" s="5"/>
    </row>
    <row r="52" spans="2:7" s="4" customFormat="1">
      <c r="B52" s="32"/>
      <c r="F52" s="5"/>
      <c r="G52" s="5"/>
    </row>
    <row r="53" spans="2:7" s="4" customFormat="1">
      <c r="B53" s="32"/>
      <c r="F53" s="5"/>
      <c r="G53" s="5"/>
    </row>
  </sheetData>
  <mergeCells count="4">
    <mergeCell ref="B6:B7"/>
    <mergeCell ref="C6:C7"/>
    <mergeCell ref="D6:E6"/>
    <mergeCell ref="B4:E4"/>
  </mergeCells>
  <pageMargins left="0.7" right="0.7" top="0.75" bottom="0.75" header="0.3" footer="0.3"/>
  <pageSetup paperSize="9" scale="64" orientation="portrait" horizontalDpi="300" verticalDpi="300" r:id="rId1"/>
  <headerFooter>
    <oddFooter>&amp;C_x000D_&amp;1#&amp;"Aptos"&amp;10&amp;K000000 C4 - EXTERNAL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3"/>
  <sheetViews>
    <sheetView zoomScale="80" zoomScaleNormal="80" workbookViewId="0">
      <pane xSplit="1" ySplit="4" topLeftCell="B5" activePane="bottomRight" state="frozen"/>
      <selection activeCell="B42" sqref="B42"/>
      <selection pane="topRight" activeCell="B42" sqref="B42"/>
      <selection pane="bottomLeft" activeCell="B42" sqref="B42"/>
      <selection pane="bottomRight" activeCell="D29" sqref="D29"/>
    </sheetView>
  </sheetViews>
  <sheetFormatPr defaultColWidth="9.21875" defaultRowHeight="13.2" outlineLevelRow="1"/>
  <cols>
    <col min="1" max="1" width="9.5546875" style="4" bestFit="1" customWidth="1"/>
    <col min="2" max="2" width="114.21875" style="4" customWidth="1"/>
    <col min="3" max="3" width="18.77734375" style="4" customWidth="1"/>
    <col min="4" max="4" width="20.44140625" style="4" customWidth="1"/>
    <col min="5" max="5" width="24.21875" style="4" customWidth="1"/>
    <col min="6" max="6" width="24" style="4" customWidth="1"/>
    <col min="7" max="7" width="10" style="4" bestFit="1" customWidth="1"/>
    <col min="8" max="8" width="12" style="4" bestFit="1" customWidth="1"/>
    <col min="9" max="9" width="12.5546875" style="4" bestFit="1" customWidth="1"/>
    <col min="10" max="16384" width="9.21875" style="4"/>
  </cols>
  <sheetData>
    <row r="1" spans="1:6">
      <c r="A1" s="2" t="s">
        <v>30</v>
      </c>
      <c r="B1" s="3" t="str">
        <f>'Info '!C2</f>
        <v xml:space="preserve">PASHA Bank Georgia JSC </v>
      </c>
    </row>
    <row r="2" spans="1:6" s="2" customFormat="1" ht="15.75" customHeight="1">
      <c r="A2" s="2" t="s">
        <v>31</v>
      </c>
      <c r="B2" s="209">
        <f>'1. key ratios '!B2</f>
        <v>46203</v>
      </c>
      <c r="C2" s="4"/>
      <c r="D2" s="4"/>
      <c r="E2" s="4"/>
      <c r="F2" s="4"/>
    </row>
    <row r="3" spans="1:6" s="2" customFormat="1" ht="15.75" customHeight="1">
      <c r="C3" s="4"/>
      <c r="D3" s="4"/>
      <c r="E3" s="4"/>
      <c r="F3" s="4"/>
    </row>
    <row r="4" spans="1:6" s="2" customFormat="1" ht="13.8" thickBot="1">
      <c r="A4" s="2" t="s">
        <v>46</v>
      </c>
      <c r="B4" s="140" t="s">
        <v>518</v>
      </c>
      <c r="C4" s="29" t="s">
        <v>35</v>
      </c>
      <c r="D4" s="4"/>
      <c r="E4" s="4"/>
      <c r="F4" s="4"/>
    </row>
    <row r="5" spans="1:6">
      <c r="A5" s="98">
        <v>1</v>
      </c>
      <c r="B5" s="141" t="s">
        <v>520</v>
      </c>
      <c r="C5" s="99">
        <f>'7. LI1 '!E37</f>
        <v>656082903.10169995</v>
      </c>
      <c r="D5" s="431"/>
    </row>
    <row r="6" spans="1:6">
      <c r="A6" s="33">
        <v>2.1</v>
      </c>
      <c r="B6" s="82" t="s">
        <v>201</v>
      </c>
      <c r="C6" s="78">
        <v>95712982.127900004</v>
      </c>
      <c r="D6" s="431"/>
    </row>
    <row r="7" spans="1:6" s="24" customFormat="1" outlineLevel="1">
      <c r="A7" s="18">
        <v>2.2000000000000002</v>
      </c>
      <c r="B7" s="19" t="s">
        <v>202</v>
      </c>
      <c r="C7" s="100">
        <v>0</v>
      </c>
      <c r="D7" s="431"/>
    </row>
    <row r="8" spans="1:6" s="24" customFormat="1">
      <c r="A8" s="18">
        <v>3</v>
      </c>
      <c r="B8" s="96" t="s">
        <v>519</v>
      </c>
      <c r="C8" s="101">
        <f>SUM(C5:C7)</f>
        <v>751795885.22959995</v>
      </c>
      <c r="D8" s="431"/>
    </row>
    <row r="9" spans="1:6">
      <c r="A9" s="33">
        <v>4</v>
      </c>
      <c r="B9" s="34" t="s">
        <v>48</v>
      </c>
      <c r="C9" s="78"/>
      <c r="D9" s="431"/>
    </row>
    <row r="10" spans="1:6" s="24" customFormat="1" outlineLevel="1">
      <c r="A10" s="18">
        <v>5.0999999999999996</v>
      </c>
      <c r="B10" s="19" t="s">
        <v>203</v>
      </c>
      <c r="C10" s="100">
        <v>-60893952.3618</v>
      </c>
      <c r="D10" s="431"/>
    </row>
    <row r="11" spans="1:6" s="24" customFormat="1" outlineLevel="1">
      <c r="A11" s="18">
        <v>5.2</v>
      </c>
      <c r="B11" s="19" t="s">
        <v>204</v>
      </c>
      <c r="C11" s="100">
        <v>0</v>
      </c>
      <c r="D11" s="431"/>
    </row>
    <row r="12" spans="1:6" s="24" customFormat="1">
      <c r="A12" s="18">
        <v>6</v>
      </c>
      <c r="B12" s="95" t="s">
        <v>746</v>
      </c>
      <c r="C12" s="100"/>
      <c r="D12" s="431"/>
    </row>
    <row r="13" spans="1:6" s="24" customFormat="1" ht="13.8" thickBot="1">
      <c r="A13" s="20">
        <v>7</v>
      </c>
      <c r="B13" s="97" t="s">
        <v>164</v>
      </c>
      <c r="C13" s="102">
        <f>SUM(C8:C12)</f>
        <v>690901932.8678</v>
      </c>
      <c r="D13" s="431"/>
    </row>
    <row r="15" spans="1:6">
      <c r="B15" s="24"/>
    </row>
    <row r="17" spans="1:2" ht="13.8">
      <c r="A17" s="107"/>
      <c r="B17" s="108"/>
    </row>
    <row r="18" spans="1:2" ht="14.4">
      <c r="A18" s="112"/>
      <c r="B18" s="113"/>
    </row>
    <row r="19" spans="1:2" ht="13.8">
      <c r="A19" s="114"/>
      <c r="B19" s="109"/>
    </row>
    <row r="20" spans="1:2" ht="13.8">
      <c r="A20" s="115"/>
      <c r="B20" s="110"/>
    </row>
    <row r="21" spans="1:2" ht="13.8">
      <c r="A21" s="115"/>
      <c r="B21" s="113"/>
    </row>
    <row r="22" spans="1:2" ht="13.8">
      <c r="A22" s="114"/>
      <c r="B22" s="111"/>
    </row>
    <row r="23" spans="1:2" ht="13.8">
      <c r="A23" s="115"/>
      <c r="B23" s="110"/>
    </row>
    <row r="24" spans="1:2" ht="13.8">
      <c r="A24" s="115"/>
      <c r="B24" s="110"/>
    </row>
    <row r="25" spans="1:2" ht="13.8">
      <c r="A25" s="115"/>
      <c r="B25" s="116"/>
    </row>
    <row r="26" spans="1:2" ht="13.8">
      <c r="A26" s="115"/>
      <c r="B26" s="113"/>
    </row>
    <row r="27" spans="1:2">
      <c r="B27" s="32"/>
    </row>
    <row r="28" spans="1:2">
      <c r="B28" s="32"/>
    </row>
    <row r="29" spans="1:2">
      <c r="B29" s="32"/>
    </row>
    <row r="30" spans="1:2">
      <c r="B30" s="32"/>
    </row>
    <row r="31" spans="1:2">
      <c r="B31" s="32"/>
    </row>
    <row r="32" spans="1:2">
      <c r="B32" s="32"/>
    </row>
    <row r="33" spans="2:2">
      <c r="B33" s="32"/>
    </row>
  </sheetData>
  <pageMargins left="0.7" right="0.7" top="0.75" bottom="0.75" header="0.3" footer="0.3"/>
  <pageSetup paperSize="9" scale="61" orientation="portrait" horizontalDpi="300" verticalDpi="300" r:id="rId1"/>
  <headerFooter>
    <oddFooter>&amp;C_x000D_&amp;1#&amp;"Aptos"&amp;10&amp;K000000 C4 - EXTERNAL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2026-07-29T06:29:51Z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y fmtid="{D5CDD505-2E9C-101B-9397-08002B2CF9AE}" pid="7" name="MSIP_Label_4c1e49ef-263c-4ffa-ab6a-698f963011ed_Enabled">
    <vt:lpwstr>true</vt:lpwstr>
  </property>
  <property fmtid="{D5CDD505-2E9C-101B-9397-08002B2CF9AE}" pid="8" name="MSIP_Label_4c1e49ef-263c-4ffa-ab6a-698f963011ed_SetDate">
    <vt:lpwstr>2026-07-29T06:29:48Z</vt:lpwstr>
  </property>
  <property fmtid="{D5CDD505-2E9C-101B-9397-08002B2CF9AE}" pid="9" name="MSIP_Label_4c1e49ef-263c-4ffa-ab6a-698f963011ed_Method">
    <vt:lpwstr>Privileged</vt:lpwstr>
  </property>
  <property fmtid="{D5CDD505-2E9C-101B-9397-08002B2CF9AE}" pid="10" name="MSIP_Label_4c1e49ef-263c-4ffa-ab6a-698f963011ed_Name">
    <vt:lpwstr>External Confidential - C4</vt:lpwstr>
  </property>
  <property fmtid="{D5CDD505-2E9C-101B-9397-08002B2CF9AE}" pid="11" name="MSIP_Label_4c1e49ef-263c-4ffa-ab6a-698f963011ed_SiteId">
    <vt:lpwstr>91e167b0-e7f3-47d0-b08e-ac1e6b839fc3</vt:lpwstr>
  </property>
  <property fmtid="{D5CDD505-2E9C-101B-9397-08002B2CF9AE}" pid="12" name="MSIP_Label_4c1e49ef-263c-4ffa-ab6a-698f963011ed_ActionId">
    <vt:lpwstr>6d8bac8b-9472-4945-84a0-97de7676d650</vt:lpwstr>
  </property>
  <property fmtid="{D5CDD505-2E9C-101B-9397-08002B2CF9AE}" pid="13" name="MSIP_Label_4c1e49ef-263c-4ffa-ab6a-698f963011ed_ContentBits">
    <vt:lpwstr>2</vt:lpwstr>
  </property>
  <property fmtid="{D5CDD505-2E9C-101B-9397-08002B2CF9AE}" pid="14" name="MSIP_Label_4c1e49ef-263c-4ffa-ab6a-698f963011ed_Tag">
    <vt:lpwstr>10, 0, 1, 1</vt:lpwstr>
  </property>
</Properties>
</file>