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0" documentId="13_ncr:1_{04575EE3-B1AE-46B6-A474-BCB832C32B9D}" xr6:coauthVersionLast="47" xr6:coauthVersionMax="47" xr10:uidLastSave="{00000000-0000-0000-0000-000000000000}"/>
  <bookViews>
    <workbookView xWindow="-108" yWindow="-108" windowWidth="23256" windowHeight="12456"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97" l="1"/>
  <c r="G38" i="110"/>
  <c r="H38" i="110" s="1"/>
  <c r="F38" i="110"/>
  <c r="D38" i="110"/>
  <c r="C38" i="110"/>
  <c r="E38" i="110" s="1"/>
  <c r="G63" i="108"/>
  <c r="F63" i="108"/>
  <c r="G59" i="108"/>
  <c r="G38" i="108"/>
  <c r="F38" i="108"/>
  <c r="D38" i="108"/>
  <c r="E26" i="88"/>
  <c r="E25" i="88" s="1"/>
  <c r="E22" i="88"/>
  <c r="E21" i="88"/>
  <c r="E20" i="88" s="1"/>
  <c r="T22" i="116"/>
  <c r="L22" i="116"/>
  <c r="E10" i="88"/>
  <c r="E11" i="88"/>
  <c r="E12" i="88"/>
  <c r="E13" i="88"/>
  <c r="E9" i="88"/>
  <c r="E8" i="88" s="1"/>
  <c r="E30" i="88"/>
  <c r="E28" i="88" s="1"/>
  <c r="C8" i="110"/>
  <c r="E8" i="110" s="1"/>
  <c r="D8" i="110"/>
  <c r="F8" i="110"/>
  <c r="G8" i="110"/>
  <c r="B1" i="122"/>
  <c r="B1" i="121"/>
  <c r="G17" i="110"/>
  <c r="F17" i="110"/>
  <c r="L33" i="118"/>
  <c r="K33" i="118"/>
  <c r="J33" i="118"/>
  <c r="I33" i="118"/>
  <c r="H33" i="118"/>
  <c r="G33" i="118"/>
  <c r="F33" i="118"/>
  <c r="E33" i="118"/>
  <c r="D33" i="118"/>
  <c r="C33" i="118"/>
  <c r="H22" i="116"/>
  <c r="D22" i="116"/>
  <c r="C22" i="116"/>
  <c r="AA15" i="116"/>
  <c r="Z15" i="116"/>
  <c r="Y15" i="116"/>
  <c r="X15" i="116"/>
  <c r="W15" i="116"/>
  <c r="V15" i="116"/>
  <c r="U15" i="116"/>
  <c r="T15" i="116"/>
  <c r="S15" i="116"/>
  <c r="R15" i="116"/>
  <c r="Q15" i="116"/>
  <c r="P15" i="116"/>
  <c r="O15" i="116"/>
  <c r="N15" i="116"/>
  <c r="M15" i="116"/>
  <c r="L15" i="116"/>
  <c r="K15" i="116"/>
  <c r="J15" i="116"/>
  <c r="I15" i="116"/>
  <c r="H15" i="116"/>
  <c r="G15" i="116"/>
  <c r="F15" i="116"/>
  <c r="E15" i="116"/>
  <c r="D15" i="116"/>
  <c r="C15" i="116"/>
  <c r="AA8" i="116"/>
  <c r="Z8" i="116"/>
  <c r="Y8" i="116"/>
  <c r="X8" i="116"/>
  <c r="W8" i="116"/>
  <c r="V8" i="116"/>
  <c r="U8" i="116"/>
  <c r="T8" i="116"/>
  <c r="S8" i="116"/>
  <c r="R8" i="116"/>
  <c r="Q8" i="116"/>
  <c r="P8" i="116"/>
  <c r="O8" i="116"/>
  <c r="N8" i="116"/>
  <c r="M8" i="116"/>
  <c r="L8" i="116"/>
  <c r="K8" i="116"/>
  <c r="J8" i="116"/>
  <c r="I8" i="116"/>
  <c r="H8" i="116"/>
  <c r="G8" i="116"/>
  <c r="F8" i="116"/>
  <c r="E8" i="116"/>
  <c r="D8" i="116"/>
  <c r="C8" i="116"/>
  <c r="C33" i="97"/>
  <c r="F6" i="123"/>
  <c r="E6" i="123"/>
  <c r="D6" i="123"/>
  <c r="C6" i="123"/>
  <c r="E9" i="92"/>
  <c r="D9" i="92"/>
  <c r="E8" i="92"/>
  <c r="D8" i="92"/>
  <c r="E7" i="92"/>
  <c r="E6" i="92" s="1"/>
  <c r="E34" i="92" s="1"/>
  <c r="C13" i="95" s="1"/>
  <c r="D7" i="92"/>
  <c r="D6" i="92" s="1"/>
  <c r="D34" i="92" s="1"/>
  <c r="K23" i="93"/>
  <c r="J23" i="93"/>
  <c r="I23" i="93"/>
  <c r="H23" i="93"/>
  <c r="G23" i="93"/>
  <c r="F23" i="93"/>
  <c r="D21" i="93"/>
  <c r="E21" i="93"/>
  <c r="F21" i="93"/>
  <c r="G21" i="93"/>
  <c r="G24" i="93" s="1"/>
  <c r="G25" i="93" s="1"/>
  <c r="H21" i="93"/>
  <c r="I21" i="93"/>
  <c r="J21" i="93"/>
  <c r="J24" i="93" s="1"/>
  <c r="K21" i="93"/>
  <c r="C21" i="93"/>
  <c r="D16" i="93"/>
  <c r="E16" i="93"/>
  <c r="F16" i="93"/>
  <c r="G16" i="93"/>
  <c r="H16" i="93"/>
  <c r="I16" i="93"/>
  <c r="J16" i="93"/>
  <c r="K16" i="93"/>
  <c r="C16" i="93"/>
  <c r="C10" i="69"/>
  <c r="C37" i="69"/>
  <c r="B2" i="121"/>
  <c r="B2" i="122"/>
  <c r="E35" i="88"/>
  <c r="E34" i="88"/>
  <c r="C29" i="109"/>
  <c r="E29" i="109" s="1"/>
  <c r="F59" i="108"/>
  <c r="F68" i="108" s="1"/>
  <c r="H68" i="108" s="1"/>
  <c r="C38" i="108"/>
  <c r="B1" i="92"/>
  <c r="B2" i="92"/>
  <c r="Q33" i="92"/>
  <c r="I33" i="92"/>
  <c r="Q32" i="92"/>
  <c r="I32" i="92"/>
  <c r="Q31" i="92"/>
  <c r="Q30" i="92" s="1"/>
  <c r="I31" i="92"/>
  <c r="I30" i="92"/>
  <c r="Q29" i="92"/>
  <c r="I29" i="92"/>
  <c r="Q28" i="92"/>
  <c r="I28" i="92"/>
  <c r="Q27" i="92"/>
  <c r="Q26" i="92" s="1"/>
  <c r="I27" i="92"/>
  <c r="I26" i="92"/>
  <c r="Q25" i="92"/>
  <c r="I25" i="92"/>
  <c r="Q24" i="92"/>
  <c r="I24" i="92"/>
  <c r="Q23" i="92"/>
  <c r="Q22" i="92" s="1"/>
  <c r="I23" i="92"/>
  <c r="I22" i="92"/>
  <c r="Q21" i="92"/>
  <c r="I21" i="92"/>
  <c r="Q20" i="92"/>
  <c r="I20" i="92"/>
  <c r="Q19" i="92"/>
  <c r="Q18" i="92" s="1"/>
  <c r="I19" i="92"/>
  <c r="I18" i="92"/>
  <c r="Q17" i="92"/>
  <c r="I17" i="92"/>
  <c r="Q16" i="92"/>
  <c r="Q8" i="92" s="1"/>
  <c r="I16" i="92"/>
  <c r="Q15" i="92"/>
  <c r="Q7" i="92" s="1"/>
  <c r="Q6" i="92" s="1"/>
  <c r="Q34" i="92" s="1"/>
  <c r="I15" i="92"/>
  <c r="I14" i="92"/>
  <c r="Q13" i="92"/>
  <c r="Q9" i="92" s="1"/>
  <c r="I13" i="92"/>
  <c r="Q12" i="92"/>
  <c r="I12" i="92"/>
  <c r="Q11" i="92"/>
  <c r="Q10" i="92" s="1"/>
  <c r="I11" i="92"/>
  <c r="I10" i="92"/>
  <c r="P9" i="92"/>
  <c r="O9" i="92"/>
  <c r="N9" i="92"/>
  <c r="M9" i="92"/>
  <c r="L9" i="92"/>
  <c r="K9" i="92"/>
  <c r="J9" i="92"/>
  <c r="G9" i="92"/>
  <c r="F9" i="92"/>
  <c r="C9" i="92"/>
  <c r="P8" i="92"/>
  <c r="O8" i="92"/>
  <c r="N8" i="92"/>
  <c r="N6" i="92" s="1"/>
  <c r="N34" i="92" s="1"/>
  <c r="M8" i="92"/>
  <c r="L8" i="92"/>
  <c r="K8" i="92"/>
  <c r="J8" i="92"/>
  <c r="G8" i="92"/>
  <c r="F8" i="92"/>
  <c r="C8" i="92"/>
  <c r="P7" i="92"/>
  <c r="P6" i="92" s="1"/>
  <c r="P34" i="92" s="1"/>
  <c r="O7" i="92"/>
  <c r="N7" i="92"/>
  <c r="M7" i="92"/>
  <c r="L7" i="92"/>
  <c r="L6" i="92" s="1"/>
  <c r="L34" i="92" s="1"/>
  <c r="K7" i="92"/>
  <c r="K6" i="92" s="1"/>
  <c r="K34" i="92" s="1"/>
  <c r="J7" i="92"/>
  <c r="J6" i="92" s="1"/>
  <c r="J34" i="92" s="1"/>
  <c r="G7" i="92"/>
  <c r="G6" i="92"/>
  <c r="G34" i="92" s="1"/>
  <c r="C11" i="95" s="1"/>
  <c r="F7" i="92"/>
  <c r="I7" i="92" s="1"/>
  <c r="I6" i="92" s="1"/>
  <c r="C7" i="92"/>
  <c r="C6" i="92" s="1"/>
  <c r="C34" i="92" s="1"/>
  <c r="B2" i="123"/>
  <c r="B1" i="123"/>
  <c r="F6" i="92"/>
  <c r="F34" i="92" s="1"/>
  <c r="M6" i="92"/>
  <c r="M34" i="92" s="1"/>
  <c r="O6" i="92"/>
  <c r="O34" i="92" s="1"/>
  <c r="I9" i="92"/>
  <c r="I8" i="92"/>
  <c r="A2" i="121"/>
  <c r="A1" i="121"/>
  <c r="E12" i="122"/>
  <c r="D12" i="122"/>
  <c r="C12" i="122"/>
  <c r="B12" i="122"/>
  <c r="F12" i="122"/>
  <c r="E11" i="122"/>
  <c r="D11" i="122"/>
  <c r="C11" i="122"/>
  <c r="B11" i="122"/>
  <c r="F10" i="122"/>
  <c r="E10" i="122"/>
  <c r="D10" i="122"/>
  <c r="C10" i="122"/>
  <c r="B10" i="122"/>
  <c r="F9" i="122"/>
  <c r="E9" i="122"/>
  <c r="D9" i="122"/>
  <c r="C9" i="122"/>
  <c r="B9" i="122"/>
  <c r="B11" i="121"/>
  <c r="F11" i="122"/>
  <c r="C22" i="111"/>
  <c r="H7" i="112"/>
  <c r="B2" i="97"/>
  <c r="B2" i="95"/>
  <c r="B2" i="93"/>
  <c r="B2" i="91"/>
  <c r="B2" i="64"/>
  <c r="B2" i="90"/>
  <c r="B2" i="69"/>
  <c r="B2" i="94"/>
  <c r="B2" i="89"/>
  <c r="B2" i="73"/>
  <c r="B2" i="88"/>
  <c r="B2" i="52"/>
  <c r="B2" i="86"/>
  <c r="C5" i="86" s="1"/>
  <c r="B2" i="110"/>
  <c r="B2" i="109"/>
  <c r="B2" i="108"/>
  <c r="B1" i="110"/>
  <c r="B1" i="109"/>
  <c r="B1" i="108"/>
  <c r="B2" i="120"/>
  <c r="B1" i="120"/>
  <c r="B2" i="119"/>
  <c r="B1" i="119"/>
  <c r="B2" i="118"/>
  <c r="B1" i="118"/>
  <c r="B2" i="117"/>
  <c r="B1" i="117"/>
  <c r="B2" i="116"/>
  <c r="B1" i="116"/>
  <c r="B2" i="115"/>
  <c r="B1" i="115"/>
  <c r="B2" i="114"/>
  <c r="B1" i="114"/>
  <c r="B2" i="113"/>
  <c r="B1" i="113"/>
  <c r="B2" i="112"/>
  <c r="B1" i="112"/>
  <c r="B2" i="111"/>
  <c r="B1" i="111"/>
  <c r="C10" i="115"/>
  <c r="C18" i="115" s="1"/>
  <c r="C7" i="114"/>
  <c r="D7" i="114"/>
  <c r="C10" i="114"/>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H34" i="113" s="1"/>
  <c r="D34" i="113"/>
  <c r="E34" i="113"/>
  <c r="F34" i="113"/>
  <c r="G34" i="113"/>
  <c r="H8" i="112"/>
  <c r="H9" i="112"/>
  <c r="H10" i="112"/>
  <c r="H11" i="112"/>
  <c r="H12" i="112"/>
  <c r="H13" i="112"/>
  <c r="H14" i="112"/>
  <c r="H15" i="112"/>
  <c r="H21" i="112" s="1"/>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2" i="111" s="1"/>
  <c r="H20" i="111"/>
  <c r="H21" i="111"/>
  <c r="D22" i="111"/>
  <c r="E22" i="111"/>
  <c r="F22" i="111"/>
  <c r="G22" i="111"/>
  <c r="C62" i="69"/>
  <c r="C58" i="69"/>
  <c r="C67" i="69" s="1"/>
  <c r="C46" i="69"/>
  <c r="C40" i="69"/>
  <c r="C29" i="69"/>
  <c r="C26" i="69"/>
  <c r="C23" i="69"/>
  <c r="C18" i="69"/>
  <c r="C14" i="69"/>
  <c r="C6" i="69"/>
  <c r="E16" i="88"/>
  <c r="E31" i="88"/>
  <c r="D8" i="88"/>
  <c r="D16" i="88"/>
  <c r="D20" i="88"/>
  <c r="D25" i="88"/>
  <c r="D28" i="88"/>
  <c r="D31" i="88"/>
  <c r="C31" i="88"/>
  <c r="C28" i="88"/>
  <c r="C25" i="88"/>
  <c r="C20" i="88"/>
  <c r="C16" i="88"/>
  <c r="C8" i="88"/>
  <c r="H43" i="110"/>
  <c r="E43" i="110"/>
  <c r="H42" i="110"/>
  <c r="E42" i="110"/>
  <c r="H41" i="110"/>
  <c r="E41" i="110"/>
  <c r="H40" i="110"/>
  <c r="E40" i="110"/>
  <c r="H39" i="110"/>
  <c r="E39" i="110"/>
  <c r="H37" i="110"/>
  <c r="E37" i="110"/>
  <c r="H36" i="110"/>
  <c r="E36" i="110"/>
  <c r="H35" i="110"/>
  <c r="E35" i="110"/>
  <c r="H34" i="110"/>
  <c r="E34" i="110"/>
  <c r="H33" i="110"/>
  <c r="E33" i="110"/>
  <c r="H32" i="110"/>
  <c r="E32" i="110"/>
  <c r="H31" i="110"/>
  <c r="E31" i="110"/>
  <c r="G30" i="110"/>
  <c r="F30" i="110"/>
  <c r="H30" i="110" s="1"/>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c r="H16" i="110"/>
  <c r="E16" i="110"/>
  <c r="H15" i="110"/>
  <c r="E15" i="110"/>
  <c r="G14" i="110"/>
  <c r="F14" i="110"/>
  <c r="H14" i="110" s="1"/>
  <c r="H13" i="110"/>
  <c r="E13" i="110"/>
  <c r="H12" i="110"/>
  <c r="E12" i="110"/>
  <c r="G11" i="110"/>
  <c r="F11" i="110"/>
  <c r="D11" i="110"/>
  <c r="E11" i="110"/>
  <c r="C11" i="110"/>
  <c r="H10" i="110"/>
  <c r="E10" i="110"/>
  <c r="H9" i="110"/>
  <c r="E9" i="110"/>
  <c r="H7" i="110"/>
  <c r="E7" i="110"/>
  <c r="H6" i="110"/>
  <c r="E6" i="110"/>
  <c r="H44" i="109"/>
  <c r="E44" i="109"/>
  <c r="H42" i="109"/>
  <c r="E42" i="109"/>
  <c r="H41" i="109"/>
  <c r="E41" i="109"/>
  <c r="H40" i="109"/>
  <c r="E40" i="109"/>
  <c r="H39" i="109"/>
  <c r="E39" i="109"/>
  <c r="H38" i="109"/>
  <c r="E38" i="109"/>
  <c r="G37" i="109"/>
  <c r="H37" i="109" s="1"/>
  <c r="F37" i="109"/>
  <c r="D37" i="109"/>
  <c r="C37" i="109"/>
  <c r="H36" i="109"/>
  <c r="E36" i="109"/>
  <c r="H35" i="109"/>
  <c r="E35" i="109"/>
  <c r="G34" i="109"/>
  <c r="F34" i="109"/>
  <c r="D34" i="109"/>
  <c r="C34" i="109"/>
  <c r="E34" i="109" s="1"/>
  <c r="H33" i="109"/>
  <c r="E33" i="109"/>
  <c r="H32" i="109"/>
  <c r="E32" i="109"/>
  <c r="H31" i="109"/>
  <c r="E31" i="109"/>
  <c r="H30" i="109"/>
  <c r="E30" i="109"/>
  <c r="G29" i="109"/>
  <c r="F29" i="109"/>
  <c r="H29" i="109" s="1"/>
  <c r="D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H13" i="109" s="1"/>
  <c r="D13" i="109"/>
  <c r="C13" i="109"/>
  <c r="E13" i="109" s="1"/>
  <c r="H12" i="109"/>
  <c r="E12" i="109"/>
  <c r="H11" i="109"/>
  <c r="E11" i="109"/>
  <c r="H10" i="109"/>
  <c r="E10" i="109"/>
  <c r="H9" i="109"/>
  <c r="E9" i="109"/>
  <c r="H8" i="109"/>
  <c r="E8" i="109"/>
  <c r="H7" i="109"/>
  <c r="E7" i="109"/>
  <c r="G6" i="109"/>
  <c r="F6" i="109"/>
  <c r="D6" i="109"/>
  <c r="E6" i="109" s="1"/>
  <c r="C6" i="109"/>
  <c r="G68" i="108"/>
  <c r="H67" i="108"/>
  <c r="E67" i="108"/>
  <c r="H66" i="108"/>
  <c r="E66" i="108"/>
  <c r="H65" i="108"/>
  <c r="E65" i="108"/>
  <c r="H64" i="108"/>
  <c r="E64" i="108"/>
  <c r="H63" i="108"/>
  <c r="D63" i="108"/>
  <c r="C63" i="108"/>
  <c r="E63" i="108"/>
  <c r="H62" i="108"/>
  <c r="E62" i="108"/>
  <c r="H61" i="108"/>
  <c r="E61" i="108"/>
  <c r="H60" i="108"/>
  <c r="E60" i="108"/>
  <c r="D59" i="108"/>
  <c r="D68" i="108" s="1"/>
  <c r="C59" i="108"/>
  <c r="E59" i="108"/>
  <c r="H58" i="108"/>
  <c r="E58" i="108"/>
  <c r="H57" i="108"/>
  <c r="E57" i="108"/>
  <c r="H56" i="108"/>
  <c r="E56" i="108"/>
  <c r="H55" i="108"/>
  <c r="E55" i="108"/>
  <c r="H52" i="108"/>
  <c r="E52" i="108"/>
  <c r="H51" i="108"/>
  <c r="E51" i="108"/>
  <c r="H50" i="108"/>
  <c r="E50" i="108"/>
  <c r="H49" i="108"/>
  <c r="E49" i="108"/>
  <c r="H48" i="108"/>
  <c r="E48" i="108"/>
  <c r="G47" i="108"/>
  <c r="F47" i="108"/>
  <c r="H47" i="108"/>
  <c r="D47" i="108"/>
  <c r="C47" i="108"/>
  <c r="E47" i="108"/>
  <c r="H46" i="108"/>
  <c r="E46" i="108"/>
  <c r="H45" i="108"/>
  <c r="E45" i="108"/>
  <c r="H44" i="108"/>
  <c r="E44" i="108"/>
  <c r="H43" i="108"/>
  <c r="E43" i="108"/>
  <c r="H42" i="108"/>
  <c r="E42" i="108"/>
  <c r="G41" i="108"/>
  <c r="G53" i="108" s="1"/>
  <c r="F41" i="108"/>
  <c r="F53" i="108" s="1"/>
  <c r="D41" i="108"/>
  <c r="D53" i="108"/>
  <c r="C41" i="108"/>
  <c r="E41" i="108" s="1"/>
  <c r="H40" i="108"/>
  <c r="E40" i="108"/>
  <c r="H39" i="108"/>
  <c r="E39" i="108"/>
  <c r="H38" i="108"/>
  <c r="H35" i="108"/>
  <c r="E35" i="108"/>
  <c r="H34" i="108"/>
  <c r="E34" i="108"/>
  <c r="H33" i="108"/>
  <c r="E33" i="108"/>
  <c r="H32" i="108"/>
  <c r="E32" i="108"/>
  <c r="H31" i="108"/>
  <c r="E31" i="108"/>
  <c r="G30" i="108"/>
  <c r="F30" i="108"/>
  <c r="H30" i="108"/>
  <c r="D30" i="108"/>
  <c r="C30" i="108"/>
  <c r="E30" i="108" s="1"/>
  <c r="H29" i="108"/>
  <c r="E29" i="108"/>
  <c r="H28" i="108"/>
  <c r="E28" i="108"/>
  <c r="G27" i="108"/>
  <c r="F27" i="108"/>
  <c r="D27" i="108"/>
  <c r="C27" i="108"/>
  <c r="E27" i="108"/>
  <c r="H26" i="108"/>
  <c r="E26" i="108"/>
  <c r="H25" i="108"/>
  <c r="E25" i="108"/>
  <c r="G24" i="108"/>
  <c r="F24" i="108"/>
  <c r="D24" i="108"/>
  <c r="C24" i="108"/>
  <c r="E24" i="108" s="1"/>
  <c r="H23" i="108"/>
  <c r="E23" i="108"/>
  <c r="H22" i="108"/>
  <c r="E22" i="108"/>
  <c r="H21" i="108"/>
  <c r="E21" i="108"/>
  <c r="H20" i="108"/>
  <c r="E20" i="108"/>
  <c r="G19" i="108"/>
  <c r="F19" i="108"/>
  <c r="H19" i="108"/>
  <c r="D19" i="108"/>
  <c r="D36" i="108" s="1"/>
  <c r="C19" i="108"/>
  <c r="E19" i="108"/>
  <c r="H18" i="108"/>
  <c r="E18" i="108"/>
  <c r="H17" i="108"/>
  <c r="E17" i="108"/>
  <c r="H16" i="108"/>
  <c r="E16" i="108"/>
  <c r="G15" i="108"/>
  <c r="F15" i="108"/>
  <c r="H15" i="108"/>
  <c r="D15" i="108"/>
  <c r="E15" i="108"/>
  <c r="C15" i="108"/>
  <c r="H14" i="108"/>
  <c r="E14" i="108"/>
  <c r="H13" i="108"/>
  <c r="E13" i="108"/>
  <c r="H12" i="108"/>
  <c r="E12" i="108"/>
  <c r="H11" i="108"/>
  <c r="E11" i="108"/>
  <c r="H10" i="108"/>
  <c r="E10" i="108"/>
  <c r="H9" i="108"/>
  <c r="E9" i="108"/>
  <c r="H8" i="108"/>
  <c r="E8" i="108"/>
  <c r="G7" i="108"/>
  <c r="G36" i="108"/>
  <c r="F7" i="108"/>
  <c r="D7" i="108"/>
  <c r="C7" i="108"/>
  <c r="E7" i="108" s="1"/>
  <c r="H27" i="108"/>
  <c r="E37" i="109"/>
  <c r="H41" i="108"/>
  <c r="H11" i="110"/>
  <c r="H8" i="110"/>
  <c r="H24" i="108"/>
  <c r="C68" i="108"/>
  <c r="E17" i="110"/>
  <c r="H6" i="109"/>
  <c r="B1" i="97"/>
  <c r="G33" i="97"/>
  <c r="F33" i="97"/>
  <c r="E33" i="97"/>
  <c r="D33" i="97"/>
  <c r="G24" i="97"/>
  <c r="G37" i="97" s="1"/>
  <c r="F24" i="97"/>
  <c r="E24" i="97"/>
  <c r="D24" i="97"/>
  <c r="C24" i="97"/>
  <c r="G18" i="97"/>
  <c r="F18" i="97"/>
  <c r="E18" i="97"/>
  <c r="C18" i="97"/>
  <c r="G14" i="97"/>
  <c r="F14" i="97"/>
  <c r="E14" i="97"/>
  <c r="D14" i="97"/>
  <c r="C14" i="97"/>
  <c r="G11" i="97"/>
  <c r="G21" i="97" s="1"/>
  <c r="F11" i="97"/>
  <c r="E11" i="97"/>
  <c r="D11" i="97"/>
  <c r="C11" i="97"/>
  <c r="G8" i="97"/>
  <c r="F8" i="97"/>
  <c r="E8" i="97"/>
  <c r="D8" i="97"/>
  <c r="C8" i="97"/>
  <c r="B1" i="95"/>
  <c r="B1" i="93"/>
  <c r="B1" i="64"/>
  <c r="B1" i="90"/>
  <c r="B1" i="69"/>
  <c r="B1" i="94"/>
  <c r="B1" i="89"/>
  <c r="B1" i="73"/>
  <c r="B1" i="88"/>
  <c r="B1" i="52"/>
  <c r="B1" i="86"/>
  <c r="E5" i="86"/>
  <c r="D5" i="86"/>
  <c r="G5" i="84"/>
  <c r="F5" i="84"/>
  <c r="E5" i="84"/>
  <c r="D5" i="84"/>
  <c r="C5" i="84"/>
  <c r="E6" i="86"/>
  <c r="E13" i="86"/>
  <c r="F6" i="86"/>
  <c r="F13" i="86" s="1"/>
  <c r="G6" i="86"/>
  <c r="G13" i="86" s="1"/>
  <c r="C21" i="94"/>
  <c r="D21" i="94" s="1"/>
  <c r="C20" i="94"/>
  <c r="C19" i="94"/>
  <c r="B1" i="91"/>
  <c r="B1" i="84"/>
  <c r="C26" i="95"/>
  <c r="C22" i="95"/>
  <c r="C8" i="95"/>
  <c r="D6" i="86"/>
  <c r="D13" i="86"/>
  <c r="C6" i="86"/>
  <c r="C13" i="86"/>
  <c r="D17" i="94" s="1"/>
  <c r="B18" i="121"/>
  <c r="D9" i="94"/>
  <c r="D11" i="94"/>
  <c r="D13" i="94"/>
  <c r="D8" i="94"/>
  <c r="S21" i="90"/>
  <c r="S20" i="90"/>
  <c r="S19" i="90"/>
  <c r="S18" i="90"/>
  <c r="S17" i="90"/>
  <c r="S16" i="90"/>
  <c r="S15" i="90"/>
  <c r="S14" i="90"/>
  <c r="S13" i="90"/>
  <c r="S12" i="90"/>
  <c r="S11" i="90"/>
  <c r="S10" i="90"/>
  <c r="S9" i="90"/>
  <c r="S8" i="90"/>
  <c r="S22" i="90" s="1"/>
  <c r="T21" i="64"/>
  <c r="U21" i="64"/>
  <c r="S21" i="64"/>
  <c r="C21" i="64"/>
  <c r="G22" i="91"/>
  <c r="F22" i="91"/>
  <c r="E22" i="91"/>
  <c r="D22" i="91"/>
  <c r="C22" i="91"/>
  <c r="H21" i="91"/>
  <c r="H20" i="91"/>
  <c r="H19" i="91"/>
  <c r="H18" i="91"/>
  <c r="H17" i="91"/>
  <c r="H16" i="91"/>
  <c r="H15" i="91"/>
  <c r="H14" i="91"/>
  <c r="H13" i="91"/>
  <c r="H12" i="91"/>
  <c r="H11" i="91"/>
  <c r="H10" i="91"/>
  <c r="H9" i="91"/>
  <c r="H8" i="91"/>
  <c r="H22" i="91"/>
  <c r="K22" i="90"/>
  <c r="L22" i="90"/>
  <c r="M22" i="90"/>
  <c r="N22" i="90"/>
  <c r="O22" i="90"/>
  <c r="P22" i="90"/>
  <c r="Q22" i="90"/>
  <c r="R22" i="90"/>
  <c r="C22" i="90"/>
  <c r="C12" i="89"/>
  <c r="C6" i="89"/>
  <c r="D22" i="90"/>
  <c r="E22" i="90"/>
  <c r="F22" i="90"/>
  <c r="G22" i="90"/>
  <c r="H22" i="90"/>
  <c r="I22" i="90"/>
  <c r="J22" i="90"/>
  <c r="C32" i="89"/>
  <c r="C31" i="89"/>
  <c r="C42" i="89" s="1"/>
  <c r="B9" i="121" s="1"/>
  <c r="C36" i="89"/>
  <c r="C44" i="89"/>
  <c r="C53" i="89" s="1"/>
  <c r="B10" i="121" s="1"/>
  <c r="C48" i="89"/>
  <c r="D21" i="64"/>
  <c r="E21" i="64"/>
  <c r="F21" i="64"/>
  <c r="G21" i="64"/>
  <c r="H21" i="64"/>
  <c r="I21" i="64"/>
  <c r="J21" i="64"/>
  <c r="K21" i="64"/>
  <c r="L21" i="64"/>
  <c r="M21" i="64"/>
  <c r="N21" i="64"/>
  <c r="O21" i="64"/>
  <c r="P21" i="64"/>
  <c r="Q21" i="64"/>
  <c r="R21" i="64"/>
  <c r="V8" i="64"/>
  <c r="V9" i="64"/>
  <c r="V10" i="64"/>
  <c r="V11" i="64"/>
  <c r="V12" i="64"/>
  <c r="V13" i="64"/>
  <c r="V14" i="64"/>
  <c r="V15" i="64"/>
  <c r="V16" i="64"/>
  <c r="V17" i="64"/>
  <c r="V18" i="64"/>
  <c r="V19" i="64"/>
  <c r="V20" i="64"/>
  <c r="V7" i="64"/>
  <c r="V21" i="64" s="1"/>
  <c r="D15" i="114" l="1"/>
  <c r="C15" i="114"/>
  <c r="G39" i="97"/>
  <c r="Q14" i="92"/>
  <c r="I34" i="92"/>
  <c r="C12" i="95" s="1"/>
  <c r="C14" i="95" s="1"/>
  <c r="C32" i="95" s="1"/>
  <c r="C10" i="95"/>
  <c r="C52" i="69"/>
  <c r="C68" i="69" s="1"/>
  <c r="C35" i="69"/>
  <c r="C29" i="89"/>
  <c r="B8" i="121" s="1"/>
  <c r="B7" i="121" s="1"/>
  <c r="B16" i="121" s="1"/>
  <c r="B14" i="121" s="1"/>
  <c r="D37" i="88"/>
  <c r="C37" i="88"/>
  <c r="E37" i="88"/>
  <c r="C5" i="73" s="1"/>
  <c r="C8" i="73" s="1"/>
  <c r="C13" i="73" s="1"/>
  <c r="D19" i="94"/>
  <c r="D20" i="94"/>
  <c r="D16" i="94"/>
  <c r="D15" i="94"/>
  <c r="D7" i="94"/>
  <c r="D12" i="94"/>
  <c r="E14" i="110"/>
  <c r="H34" i="109"/>
  <c r="G43" i="109"/>
  <c r="F43" i="109"/>
  <c r="C43" i="109"/>
  <c r="C45" i="109" s="1"/>
  <c r="D43" i="109"/>
  <c r="H59" i="108"/>
  <c r="E68" i="108"/>
  <c r="D69" i="108"/>
  <c r="F69" i="108"/>
  <c r="G69" i="108"/>
  <c r="C53" i="108"/>
  <c r="C69" i="108" s="1"/>
  <c r="E69" i="108" s="1"/>
  <c r="H53" i="108"/>
  <c r="E38" i="108"/>
  <c r="C36" i="108"/>
  <c r="E36" i="108" s="1"/>
  <c r="F36" i="108"/>
  <c r="H36" i="108" s="1"/>
  <c r="H7" i="108"/>
  <c r="F24" i="93"/>
  <c r="I24" i="93"/>
  <c r="I25" i="93" s="1"/>
  <c r="F25" i="93"/>
  <c r="F5" i="86"/>
  <c r="G5" i="86"/>
  <c r="K24" i="93"/>
  <c r="K25" i="93" s="1"/>
  <c r="J25" i="93"/>
  <c r="H24" i="93"/>
  <c r="H25" i="93" s="1"/>
  <c r="C34" i="95" l="1"/>
  <c r="B19" i="121"/>
  <c r="B6" i="121"/>
  <c r="B21" i="121" s="1"/>
  <c r="B23" i="121"/>
  <c r="H43" i="109"/>
  <c r="G45" i="109"/>
  <c r="F45" i="109"/>
  <c r="D45" i="109"/>
  <c r="E45" i="109" s="1"/>
  <c r="E43" i="109"/>
  <c r="H69" i="108"/>
  <c r="E53" i="108"/>
  <c r="B22" i="121" l="1"/>
  <c r="H45" i="10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<sst xmlns="http://schemas.openxmlformats.org/spreadsheetml/2006/main" count="1251" uniqueCount="782">
  <si>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</si>
  <si>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</si>
  <si>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</si>
  <si>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</si>
  <si>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</si>
  <si>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</si>
  <si>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</si>
  <si>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</si>
  <si>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</si>
  <si>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</si>
  <si>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</si>
  <si>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</si>
  <si>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</si>
  <si>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</si>
  <si>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</si>
  <si>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</si>
  <si>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</si>
  <si>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</si>
  <si>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</si>
  <si>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</si>
  <si>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</si>
  <si>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</si>
  <si>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</si>
  <si>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</si>
  <si>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</si>
  <si>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</si>
  <si>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</si>
  <si>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</si>
  <si>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</si>
  <si>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</si>
  <si>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</si>
  <si>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</si>
  <si>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</si>
  <si>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</si>
  <si>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</si>
  <si>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</si>
  <si>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</si>
  <si>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</si>
  <si>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</si>
  <si>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</si>
  <si>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</si>
  <si>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</si>
  <si>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</si>
  <si>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</si>
  <si>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</si>
  <si>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</si>
  <si>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</si>
  <si>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</si>
  <si>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</si>
  <si>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</si>
  <si>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</si>
  <si>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</si>
  <si>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</si>
  <si>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</si>
  <si>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</si>
  <si>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</si>
  <si>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</si>
  <si>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</si>
  <si>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</si>
  <si>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</si>
  <si>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</si>
  <si>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</si>
  <si>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</si>
  <si>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</si>
  <si>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</si>
  <si>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</si>
  <si>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</si>
  <si>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</si>
  <si>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</si>
  <si>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</si>
  <si>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</si>
  <si>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</si>
  <si>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</si>
  <si>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</si>
  <si>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</si>
  <si>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</si>
  <si>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</si>
  <si>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</si>
  <si>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</si>
  <si>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</si>
  <si>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</si>
  <si>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</si>
  <si>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</si>
  <si>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</si>
  <si>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</si>
  <si>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</si>
  <si>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</si>
  <si>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</si>
  <si>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</si>
  <si>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</si>
  <si>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</si>
  <si>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</si>
  <si>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</si>
  <si>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</si>
  <si>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</si>
  <si>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</si>
  <si>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</si>
  <si>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</si>
  <si>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</si>
  <si>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</si>
  <si>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</si>
  <si>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</si>
  <si>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</si>
  <si>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</si>
  <si>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</si>
  <si>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</si>
  <si>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</si>
  <si>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</si>
  <si>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</si>
  <si>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</si>
  <si>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</si>
  <si>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</si>
  <si>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</si>
  <si>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</si>
  <si>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</si>
  <si>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</si>
  <si>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</si>
  <si>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</si>
  <si>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</si>
  <si>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</si>
  <si>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</si>
  <si>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</si>
  <si>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</si>
  <si>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</si>
  <si>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</si>
  <si>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</si>
  <si>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</si>
  <si>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</si>
  <si>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</si>
  <si>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</si>
  <si>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</si>
  <si>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</si>
  <si>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</si>
  <si>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</si>
  <si>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</si>
  <si>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</si>
  <si>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</si>
  <si>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</si>
  <si>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</si>
  <si>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</si>
  <si>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</si>
  <si>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</si>
  <si>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</si>
  <si>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</si>
  <si>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</si>
  <si>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</si>
  <si>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</si>
  <si>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</si>
  <si>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</si>
  <si>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</si>
  <si>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</si>
  <si>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</si>
  <si>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</si>
  <si>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</si>
  <si>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</si>
  <si>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</si>
  <si>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</si>
  <si>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</si>
  <si>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</si>
  <si>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</si>
  <si>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</si>
  <si>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</si>
  <si>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</si>
  <si>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</si>
  <si>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</si>
  <si>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</si>
  <si>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</si>
  <si>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</si>
  <si>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</si>
  <si>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</si>
  <si>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</si>
  <si>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</si>
  <si>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</si>
  <si>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</si>
  <si>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</si>
  <si>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</si>
  <si>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</si>
  <si>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</si>
  <si>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</si>
  <si>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</si>
  <si>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</si>
  <si>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</si>
  <si>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</si>
  <si>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</si>
  <si>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</si>
  <si>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</si>
  <si>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</si>
  <si>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</si>
  <si>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</si>
  <si>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</si>
  <si>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</si>
  <si>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</si>
  <si>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</si>
  <si>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</si>
  <si>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</si>
  <si>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</si>
  <si>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</si>
  <si>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</si>
  <si>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</si>
  <si>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</si>
  <si>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</si>
  <si>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</si>
  <si>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</si>
  <si>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</si>
  <si>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</si>
  <si>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</si>
  <si>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</si>
  <si>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</si>
  <si>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</si>
  <si>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</si>
  <si>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</si>
  <si>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</si>
  <si>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</si>
  <si>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</si>
  <si>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</si>
  <si>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</si>
  <si>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</si>
  <si>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</si>
  <si>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</si>
  <si>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</si>
  <si>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</si>
  <si>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</si>
  <si>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</si>
  <si>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</si>
  <si>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</si>
  <si>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</si>
  <si>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</si>
  <si>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</si>
  <si>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</si>
  <si>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</si>
  <si>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</si>
  <si>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</si>
  <si>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</si>
  <si>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</si>
  <si>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</si>
  <si>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</si>
  <si>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</si>
  <si>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</si>
  <si>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</si>
  <si>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</si>
  <si>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</si>
  <si>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</si>
  <si>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</si>
  <si>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</si>
  <si>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</si>
  <si>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</si>
  <si>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</si>
  <si>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</si>
  <si>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</si>
  <si>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</si>
  <si>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</si>
  <si>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</si>
  <si>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</si>
  <si>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</si>
  <si>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</si>
  <si>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</si>
  <si>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</si>
  <si>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</si>
  <si>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</si>
  <si>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</si>
  <si>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</si>
  <si>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</si>
  <si>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</si>
  <si>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</si>
  <si>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</si>
  <si>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</si>
  <si>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</si>
  <si>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</si>
  <si>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</si>
  <si>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</si>
  <si>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</si>
  <si>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</si>
  <si>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</si>
  <si>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</si>
  <si>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</si>
  <si>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</si>
  <si>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</si>
  <si>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</si>
  <si>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</si>
  <si>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</si>
  <si>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</si>
  <si>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</si>
  <si>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</si>
  <si>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</si>
  <si>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</si>
  <si>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</si>
  <si>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</si>
  <si>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</si>
  <si>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</si>
  <si>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</si>
  <si>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</si>
  <si>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</si>
  <si>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</si>
  <si>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</si>
  <si>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</si>
  <si>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</si>
  <si>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</si>
  <si>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</si>
  <si>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</si>
  <si>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</si>
  <si>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</si>
  <si>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</si>
  <si>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</si>
  <si>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</si>
  <si>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</si>
  <si>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</si>
  <si>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</si>
  <si>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</si>
  <si>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</si>
  <si>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</si>
  <si>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</si>
  <si>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</si>
  <si>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</si>
  <si>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</si>
  <si>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</si>
  <si>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</si>
  <si>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</si>
  <si>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</si>
  <si>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</si>
  <si>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</si>
  <si>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</si>
  <si>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</si>
  <si>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</si>
  <si>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</si>
  <si>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</si>
  <si>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</si>
  <si>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</si>
  <si>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</si>
  <si>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</si>
  <si>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</si>
  <si>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</si>
  <si>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</si>
  <si>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</si>
  <si>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</si>
  <si>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</si>
  <si>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</si>
  <si>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</si>
  <si>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</si>
  <si>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</si>
  <si>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</si>
  <si>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</si>
  <si>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</si>
  <si>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</si>
  <si>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</si>
  <si>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</si>
  <si>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</si>
  <si>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</si>
  <si>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</si>
  <si>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</si>
  <si>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</si>
  <si>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</si>
  <si>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</si>
  <si>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</si>
  <si>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</si>
  <si>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</si>
  <si>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</si>
  <si>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</si>
  <si>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</si>
  <si>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</si>
  <si>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</si>
  <si>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</si>
  <si>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</si>
  <si>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</si>
  <si>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</si>
  <si>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</si>
  <si>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</si>
  <si>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</si>
  <si>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</si>
  <si>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</si>
  <si>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</si>
  <si>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</si>
  <si>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</si>
  <si>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</si>
  <si>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</si>
  <si>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</si>
  <si>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</si>
  <si>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</si>
  <si>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</si>
  <si>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</si>
  <si>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</si>
  <si>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</si>
  <si>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</si>
  <si>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</si>
  <si>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</si>
  <si>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</si>
  <si>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</si>
  <si>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</si>
  <si>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</si>
  <si>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</si>
  <si>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</si>
  <si>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</si>
  <si>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</si>
  <si>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</si>
  <si>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</si>
  <si>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</si>
  <si>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</si>
  <si>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</si>
  <si>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</si>
  <si>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</si>
  <si>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</si>
  <si>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</si>
  <si>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</si>
  <si>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</si>
  <si>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</si>
  <si>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</si>
  <si>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</si>
  <si>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</si>
  <si>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</si>
  <si>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</si>
  <si>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</si>
  <si>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</si>
  <si>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</si>
  <si>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</si>
  <si>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</si>
  <si>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</si>
  <si>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</si>
  <si>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</si>
  <si>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</si>
  <si>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</si>
  <si>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</si>
  <si>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</si>
  <si>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</si>
  <si>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</si>
  <si>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</si>
  <si>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</si>
  <si>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</si>
  <si>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</si>
  <si>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</si>
  <si>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</si>
  <si>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</si>
  <si>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</si>
  <si>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</si>
  <si>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</si>
  <si>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</si>
  <si>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</si>
  <si>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</si>
  <si>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</si>
  <si>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</si>
  <si>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</si>
  <si>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</si>
  <si>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</si>
  <si>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</si>
  <si>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</si>
  <si>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</si>
  <si>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</si>
  <si>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</si>
  <si>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</si>
  <si>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</si>
  <si>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</si>
  <si>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</si>
  <si>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</si>
  <si>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</si>
  <si>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</si>
  <si>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</si>
  <si>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</si>
  <si>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</si>
  <si>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</si>
  <si>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</si>
  <si>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</si>
  <si>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</si>
  <si>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</si>
  <si>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</si>
  <si>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</si>
  <si>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</si>
  <si>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</si>
  <si>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</si>
  <si>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</si>
  <si>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</si>
  <si>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</si>
  <si>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</si>
  <si>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</si>
  <si>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</si>
  <si>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</si>
  <si>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</si>
  <si>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</si>
  <si>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</si>
  <si>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</si>
  <si>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</si>
  <si>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</si>
  <si>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</si>
  <si>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</si>
  <si>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</si>
  <si>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</si>
  <si>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</si>
  <si>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</si>
  <si>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</si>
  <si>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</si>
  <si>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</si>
  <si>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</si>
  <si>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</si>
  <si>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</si>
  <si>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</si>
  <si>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</si>
  <si>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</si>
  <si>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</si>
  <si>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</si>
  <si>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</si>
  <si>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</si>
  <si>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</si>
  <si>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</si>
  <si>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</si>
  <si>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</si>
  <si>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</si>
  <si>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</si>
  <si>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</si>
  <si>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</si>
  <si>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</si>
  <si>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</si>
  <si>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</si>
  <si>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</si>
  <si>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</si>
  <si>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</si>
  <si>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</si>
  <si>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</si>
  <si>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</si>
  <si>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</si>
  <si>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</si>
  <si>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</si>
  <si>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</si>
  <si>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</si>
  <si>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</si>
  <si>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</si>
  <si>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</si>
  <si>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</si>
  <si>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</si>
  <si>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</si>
  <si>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</si>
  <si>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</si>
  <si>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</si>
  <si>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</si>
  <si>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</si>
  <si>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</si>
  <si>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</si>
  <si>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</si>
  <si>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</si>
  <si>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</si>
  <si>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</si>
  <si>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</si>
  <si>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</si>
  <si>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</si>
  <si>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</si>
  <si>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</si>
  <si>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</si>
  <si>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</si>
  <si>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</si>
  <si>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</si>
  <si>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</si>
  <si>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</si>
  <si>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</si>
  <si>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</si>
  <si>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</si>
  <si>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</si>
  <si>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</si>
  <si>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</si>
  <si>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</si>
  <si>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</si>
  <si>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</si>
  <si>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</si>
  <si>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</si>
  <si>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</si>
  <si>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</si>
  <si>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</si>
  <si>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</si>
  <si>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</si>
  <si>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</si>
  <si>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</si>
  <si>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</si>
  <si>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</si>
  <si>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</si>
  <si>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</si>
  <si>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</si>
  <si>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</si>
  <si>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</si>
  <si>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</si>
  <si>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</si>
  <si>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</si>
  <si>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</si>
  <si>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</si>
  <si>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</si>
  <si>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</si>
  <si>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</si>
  <si>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</si>
  <si>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</si>
  <si>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</si>
  <si>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</si>
  <si>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</si>
  <si>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</si>
  <si>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</si>
  <si>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</si>
  <si>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</si>
  <si>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</si>
  <si>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</si>
  <si>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</si>
  <si>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</si>
  <si>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</si>
  <si>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</si>
  <si>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</si>
  <si>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</si>
  <si>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</si>
  <si>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</si>
  <si>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</si>
  <si>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</si>
  <si>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</si>
  <si>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</si>
  <si>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</si>
  <si>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</si>
  <si>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</si>
  <si>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</si>
  <si>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</si>
  <si>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</si>
  <si>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</si>
  <si>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</si>
  <si>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</si>
  <si>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</si>
  <si>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</si>
  <si>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</si>
  <si>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</si>
  <si>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</si>
  <si>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</si>
  <si>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</si>
  <si>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</si>
  <si>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</si>
  <si>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</si>
  <si>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</si>
  <si>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</si>
  <si>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</si>
  <si>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</si>
  <si>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</si>
  <si>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</si>
  <si>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</si>
  <si>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</si>
  <si>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</si>
  <si>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</si>
  <si>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</si>
  <si>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</si>
  <si>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</si>
  <si>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</si>
  <si>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</si>
  <si>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</si>
  <si>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</si>
  <si>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</si>
  <si>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</si>
  <si>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</si>
  <si>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</si>
  <si>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</si>
  <si>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</si>
  <si>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</si>
  <si>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</si>
  <si>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</si>
  <si>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</si>
  <si>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</si>
  <si>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</si>
  <si>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</si>
  <si>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</si>
  <si>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</si>
  <si>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</si>
  <si>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</si>
  <si>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</si>
  <si>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</si>
  <si>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</si>
  <si>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</si>
  <si>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</si>
  <si>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</si>
  <si>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</si>
  <si>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</si>
  <si>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</si>
  <si>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</si>
  <si>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</si>
  <si>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</si>
  <si>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</si>
  <si>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</si>
  <si>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</si>
  <si>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</si>
  <si>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</si>
  <si>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</si>
  <si>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</si>
  <si>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</si>
  <si>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</si>
  <si>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</si>
  <si>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</si>
  <si>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</si>
  <si>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</si>
  <si>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</si>
  <si>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</si>
  <si>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</si>
  <si>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</si>
  <si>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</si>
  <si>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</si>
  <si>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</si>
  <si>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</si>
  <si>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</si>
  <si>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</si>
  <si>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</si>
  <si>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</si>
  <si>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</si>
  <si>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</si>
  <si>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</si>
  <si>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</si>
  <si>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</si>
  <si>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</si>
  <si>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</si>
  <si>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</si>
  <si>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</si>
  <si>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</si>
  <si>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</si>
  <si>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</si>
  <si>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</si>
  <si>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</si>
  <si>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</si>
  <si>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</si>
  <si>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</si>
  <si>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</si>
  <si>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</si>
  <si>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</si>
  <si>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</si>
  <si>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</si>
  <si>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</si>
  <si>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</si>
  <si>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</si>
  <si>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</si>
  <si>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</si>
  <si>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</si>
  <si>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</si>
  <si>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</si>
  <si>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</si>
  <si>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</si>
  <si>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</si>
  <si>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</si>
  <si>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</si>
  <si>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</si>
  <si>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</si>
  <si>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</si>
  <si>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</si>
  <si>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</si>
  <si>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</si>
  <si>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</si>
  <si>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</si>
  <si>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</si>
  <si>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</si>
  <si>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</si>
  <si>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</si>
  <si>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</si>
  <si>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</si>
  <si>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</si>
  <si>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</si>
  <si>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</si>
  <si>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</si>
  <si>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</si>
  <si>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</si>
  <si>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</si>
  <si>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</si>
  <si>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</si>
  <si>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 xml:space="preserve">PASHA Bank Georgia JSC </t>
  </si>
  <si>
    <t>Rovshan Allahverdiyev</t>
  </si>
  <si>
    <t>Ramil Imamov</t>
  </si>
  <si>
    <t>www.pashabank.ge</t>
  </si>
  <si>
    <t>Shahin Mammadov</t>
  </si>
  <si>
    <t>George Glonti</t>
  </si>
  <si>
    <t>Ebru Ogan Knottnerus</t>
  </si>
  <si>
    <t>Kamala Nuriyeva</t>
  </si>
  <si>
    <t>Non-independent member</t>
  </si>
  <si>
    <t>Independent member</t>
  </si>
  <si>
    <t>Non-independent chair</t>
  </si>
  <si>
    <t>Acting Chairman of Board of Directors​, CEO</t>
  </si>
  <si>
    <t>Parvin Mammadov</t>
  </si>
  <si>
    <t>Member of the Board of Directors, CFO</t>
  </si>
  <si>
    <t>Levan Aladashvili</t>
  </si>
  <si>
    <t>Member of the Board of Directors, Chief Risk Officer</t>
  </si>
  <si>
    <t>Anzor Mantskava</t>
  </si>
  <si>
    <t>Member of the Board of Directors, Chief Operating Officer</t>
  </si>
  <si>
    <t>PASHA Bank OJSC</t>
  </si>
  <si>
    <t>Pasha Holding LLC</t>
  </si>
  <si>
    <t xml:space="preserve">Mr. Arif Pashayev </t>
  </si>
  <si>
    <t>Mrs. Arzu Aliyeva</t>
  </si>
  <si>
    <t>Mrs. Leyla Aliyeva</t>
  </si>
  <si>
    <t>Mr. Mir Jamal Pashayev</t>
  </si>
  <si>
    <t>Table 9 (Capital), N15</t>
  </si>
  <si>
    <t>Table 9 (Capital), N38</t>
  </si>
  <si>
    <t>Table 9 (Capital), N2</t>
  </si>
  <si>
    <t>Table 9 (Capital), N6</t>
  </si>
  <si>
    <t>TOTAL EQUITY*</t>
  </si>
  <si>
    <t xml:space="preserve">*Share capital as defined by the Law on Commercial Bank Activities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</si>
</sst>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0.000%"/>
  </numFmts>
  <fonts count="36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rgb="FF333333"/>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auto="1"/>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168"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8" fillId="0" borderId="0"/>
    <xf numFmtId="0" fontId="145"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5" applyFont="0" applyBorder="0">
      <alignment horizontal="center" wrapText="1"/>
    </xf>
    <xf numFmtId="3" fontId="2" fillId="74" borderId="124"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6" fillId="0" borderId="0" applyFont="0" applyFill="0" applyBorder="0" applyAlignment="0" applyProtection="0"/>
    <xf numFmtId="8" fontId="147" fillId="0" borderId="0" applyFont="0" applyFill="0" applyBorder="0" applyAlignment="0" applyProtection="0"/>
    <xf numFmtId="8" fontId="147" fillId="0" borderId="0" applyFont="0" applyFill="0" applyBorder="0" applyAlignment="0" applyProtection="0"/>
    <xf numFmtId="202"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203" fontId="146" fillId="0" borderId="0" applyFont="0" applyFill="0" applyBorder="0" applyAlignment="0" applyProtection="0"/>
    <xf numFmtId="203" fontId="146" fillId="0" borderId="0" applyFont="0" applyFill="0" applyBorder="0" applyAlignment="0" applyProtection="0"/>
    <xf numFmtId="7" fontId="146" fillId="0" borderId="0" applyFont="0" applyFill="0" applyBorder="0" applyAlignment="0" applyProtection="0"/>
    <xf numFmtId="7" fontId="146" fillId="0" borderId="0" applyFont="0" applyFill="0" applyBorder="0" applyAlignment="0" applyProtection="0"/>
    <xf numFmtId="204" fontId="146" fillId="0" borderId="0" applyFont="0" applyFill="0" applyBorder="0" applyAlignment="0" applyProtection="0"/>
    <xf numFmtId="204"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205" fontId="102" fillId="0" borderId="0"/>
    <xf numFmtId="205" fontId="102" fillId="0" borderId="0"/>
    <xf numFmtId="205" fontId="102" fillId="0" borderId="0"/>
    <xf numFmtId="205" fontId="102" fillId="0" borderId="0"/>
    <xf numFmtId="0" fontId="102" fillId="0" borderId="0"/>
    <xf numFmtId="205" fontId="102" fillId="0" borderId="0"/>
    <xf numFmtId="5" fontId="147" fillId="0" borderId="0" applyFont="0" applyFill="0" applyBorder="0" applyAlignment="0" applyProtection="0"/>
    <xf numFmtId="5" fontId="147" fillId="0" borderId="0" applyFont="0" applyFill="0" applyBorder="0" applyAlignment="0" applyProtection="0"/>
    <xf numFmtId="202"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202" fontId="146" fillId="0" borderId="0" applyFont="0" applyFill="0" applyBorder="0" applyAlignment="0" applyProtection="0"/>
    <xf numFmtId="202" fontId="146" fillId="0" borderId="0" applyFont="0" applyFill="0" applyBorder="0" applyAlignment="0" applyProtection="0"/>
    <xf numFmtId="202" fontId="146"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10" fontId="147" fillId="0" borderId="0" applyFont="0" applyFill="0" applyBorder="0" applyAlignment="0" applyProtection="0"/>
    <xf numFmtId="10" fontId="147" fillId="0" borderId="0" applyFont="0" applyFill="0" applyBorder="0" applyAlignment="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2" fillId="0" borderId="0" applyNumberForma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206" fontId="151" fillId="0" borderId="0" applyFont="0" applyFill="0" applyBorder="0" applyAlignment="0" applyProtection="0"/>
    <xf numFmtId="0" fontId="19" fillId="0" borderId="0" applyFont="0" applyFill="0" applyBorder="0" applyAlignment="0" applyProtection="0"/>
    <xf numFmtId="207" fontId="152" fillId="0" borderId="0" applyFont="0" applyFill="0" applyBorder="0" applyAlignment="0" applyProtection="0"/>
    <xf numFmtId="208" fontId="152" fillId="0" borderId="0" applyFont="0" applyFill="0" applyBorder="0" applyAlignment="0" applyProtection="0"/>
    <xf numFmtId="209" fontId="152" fillId="0" borderId="0" applyFont="0" applyFill="0" applyBorder="0" applyAlignment="0" applyProtection="0"/>
    <xf numFmtId="210" fontId="152" fillId="0" borderId="0" applyFont="0" applyFill="0" applyBorder="0" applyAlignment="0" applyProtection="0"/>
    <xf numFmtId="0" fontId="152" fillId="0" borderId="0"/>
    <xf numFmtId="0" fontId="19" fillId="0" borderId="0" applyFont="0" applyFill="0" applyBorder="0" applyAlignment="0" applyProtection="0"/>
    <xf numFmtId="211" fontId="151" fillId="0" borderId="0" applyFont="0" applyFill="0" applyBorder="0" applyAlignment="0" applyProtection="0"/>
    <xf numFmtId="0" fontId="147"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3"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156" fillId="0" borderId="0"/>
    <xf numFmtId="0" fontId="156"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6" fillId="0" borderId="0"/>
    <xf numFmtId="0" fontId="2" fillId="0" borderId="0"/>
    <xf numFmtId="0" fontId="2" fillId="0" borderId="0">
      <alignment horizontal="left" wrapText="1"/>
    </xf>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2" fillId="0" borderId="0">
      <alignment horizontal="left" wrapText="1"/>
    </xf>
    <xf numFmtId="0" fontId="2" fillId="0" borderId="0">
      <alignment horizontal="left" wrapText="1"/>
    </xf>
    <xf numFmtId="0" fontId="156" fillId="0" borderId="0"/>
    <xf numFmtId="0" fontId="156" fillId="0" borderId="0"/>
    <xf numFmtId="0" fontId="156" fillId="0" borderId="0"/>
    <xf numFmtId="0" fontId="156"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6" fillId="0" borderId="0"/>
    <xf numFmtId="0" fontId="156" fillId="0" borderId="0"/>
    <xf numFmtId="0" fontId="156" fillId="0" borderId="0"/>
    <xf numFmtId="0" fontId="15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7" fillId="0" borderId="0"/>
    <xf numFmtId="0" fontId="2" fillId="85" borderId="0"/>
    <xf numFmtId="0" fontId="2" fillId="0" borderId="0"/>
    <xf numFmtId="0" fontId="2" fillId="0" borderId="0"/>
    <xf numFmtId="0" fontId="2" fillId="0" borderId="0" applyFont="0" applyFill="0" applyBorder="0" applyAlignment="0" applyProtection="0"/>
    <xf numFmtId="0" fontId="156" fillId="0" borderId="0"/>
    <xf numFmtId="0" fontId="156" fillId="0" borderId="0"/>
    <xf numFmtId="0" fontId="156" fillId="0" borderId="0"/>
    <xf numFmtId="0" fontId="15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60" fillId="89"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6" fillId="0" borderId="0"/>
    <xf numFmtId="0" fontId="156" fillId="0" borderId="0"/>
    <xf numFmtId="0" fontId="156" fillId="0" borderId="0"/>
    <xf numFmtId="0" fontId="156"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6"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6"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6" fillId="0" borderId="0"/>
    <xf numFmtId="0" fontId="156"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1" fillId="0" borderId="138"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6" fillId="0" borderId="0"/>
    <xf numFmtId="0" fontId="156" fillId="0" borderId="0"/>
    <xf numFmtId="0" fontId="2" fillId="0" borderId="0"/>
    <xf numFmtId="0" fontId="156" fillId="0" borderId="0"/>
    <xf numFmtId="0" fontId="156" fillId="0" borderId="0"/>
    <xf numFmtId="0" fontId="156" fillId="0" borderId="0"/>
    <xf numFmtId="0" fontId="8" fillId="0" borderId="0"/>
    <xf numFmtId="0" fontId="157" fillId="0" borderId="0"/>
    <xf numFmtId="0" fontId="2" fillId="0" borderId="0"/>
    <xf numFmtId="0" fontId="2" fillId="85"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156" fillId="0" borderId="0"/>
    <xf numFmtId="0" fontId="156"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6"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2" fillId="0" borderId="0">
      <alignment horizontal="left" wrapText="1"/>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lignment horizontal="left" wrapText="1"/>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56" fillId="0" borderId="0"/>
    <xf numFmtId="0" fontId="156" fillId="0" borderId="0"/>
    <xf numFmtId="0" fontId="2" fillId="0" borderId="0"/>
    <xf numFmtId="0" fontId="2" fillId="0" borderId="0"/>
    <xf numFmtId="0" fontId="156" fillId="0" borderId="0"/>
    <xf numFmtId="0" fontId="156" fillId="0" borderId="0"/>
    <xf numFmtId="0" fontId="2"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0" borderId="0"/>
    <xf numFmtId="0" fontId="156" fillId="0" borderId="0"/>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xf numFmtId="0" fontId="2" fillId="0" borderId="0"/>
    <xf numFmtId="0" fontId="2" fillId="0" borderId="0"/>
    <xf numFmtId="0" fontId="158"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8" fillId="0" borderId="0">
      <alignment horizontal="left" vertical="center"/>
    </xf>
    <xf numFmtId="0" fontId="156" fillId="0" borderId="0"/>
    <xf numFmtId="0" fontId="168"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69" fillId="0" borderId="0"/>
    <xf numFmtId="1" fontId="170" fillId="0" borderId="132">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1" fillId="0" borderId="0" applyFill="0" applyBorder="0" applyAlignment="0" applyProtection="0"/>
    <xf numFmtId="239" fontId="171" fillId="0" borderId="0" applyFill="0" applyBorder="0" applyAlignment="0" applyProtection="0"/>
    <xf numFmtId="239" fontId="171" fillId="0" borderId="0" applyFill="0" applyBorder="0" applyAlignment="0" applyProtection="0"/>
    <xf numFmtId="240" fontId="171" fillId="0" borderId="0" applyFill="0" applyBorder="0" applyAlignment="0" applyProtection="0"/>
    <xf numFmtId="240" fontId="171" fillId="0" borderId="0" applyFill="0" applyBorder="0" applyAlignment="0" applyProtection="0"/>
    <xf numFmtId="240" fontId="171"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2" fillId="0" borderId="68"/>
    <xf numFmtId="0" fontId="158"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0" fontId="147" fillId="0" borderId="0" applyFont="0" applyFill="0" applyBorder="0" applyAlignment="0" applyProtection="0"/>
    <xf numFmtId="14" fontId="173" fillId="0" borderId="0" applyFill="0" applyBorder="0" applyProtection="0">
      <alignment horizontal="right"/>
    </xf>
    <xf numFmtId="16" fontId="173" fillId="0" borderId="0" applyFill="0" applyBorder="0" applyProtection="0">
      <alignment horizontal="right"/>
    </xf>
    <xf numFmtId="18" fontId="173" fillId="0" borderId="0" applyFill="0" applyBorder="0" applyProtection="0">
      <alignment horizontal="right"/>
    </xf>
    <xf numFmtId="16" fontId="173" fillId="0" borderId="0" applyFill="0" applyBorder="0" applyProtection="0">
      <alignment horizontal="right"/>
    </xf>
    <xf numFmtId="22" fontId="173" fillId="0" borderId="0" applyFill="0" applyBorder="0" applyProtection="0">
      <alignment horizontal="right"/>
    </xf>
    <xf numFmtId="14" fontId="173" fillId="0" borderId="0" applyFill="0" applyBorder="0" applyProtection="0">
      <alignment horizontal="right"/>
    </xf>
    <xf numFmtId="20" fontId="173" fillId="0" borderId="0" applyFill="0" applyBorder="0" applyProtection="0">
      <alignment horizontal="right"/>
    </xf>
    <xf numFmtId="16" fontId="173" fillId="0" borderId="0" applyFill="0" applyBorder="0" applyProtection="0">
      <alignment horizontal="right"/>
    </xf>
    <xf numFmtId="16" fontId="173" fillId="0" borderId="0" applyFill="0" applyBorder="0" applyProtection="0">
      <alignment horizontal="right"/>
    </xf>
    <xf numFmtId="14" fontId="173" fillId="0" borderId="0" applyFill="0" applyBorder="0" applyProtection="0">
      <alignment horizontal="right"/>
    </xf>
    <xf numFmtId="1" fontId="173" fillId="0" borderId="0" applyFill="0" applyBorder="0" applyProtection="0">
      <alignment horizontal="right"/>
    </xf>
    <xf numFmtId="1" fontId="173" fillId="0" borderId="0" applyFill="0" applyBorder="0" applyProtection="0">
      <alignment horizontal="right"/>
    </xf>
    <xf numFmtId="1" fontId="173"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4"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6" fillId="101" borderId="0" applyNumberFormat="0" applyFont="0" applyBorder="0" applyProtection="0"/>
    <xf numFmtId="0" fontId="28" fillId="0" borderId="108" applyBorder="0"/>
    <xf numFmtId="0" fontId="28" fillId="0" borderId="108"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4"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0" fontId="177" fillId="0" borderId="0" applyNumberFormat="0" applyFill="0" applyBorder="0" applyAlignment="0">
      <protection locked="0"/>
    </xf>
    <xf numFmtId="246" fontId="158" fillId="0" borderId="0" applyFont="0" applyFill="0" applyBorder="0" applyAlignment="0" applyProtection="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applyProtection="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0" fontId="178" fillId="96" borderId="14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0" fontId="158"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0" fontId="180" fillId="0" borderId="141"/>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1" fillId="108" borderId="142" applyNumberFormat="0" applyAlignment="0" applyProtection="0"/>
    <xf numFmtId="0" fontId="181" fillId="108" borderId="142" applyNumberFormat="0" applyAlignment="0" applyProtection="0"/>
    <xf numFmtId="0" fontId="182" fillId="0" borderId="0" applyNumberFormat="0" applyFill="0" applyAlignment="0"/>
    <xf numFmtId="0" fontId="183" fillId="0" borderId="143" applyNumberFormat="0" applyFont="0" applyFill="0" applyAlignment="0"/>
    <xf numFmtId="248"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21" fillId="63" borderId="144" applyNumberFormat="0" applyAlignment="0" applyProtection="0"/>
    <xf numFmtId="0" fontId="185" fillId="0" borderId="0" applyNumberFormat="0" applyFill="0" applyBorder="0" applyAlignment="0">
      <alignment horizontal="right"/>
    </xf>
    <xf numFmtId="38" fontId="186"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7" fillId="110"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7"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8" fillId="0" borderId="0" applyFont="0" applyFill="0" applyBorder="0" applyAlignment="0" applyProtection="0"/>
    <xf numFmtId="250" fontId="189" fillId="0" borderId="0"/>
    <xf numFmtId="0" fontId="190" fillId="0" borderId="145"/>
    <xf numFmtId="251" fontId="2" fillId="0" borderId="0"/>
    <xf numFmtId="0" fontId="190" fillId="0" borderId="146"/>
    <xf numFmtId="0" fontId="191" fillId="0" borderId="0" applyNumberForma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81" fillId="108" borderId="147">
      <alignment horizontal="center" vertical="center"/>
    </xf>
    <xf numFmtId="0" fontId="181" fillId="108" borderId="147">
      <alignment horizontal="center" vertical="center"/>
    </xf>
    <xf numFmtId="0" fontId="194" fillId="0" borderId="0" applyProtection="0">
      <alignment horizontal="center"/>
    </xf>
    <xf numFmtId="0" fontId="194"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45" fillId="0" borderId="0" applyNumberFormat="0" applyFill="0" applyBorder="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172" fontId="158" fillId="0" borderId="0">
      <alignment vertical="top"/>
    </xf>
    <xf numFmtId="172" fontId="158" fillId="0" borderId="0">
      <alignment vertical="top"/>
    </xf>
    <xf numFmtId="172" fontId="158" fillId="0" borderId="0">
      <alignment vertical="top"/>
    </xf>
    <xf numFmtId="0" fontId="45" fillId="0" borderId="0" applyNumberFormat="0" applyFill="0" applyBorder="0" applyProtection="0">
      <alignment horizontal="right"/>
    </xf>
    <xf numFmtId="172" fontId="197" fillId="0" borderId="0">
      <alignment horizontal="right"/>
    </xf>
    <xf numFmtId="172" fontId="197" fillId="0" borderId="0">
      <alignment horizontal="right"/>
    </xf>
    <xf numFmtId="172" fontId="197" fillId="0" borderId="0">
      <alignment horizontal="right"/>
    </xf>
    <xf numFmtId="0" fontId="197" fillId="0" borderId="0">
      <alignment horizontal="left"/>
    </xf>
    <xf numFmtId="0" fontId="198" fillId="74" borderId="0" applyNumberFormat="0" applyBorder="0" applyAlignment="0" applyProtection="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2" fillId="72" borderId="0"/>
    <xf numFmtId="0" fontId="199" fillId="0" borderId="1" applyNumberFormat="0" applyFont="0" applyFill="0" applyAlignment="0" applyProtection="0"/>
    <xf numFmtId="0" fontId="199" fillId="0" borderId="148" applyNumberFormat="0" applyFont="0" applyFill="0" applyAlignment="0" applyProtection="0"/>
    <xf numFmtId="0" fontId="147" fillId="0" borderId="108" applyNumberFormat="0" applyFont="0" applyFill="0" applyAlignment="0" applyProtection="0"/>
    <xf numFmtId="0" fontId="147" fillId="0" borderId="108" applyNumberFormat="0" applyFont="0" applyFill="0" applyAlignment="0" applyProtection="0"/>
    <xf numFmtId="0" fontId="147" fillId="0" borderId="70" applyNumberFormat="0" applyFont="0" applyFill="0" applyAlignment="0" applyProtection="0"/>
    <xf numFmtId="0" fontId="147" fillId="0" borderId="70" applyNumberFormat="0" applyFont="0" applyFill="0" applyAlignment="0" applyProtection="0"/>
    <xf numFmtId="0" fontId="147" fillId="0" borderId="70" applyNumberFormat="0" applyFont="0" applyFill="0" applyAlignment="0" applyProtection="0"/>
    <xf numFmtId="0" fontId="147" fillId="0" borderId="68" applyNumberFormat="0" applyFont="0" applyFill="0" applyAlignment="0" applyProtection="0"/>
    <xf numFmtId="0" fontId="147" fillId="0" borderId="68"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0" fontId="29"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21"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6"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0"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7" fontId="8"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8" fontId="200"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4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6"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9" fontId="200"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21"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01" fillId="109" borderId="144" applyNumberFormat="0" applyAlignment="0" applyProtection="0"/>
    <xf numFmtId="0" fontId="143" fillId="8" borderId="32" applyNumberFormat="0" applyAlignment="0" applyProtection="0"/>
    <xf numFmtId="3" fontId="45" fillId="41" borderId="70">
      <protection hidden="1"/>
    </xf>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01" fillId="109" borderId="144" applyNumberFormat="0" applyAlignment="0" applyProtection="0"/>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147" fillId="0" borderId="0" applyFont="0" applyFill="0" applyBorder="0" applyAlignment="0" applyProtection="0"/>
    <xf numFmtId="38" fontId="147" fillId="0" borderId="0" applyFont="0" applyFill="0" applyBorder="0" applyAlignment="0" applyProtection="0"/>
    <xf numFmtId="38" fontId="147" fillId="0" borderId="0" applyFont="0" applyFill="0" applyBorder="0" applyAlignment="0" applyProtection="0"/>
    <xf numFmtId="38" fontId="147"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40" fontId="147" fillId="0" borderId="0" applyFont="0" applyFill="0" applyBorder="0" applyAlignment="0" applyProtection="0"/>
    <xf numFmtId="40" fontId="147"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2" fillId="0" borderId="70" applyBorder="0"/>
    <xf numFmtId="260" fontId="203"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vertical="center"/>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vertical="center"/>
    </xf>
    <xf numFmtId="10" fontId="205" fillId="0" borderId="0">
      <alignment vertical="center"/>
    </xf>
    <xf numFmtId="3" fontId="205"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6" fillId="0" borderId="149"/>
    <xf numFmtId="201" fontId="207" fillId="0" borderId="0" applyFont="0" applyFill="0" applyBorder="0" applyAlignment="0" applyProtection="0"/>
    <xf numFmtId="0" fontId="208" fillId="0" borderId="0"/>
    <xf numFmtId="0" fontId="208" fillId="0" borderId="0"/>
    <xf numFmtId="0" fontId="208" fillId="0" borderId="0"/>
    <xf numFmtId="0" fontId="208" fillId="0" borderId="0"/>
    <xf numFmtId="261" fontId="2" fillId="0" borderId="0"/>
    <xf numFmtId="261" fontId="2" fillId="0" borderId="0"/>
    <xf numFmtId="261" fontId="2" fillId="0" borderId="0"/>
    <xf numFmtId="261" fontId="2" fillId="0" borderId="0"/>
    <xf numFmtId="217" fontId="209" fillId="0" borderId="0">
      <alignment horizontal="right" vertical="center" wrapText="1"/>
    </xf>
    <xf numFmtId="217" fontId="209" fillId="0" borderId="0">
      <alignment horizontal="right" vertical="center" wrapText="1"/>
    </xf>
    <xf numFmtId="217" fontId="209"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44" fontId="8"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38" fontId="210"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1" fillId="0" borderId="0">
      <alignment horizontal="center"/>
      <protection locked="0"/>
    </xf>
    <xf numFmtId="0" fontId="2" fillId="0" borderId="0" applyFont="0" applyFill="0" applyBorder="0" applyAlignment="0" applyProtection="0"/>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0" fillId="0" borderId="0" applyFont="0" applyFill="0" applyBorder="0" applyAlignment="0" applyProtection="0">
      <alignment horizontal="right"/>
    </xf>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3" fontId="160"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0" fillId="0" borderId="0" applyFont="0" applyFill="0" applyBorder="0" applyAlignment="0" applyProtection="0">
      <alignment horizontal="right"/>
    </xf>
    <xf numFmtId="264" fontId="160" fillId="0" borderId="0" applyFont="0" applyFill="0" applyBorder="0" applyAlignment="0" applyProtection="0">
      <alignment horizontal="right"/>
    </xf>
    <xf numFmtId="166"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Alignment="0" applyProtection="0">
      <alignment horizontal="right"/>
    </xf>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21" fontId="146" fillId="0" borderId="0" applyFont="0" applyFill="0" applyBorder="0" applyAlignment="0" applyProtection="0"/>
    <xf numFmtId="221" fontId="146" fillId="0" borderId="0" applyFont="0" applyFill="0" applyBorder="0" applyAlignment="0" applyProtection="0"/>
    <xf numFmtId="3" fontId="207" fillId="0" borderId="133">
      <alignment vertical="center"/>
    </xf>
    <xf numFmtId="39"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3" fontId="207" fillId="0" borderId="133">
      <alignment vertical="center"/>
    </xf>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3" fontId="207" fillId="0" borderId="133">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3" fillId="111" borderId="0" applyBorder="0">
      <alignment horizontal="left"/>
    </xf>
    <xf numFmtId="0" fontId="214" fillId="114" borderId="0" applyNumberFormat="0" applyBorder="0">
      <alignment horizontal="left"/>
    </xf>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3" fontId="207" fillId="0" borderId="133">
      <alignment vertical="center"/>
    </xf>
    <xf numFmtId="0" fontId="29" fillId="73" borderId="150" applyNumberFormat="0" applyFont="0" applyAlignment="0" applyProtection="0"/>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71" fillId="73" borderId="150"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5" fillId="0" borderId="0" applyFill="0" applyBorder="0">
      <alignment horizontal="left"/>
    </xf>
    <xf numFmtId="0" fontId="216"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7" fillId="0" borderId="0" applyNumberFormat="0" applyAlignment="0">
      <alignment horizontal="left"/>
    </xf>
    <xf numFmtId="0" fontId="218" fillId="0" borderId="128" applyNumberFormat="0" applyFill="0" applyBorder="0" applyAlignment="0" applyProtection="0">
      <alignment horizontal="center"/>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8" fillId="0" borderId="128" applyNumberFormat="0" applyFill="0" applyBorder="0" applyAlignment="0" applyProtection="0">
      <alignment horizontal="center"/>
      <protection locked="0"/>
    </xf>
    <xf numFmtId="0" fontId="218" fillId="0" borderId="128" applyNumberFormat="0" applyFill="0" applyBorder="0" applyAlignment="0" applyProtection="0">
      <alignment horizontal="center"/>
      <protection locked="0"/>
    </xf>
    <xf numFmtId="3" fontId="207" fillId="0" borderId="133">
      <alignment vertical="center"/>
    </xf>
    <xf numFmtId="0" fontId="218" fillId="0" borderId="128" applyNumberFormat="0" applyFill="0" applyBorder="0" applyAlignment="0" applyProtection="0">
      <alignment horizontal="center"/>
      <protection locked="0"/>
    </xf>
    <xf numFmtId="0" fontId="218" fillId="0" borderId="128" applyNumberFormat="0" applyFill="0" applyBorder="0" applyAlignment="0" applyProtection="0">
      <alignment horizontal="center"/>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3" fontId="220" fillId="0" borderId="151" applyNumberFormat="0" applyAlignment="0">
      <alignment vertical="center"/>
    </xf>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3" fontId="207" fillId="0" borderId="133">
      <alignment vertical="center"/>
    </xf>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 fillId="0" borderId="0" applyFont="0" applyFill="0" applyBorder="0" applyAlignment="0" applyProtection="0"/>
    <xf numFmtId="265" fontId="221"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7" fillId="0" borderId="133">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21" fontId="8"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3" fontId="207"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0" fillId="0" borderId="0" applyFont="0" applyFill="0" applyBorder="0" applyAlignment="0" applyProtection="0">
      <alignment horizontal="right"/>
    </xf>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267" fontId="160" fillId="0" borderId="0" applyFont="0" applyFill="0" applyBorder="0" applyAlignment="0" applyProtection="0">
      <alignment horizontal="right"/>
    </xf>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3" fontId="207" fillId="0" borderId="133">
      <alignment vertical="center"/>
    </xf>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0" fillId="0" borderId="0" applyFont="0" applyFill="0" applyBorder="0" applyProtection="0"/>
    <xf numFmtId="3" fontId="207" fillId="0" borderId="133">
      <alignment vertical="center"/>
    </xf>
    <xf numFmtId="3" fontId="207" fillId="0" borderId="133">
      <alignment vertical="center"/>
    </xf>
    <xf numFmtId="267" fontId="160" fillId="0" borderId="0" applyFont="0" applyFill="0" applyBorder="0" applyProtection="0"/>
    <xf numFmtId="267" fontId="160" fillId="0" borderId="0" applyFont="0" applyFill="0" applyBorder="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3" fontId="207" fillId="0" borderId="133">
      <alignment vertical="center"/>
    </xf>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7" fillId="0" borderId="133">
      <alignment vertical="center"/>
    </xf>
    <xf numFmtId="3" fontId="207" fillId="0" borderId="133">
      <alignment vertical="center"/>
    </xf>
    <xf numFmtId="268" fontId="222" fillId="0" borderId="0"/>
    <xf numFmtId="0" fontId="2" fillId="0" borderId="0" applyNumberFormat="0" applyFont="0" applyFill="0" applyBorder="0" applyAlignment="0" applyProtection="0"/>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268" fontId="222" fillId="0" borderId="0"/>
    <xf numFmtId="268" fontId="222" fillId="0" borderId="0"/>
    <xf numFmtId="3" fontId="207" fillId="0" borderId="133">
      <alignment vertical="center"/>
    </xf>
    <xf numFmtId="3" fontId="207" fillId="0" borderId="133">
      <alignment vertical="center"/>
    </xf>
    <xf numFmtId="0" fontId="222" fillId="0" borderId="0"/>
    <xf numFmtId="0" fontId="2" fillId="0" borderId="0" applyNumberFormat="0" applyFont="0" applyFill="0" applyBorder="0" applyAlignment="0" applyProtection="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268" fontId="222" fillId="0" borderId="0"/>
    <xf numFmtId="3" fontId="207" fillId="0" borderId="133">
      <alignment vertical="center"/>
    </xf>
    <xf numFmtId="268" fontId="222" fillId="0" borderId="0"/>
    <xf numFmtId="268" fontId="222" fillId="0" borderId="0"/>
    <xf numFmtId="3" fontId="207" fillId="0" borderId="133">
      <alignment vertical="center"/>
    </xf>
    <xf numFmtId="3" fontId="207" fillId="0" borderId="133">
      <alignment vertical="center"/>
    </xf>
    <xf numFmtId="0" fontId="222" fillId="0" borderId="0"/>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268" fontId="222" fillId="0" borderId="0"/>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3" fontId="207" fillId="0" borderId="133">
      <alignment vertical="center"/>
    </xf>
    <xf numFmtId="268" fontId="222" fillId="0" borderId="0"/>
    <xf numFmtId="3" fontId="207" fillId="0" borderId="133">
      <alignment vertical="center"/>
    </xf>
    <xf numFmtId="268" fontId="222" fillId="0" borderId="0"/>
    <xf numFmtId="268" fontId="222" fillId="0" borderId="0"/>
    <xf numFmtId="3" fontId="207" fillId="0" borderId="133">
      <alignment vertical="center"/>
    </xf>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0" fontId="223" fillId="0" borderId="0" applyNumberFormat="0" applyFont="0" applyBorder="0" applyAlignment="0"/>
    <xf numFmtId="0" fontId="223"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2" applyNumberFormat="0" applyFont="0" applyBorder="0" applyAlignment="0" applyProtection="0">
      <alignment horizontal="centerContinuous"/>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2" fillId="0" borderId="0" applyNumberFormat="0" applyFont="0" applyFill="0" applyBorder="0" applyAlignment="0" applyProtection="0"/>
    <xf numFmtId="0" fontId="9" fillId="69" borderId="152" applyNumberFormat="0" applyFont="0" applyBorder="0" applyProtection="0"/>
    <xf numFmtId="3" fontId="207" fillId="0" borderId="133">
      <alignment vertical="center"/>
    </xf>
    <xf numFmtId="0" fontId="2" fillId="0" borderId="0" applyNumberFormat="0" applyFont="0" applyFill="0" applyBorder="0" applyAlignment="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7" fillId="0" borderId="133">
      <alignment vertical="center"/>
    </xf>
    <xf numFmtId="0" fontId="185" fillId="0" borderId="0" applyNumberFormat="0" applyBorder="0" applyAlignment="0">
      <alignment horizontal="center"/>
    </xf>
    <xf numFmtId="0" fontId="185" fillId="117" borderId="0" applyNumberFormat="0" applyBorder="0" applyAlignment="0">
      <alignment horizontal="center"/>
    </xf>
    <xf numFmtId="0" fontId="181" fillId="118" borderId="0" applyNumberFormat="0" applyBorder="0" applyAlignment="0"/>
    <xf numFmtId="0" fontId="224"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14" fontId="226" fillId="0" borderId="0"/>
    <xf numFmtId="271" fontId="209" fillId="0" borderId="0">
      <alignment horizontal="left" vertical="center" wrapText="1"/>
    </xf>
    <xf numFmtId="271" fontId="209" fillId="0" borderId="0">
      <alignment horizontal="left" vertical="center" wrapText="1"/>
    </xf>
    <xf numFmtId="271" fontId="209" fillId="0" borderId="0">
      <alignment horizontal="left" vertical="center" wrapText="1"/>
    </xf>
    <xf numFmtId="17" fontId="209" fillId="0" borderId="0">
      <alignment horizontal="left" vertical="center" wrapText="1"/>
    </xf>
    <xf numFmtId="0" fontId="2" fillId="0" borderId="0" applyNumberFormat="0" applyFont="0" applyFill="0" applyBorder="0" applyAlignment="0" applyProtection="0"/>
    <xf numFmtId="21" fontId="209" fillId="0" borderId="0">
      <alignment horizontal="left" vertical="center" wrapText="1"/>
    </xf>
    <xf numFmtId="19" fontId="209" fillId="0" borderId="0">
      <alignment horizontal="left" vertical="center" wrapText="1"/>
    </xf>
    <xf numFmtId="3" fontId="207" fillId="0" borderId="133">
      <alignment vertical="center"/>
    </xf>
    <xf numFmtId="0" fontId="209" fillId="0" borderId="0">
      <alignment horizontal="left" vertical="center" wrapText="1"/>
    </xf>
    <xf numFmtId="3" fontId="207" fillId="0" borderId="133">
      <alignment vertical="center"/>
    </xf>
    <xf numFmtId="0" fontId="209" fillId="0" borderId="0">
      <alignment horizontal="left" vertical="center" wrapText="1"/>
    </xf>
    <xf numFmtId="19" fontId="209" fillId="0" borderId="0">
      <alignment horizontal="left" vertical="center" wrapText="1"/>
    </xf>
    <xf numFmtId="19" fontId="209" fillId="0" borderId="0">
      <alignment horizontal="left" vertical="center" wrapText="1"/>
    </xf>
    <xf numFmtId="17" fontId="209"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6" fillId="0" borderId="0"/>
    <xf numFmtId="273" fontId="160"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7" fillId="0" borderId="133">
      <alignment vertical="center"/>
    </xf>
    <xf numFmtId="22" fontId="29" fillId="0" borderId="0" applyFill="0" applyBorder="0" applyAlignment="0"/>
    <xf numFmtId="3" fontId="207" fillId="0" borderId="133">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7" fillId="0" borderId="133">
      <alignment vertical="center"/>
    </xf>
    <xf numFmtId="172" fontId="199" fillId="0" borderId="0" applyFont="0" applyFill="0" applyBorder="0" applyProtection="0">
      <alignment horizontal="right"/>
    </xf>
    <xf numFmtId="179" fontId="158"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7"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3" fontId="207" fillId="0" borderId="133">
      <alignment vertical="center"/>
    </xf>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3" fontId="207" fillId="0" borderId="133">
      <alignment vertical="center"/>
    </xf>
    <xf numFmtId="0" fontId="229"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7" fillId="0" borderId="133">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7" fillId="0" borderId="133">
      <alignment vertical="center"/>
    </xf>
    <xf numFmtId="0" fontId="2" fillId="0" borderId="70" applyFill="0" applyProtection="0">
      <alignment horizontal="centerContinuous"/>
    </xf>
    <xf numFmtId="0" fontId="2" fillId="0" borderId="70" applyFill="0" applyProtection="0">
      <alignment horizontal="centerContinuous"/>
    </xf>
    <xf numFmtId="3" fontId="207" fillId="0" borderId="133">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230"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230"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31" fillId="121"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9" fontId="232"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0" fillId="0" borderId="15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3" fillId="1" borderId="0" applyNumberFormat="0" applyBorder="0" applyAlignment="0" applyProtection="0"/>
    <xf numFmtId="0" fontId="10" fillId="0" borderId="0"/>
    <xf numFmtId="0" fontId="10" fillId="0" borderId="0"/>
    <xf numFmtId="0" fontId="10" fillId="0" borderId="0"/>
    <xf numFmtId="0" fontId="10" fillId="0" borderId="0"/>
    <xf numFmtId="0"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17" fontId="235" fillId="117" borderId="103"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36" fillId="0" borderId="136" applyNumberFormat="0" applyAlignment="0">
      <protection locked="0"/>
    </xf>
    <xf numFmtId="0" fontId="49" fillId="42" borderId="144" applyNumberFormat="0" applyAlignment="0" applyProtection="0"/>
    <xf numFmtId="0" fontId="10" fillId="0" borderId="0"/>
    <xf numFmtId="0" fontId="10" fillId="0" borderId="0"/>
    <xf numFmtId="0" fontId="49" fillId="42" borderId="144" applyNumberFormat="0" applyAlignment="0" applyProtection="0"/>
    <xf numFmtId="0" fontId="49" fillId="42" borderId="144" applyNumberFormat="0" applyAlignment="0" applyProtection="0"/>
    <xf numFmtId="0" fontId="49" fillId="42" borderId="144" applyNumberFormat="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216"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3"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85" fontId="237" fillId="0" borderId="0">
      <alignment horizontal="right" vertical="top"/>
    </xf>
    <xf numFmtId="286" fontId="238" fillId="0" borderId="0" applyBorder="0">
      <alignment horizontal="right" vertical="top"/>
    </xf>
    <xf numFmtId="286" fontId="238" fillId="0" borderId="0" applyBorder="0">
      <alignment horizontal="right" vertical="top"/>
    </xf>
    <xf numFmtId="3" fontId="207" fillId="0" borderId="133">
      <alignment vertical="center"/>
    </xf>
    <xf numFmtId="287" fontId="20" fillId="0" borderId="0">
      <alignment horizontal="right" vertical="top"/>
    </xf>
    <xf numFmtId="288" fontId="153" fillId="0" borderId="0" applyBorder="0">
      <alignment horizontal="right" vertical="top"/>
    </xf>
    <xf numFmtId="288" fontId="153" fillId="0" borderId="0" applyBorder="0">
      <alignment horizontal="right" vertical="top"/>
    </xf>
    <xf numFmtId="3" fontId="207" fillId="0" borderId="133">
      <alignment vertical="center"/>
    </xf>
    <xf numFmtId="287" fontId="237" fillId="0" borderId="0">
      <alignment horizontal="right" vertical="top"/>
    </xf>
    <xf numFmtId="288" fontId="238" fillId="0" borderId="0" applyBorder="0">
      <alignment horizontal="right" vertical="top"/>
    </xf>
    <xf numFmtId="288" fontId="238" fillId="0" borderId="0" applyBorder="0">
      <alignment horizontal="right" vertical="top"/>
    </xf>
    <xf numFmtId="3" fontId="207" fillId="0" borderId="133">
      <alignment vertical="center"/>
    </xf>
    <xf numFmtId="289" fontId="20" fillId="0" borderId="0" applyFill="0" applyBorder="0">
      <alignment horizontal="right" vertical="top"/>
    </xf>
    <xf numFmtId="290" fontId="20" fillId="0" borderId="0" applyFill="0" applyBorder="0">
      <alignment horizontal="right" vertical="top"/>
    </xf>
    <xf numFmtId="212" fontId="153" fillId="0" borderId="0" applyFill="0" applyBorder="0">
      <alignment horizontal="right" vertical="top"/>
    </xf>
    <xf numFmtId="212" fontId="153" fillId="0" borderId="0" applyFill="0" applyBorder="0">
      <alignment horizontal="right" vertical="top"/>
    </xf>
    <xf numFmtId="3" fontId="207" fillId="0" borderId="133">
      <alignment vertical="center"/>
    </xf>
    <xf numFmtId="291" fontId="20" fillId="0" borderId="0" applyFill="0" applyBorder="0">
      <alignment horizontal="right" vertical="top"/>
    </xf>
    <xf numFmtId="292" fontId="153" fillId="0" borderId="0" applyFill="0" applyBorder="0">
      <alignment horizontal="right" vertical="top"/>
    </xf>
    <xf numFmtId="292" fontId="153" fillId="0" borderId="0" applyFill="0" applyBorder="0">
      <alignment horizontal="right" vertical="top"/>
    </xf>
    <xf numFmtId="3" fontId="207" fillId="0" borderId="133">
      <alignment vertical="center"/>
    </xf>
    <xf numFmtId="293" fontId="20" fillId="0" borderId="0" applyFill="0" applyBorder="0">
      <alignment horizontal="right" vertical="top"/>
    </xf>
    <xf numFmtId="294" fontId="153" fillId="0" borderId="0" applyFill="0" applyBorder="0">
      <alignment horizontal="right" vertical="top"/>
    </xf>
    <xf numFmtId="294" fontId="153" fillId="0" borderId="0" applyFill="0" applyBorder="0">
      <alignment horizontal="right" vertical="top"/>
    </xf>
    <xf numFmtId="3" fontId="207" fillId="0" borderId="133">
      <alignment vertical="center"/>
    </xf>
    <xf numFmtId="295" fontId="20" fillId="0" borderId="0" applyFill="0" applyBorder="0">
      <alignment horizontal="right" vertical="top"/>
    </xf>
    <xf numFmtId="296" fontId="153" fillId="0" borderId="0" applyFill="0" applyBorder="0">
      <alignment horizontal="right" vertical="top"/>
    </xf>
    <xf numFmtId="296" fontId="153" fillId="0" borderId="0" applyFill="0" applyBorder="0">
      <alignment horizontal="right" vertical="top"/>
    </xf>
    <xf numFmtId="3" fontId="207" fillId="0" borderId="133">
      <alignment vertical="center"/>
    </xf>
    <xf numFmtId="0" fontId="239" fillId="0" borderId="0">
      <alignment horizontal="left"/>
    </xf>
    <xf numFmtId="0" fontId="240" fillId="0" borderId="0">
      <alignment horizontal="center" wrapText="1"/>
    </xf>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154">
      <alignment horizontal="right" wrapText="1"/>
    </xf>
    <xf numFmtId="0" fontId="239" fillId="0" borderId="154">
      <alignment horizontal="right" wrapText="1"/>
    </xf>
    <xf numFmtId="0" fontId="239" fillId="0" borderId="154">
      <alignment horizontal="right" wrapText="1"/>
    </xf>
    <xf numFmtId="0" fontId="2" fillId="0" borderId="0" applyNumberFormat="0" applyFont="0" applyFill="0" applyBorder="0" applyAlignment="0" applyProtection="0"/>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154">
      <alignment horizontal="right" wrapText="1"/>
    </xf>
    <xf numFmtId="0" fontId="239" fillId="0" borderId="154">
      <alignment horizontal="right" wrapText="1"/>
    </xf>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97" fontId="241" fillId="0" borderId="154">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1" fillId="0" borderId="154">
      <alignment horizontal="right"/>
    </xf>
    <xf numFmtId="297" fontId="241" fillId="0" borderId="154">
      <alignment horizontal="right"/>
    </xf>
    <xf numFmtId="297" fontId="241" fillId="0" borderId="154">
      <alignment horizontal="right"/>
    </xf>
    <xf numFmtId="0" fontId="2" fillId="0" borderId="0" applyNumberFormat="0" applyFont="0" applyFill="0" applyBorder="0" applyAlignment="0" applyProtection="0"/>
    <xf numFmtId="0" fontId="242" fillId="0" borderId="0">
      <alignment vertical="center"/>
    </xf>
    <xf numFmtId="298" fontId="242" fillId="0" borderId="0">
      <alignment horizontal="left" vertical="center"/>
    </xf>
    <xf numFmtId="299" fontId="243" fillId="0" borderId="0">
      <alignment vertical="center"/>
    </xf>
    <xf numFmtId="0" fontId="42" fillId="0" borderId="0">
      <alignment vertical="center"/>
    </xf>
    <xf numFmtId="297" fontId="241" fillId="0" borderId="15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1" fillId="0" borderId="154">
      <alignment horizontal="left"/>
    </xf>
    <xf numFmtId="297" fontId="241" fillId="0" borderId="154">
      <alignment horizontal="left"/>
    </xf>
    <xf numFmtId="0" fontId="2" fillId="0" borderId="0" applyNumberFormat="0" applyFont="0" applyFill="0" applyBorder="0" applyAlignment="0" applyProtection="0"/>
    <xf numFmtId="297" fontId="215" fillId="0" borderId="0" applyFill="0" applyBorder="0">
      <alignment vertical="top"/>
    </xf>
    <xf numFmtId="297" fontId="226" fillId="0" borderId="0" applyFill="0" applyBorder="0" applyProtection="0">
      <alignment vertical="top"/>
    </xf>
    <xf numFmtId="297" fontId="244" fillId="0" borderId="0">
      <alignment vertical="top"/>
    </xf>
    <xf numFmtId="297" fontId="153" fillId="0" borderId="0">
      <alignment horizontal="center"/>
    </xf>
    <xf numFmtId="297" fontId="245" fillId="0" borderId="15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5" fillId="0" borderId="154">
      <alignment horizontal="center"/>
    </xf>
    <xf numFmtId="297" fontId="245" fillId="0" borderId="154">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196" fontId="153"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196" fontId="153"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8" fillId="0" borderId="0"/>
    <xf numFmtId="297" fontId="24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7" fillId="0" borderId="133">
      <alignment vertical="center"/>
    </xf>
    <xf numFmtId="297" fontId="247"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3" fillId="0" borderId="0" applyFill="0" applyBorder="0">
      <alignment horizontal="left" vertical="top" wrapText="1"/>
    </xf>
    <xf numFmtId="0" fontId="153" fillId="0" borderId="0" applyFill="0" applyBorder="0">
      <alignment horizontal="left" vertical="top" wrapText="1"/>
    </xf>
    <xf numFmtId="3" fontId="207" fillId="0" borderId="133">
      <alignment vertical="center"/>
    </xf>
    <xf numFmtId="0" fontId="248" fillId="0" borderId="0">
      <alignment horizontal="left" vertical="top" wrapText="1"/>
    </xf>
    <xf numFmtId="0" fontId="249" fillId="0" borderId="0">
      <alignment horizontal="left" vertical="top" wrapText="1"/>
    </xf>
    <xf numFmtId="0" fontId="238" fillId="0" borderId="0">
      <alignment horizontal="left" vertical="top" wrapText="1"/>
    </xf>
    <xf numFmtId="3" fontId="250" fillId="85" borderId="70">
      <alignment horizontal="centerContinuous"/>
    </xf>
    <xf numFmtId="0" fontId="163" fillId="0" borderId="63" applyNumberFormat="0" applyFill="0" applyBorder="0" applyAlignment="0"/>
    <xf numFmtId="300" fontId="251" fillId="0" borderId="0"/>
    <xf numFmtId="0" fontId="2" fillId="0" borderId="0" applyNumberFormat="0" applyFont="0" applyFill="0" applyBorder="0" applyAlignment="0" applyProtection="0"/>
    <xf numFmtId="0" fontId="10" fillId="0" borderId="0"/>
    <xf numFmtId="38" fontId="199" fillId="0" borderId="0"/>
    <xf numFmtId="301" fontId="252"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7" fillId="0" borderId="133">
      <alignment vertical="center"/>
    </xf>
    <xf numFmtId="0" fontId="10" fillId="0" borderId="0"/>
    <xf numFmtId="0" fontId="253" fillId="0" borderId="0" applyFill="0" applyBorder="0" applyProtection="0">
      <alignment horizontal="left"/>
    </xf>
    <xf numFmtId="0" fontId="254" fillId="68" borderId="0"/>
    <xf numFmtId="37" fontId="255" fillId="68" borderId="0" applyNumberFormat="0" applyBorder="0" applyAlignment="0" applyProtection="0"/>
    <xf numFmtId="295" fontId="255" fillId="68" borderId="0" applyNumberFormat="0" applyBorder="0" applyAlignment="0" applyProtection="0"/>
    <xf numFmtId="3" fontId="207" fillId="0" borderId="133">
      <alignment vertical="center"/>
    </xf>
    <xf numFmtId="0" fontId="256"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7"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03" fontId="2" fillId="0" borderId="0" applyFont="0" applyFill="0" applyBorder="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57" fillId="0" borderId="0">
      <alignment horizontal="centerContinuous" vertical="center"/>
    </xf>
    <xf numFmtId="304" fontId="2" fillId="0" borderId="0" applyFont="0" applyFill="0" applyBorder="0" applyAlignment="0" applyProtection="0"/>
    <xf numFmtId="0" fontId="216" fillId="115" borderId="0">
      <alignment horizontal="left"/>
    </xf>
    <xf numFmtId="1" fontId="258" fillId="0" borderId="156">
      <alignment horizontal="left"/>
    </xf>
    <xf numFmtId="248" fontId="259"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1" fillId="123" borderId="0" applyNumberFormat="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39" fontId="171" fillId="123" borderId="0" applyNumberFormat="0" applyBorder="0" applyAlignment="0" applyProtection="0"/>
    <xf numFmtId="0" fontId="2" fillId="0" borderId="0" applyNumberFormat="0" applyFont="0" applyFill="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71"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45" fillId="113" borderId="126"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6" applyAlignment="0" applyProtection="0"/>
    <xf numFmtId="0" fontId="45" fillId="113" borderId="126" applyAlignment="0" applyProtection="0"/>
    <xf numFmtId="0" fontId="2" fillId="0" borderId="0" applyNumberFormat="0" applyFont="0" applyFill="0" applyBorder="0" applyAlignment="0" applyProtection="0"/>
    <xf numFmtId="0" fontId="2" fillId="68" borderId="124"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7" fillId="0" borderId="133">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45" fillId="68" borderId="136"/>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5" fillId="111" borderId="0" applyBorder="0" applyAlignment="0"/>
    <xf numFmtId="306" fontId="160"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41" fillId="126" borderId="125" applyNumberFormat="0" applyFont="0" applyBorder="0" applyAlignment="0">
      <alignment horizontal="centerContinuous"/>
    </xf>
    <xf numFmtId="0" fontId="260" fillId="0" borderId="0" applyProtection="0">
      <alignment horizontal="right"/>
    </xf>
    <xf numFmtId="0" fontId="260" fillId="0" borderId="0" applyProtection="0">
      <alignment horizontal="right"/>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260"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7" fillId="0" borderId="126">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61"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2" fillId="0" borderId="157" applyNumberFormat="0" applyFill="0" applyAlignment="0" applyProtection="0"/>
    <xf numFmtId="0" fontId="262" fillId="0" borderId="157" applyNumberFormat="0" applyFill="0" applyAlignment="0" applyProtection="0"/>
    <xf numFmtId="0" fontId="262" fillId="0" borderId="157"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10" fillId="0" borderId="0"/>
    <xf numFmtId="0" fontId="10" fillId="0" borderId="0"/>
    <xf numFmtId="0" fontId="10" fillId="0" borderId="0"/>
    <xf numFmtId="0" fontId="10" fillId="0" borderId="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3"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0"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33"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1"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4" applyFont="0" applyProtection="0">
      <alignment horizontal="right"/>
    </xf>
    <xf numFmtId="0" fontId="10" fillId="0" borderId="0"/>
    <xf numFmtId="3" fontId="2" fillId="70" borderId="124" applyFont="0" applyProtection="0">
      <alignment horizontal="right"/>
    </xf>
    <xf numFmtId="0" fontId="2" fillId="0" borderId="0" applyNumberFormat="0" applyFont="0" applyFill="0" applyBorder="0" applyAlignment="0" applyProtection="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70" borderId="124" applyFont="0" applyProtection="0">
      <alignment horizontal="right"/>
    </xf>
    <xf numFmtId="0" fontId="10" fillId="0" borderId="0"/>
    <xf numFmtId="10" fontId="2" fillId="70" borderId="124" applyFont="0" applyProtection="0">
      <alignment horizontal="right"/>
    </xf>
    <xf numFmtId="0" fontId="2" fillId="0" borderId="0" applyNumberFormat="0" applyFont="0" applyFill="0" applyBorder="0" applyAlignment="0" applyProtection="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0" borderId="124" applyFont="0" applyProtection="0">
      <alignment horizontal="right"/>
    </xf>
    <xf numFmtId="0" fontId="10" fillId="0" borderId="0"/>
    <xf numFmtId="9" fontId="2" fillId="70" borderId="124" applyFont="0" applyProtection="0">
      <alignment horizontal="right"/>
    </xf>
    <xf numFmtId="0" fontId="2" fillId="0" borderId="0" applyNumberFormat="0" applyFont="0" applyFill="0" applyBorder="0" applyAlignment="0" applyProtection="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70" borderId="125"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5" applyNumberFormat="0" applyFont="0" applyBorder="0" applyAlignment="0" applyProtection="0">
      <alignment horizontal="left"/>
    </xf>
    <xf numFmtId="0" fontId="2" fillId="0" borderId="0" applyNumberFormat="0" applyFont="0" applyFill="0" applyBorder="0" applyAlignment="0" applyProtection="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7" fillId="0" borderId="133">
      <alignment vertical="center"/>
    </xf>
    <xf numFmtId="0" fontId="2" fillId="0" borderId="0" applyNumberFormat="0" applyFont="0" applyFill="0" applyBorder="0" applyAlignment="0" applyProtection="0"/>
    <xf numFmtId="0" fontId="10" fillId="0" borderId="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7" fontId="255" fillId="0" borderId="0" applyNumberFormat="0" applyBorder="0" applyAlignment="0" applyProtection="0"/>
    <xf numFmtId="295" fontId="255" fillId="0" borderId="0" applyNumberFormat="0" applyBorder="0" applyAlignment="0" applyProtection="0"/>
    <xf numFmtId="3" fontId="207" fillId="0" borderId="133">
      <alignment vertical="center"/>
    </xf>
    <xf numFmtId="37" fontId="45" fillId="0" borderId="0"/>
    <xf numFmtId="295" fontId="45" fillId="0" borderId="0"/>
    <xf numFmtId="3" fontId="207" fillId="0" borderId="133">
      <alignment vertical="center"/>
    </xf>
    <xf numFmtId="0" fontId="267"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8" fontId="268"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4" applyNumberFormat="0" applyBorder="0" applyAlignment="0" applyProtection="0"/>
    <xf numFmtId="0" fontId="10" fillId="0" borderId="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10" fillId="0" borderId="0"/>
    <xf numFmtId="0" fontId="10" fillId="0" borderId="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269" fillId="0" borderId="76">
      <protection locked="0"/>
    </xf>
    <xf numFmtId="0" fontId="269" fillId="0" borderId="76">
      <protection locked="0"/>
    </xf>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69" fillId="88" borderId="160">
      <alignment horizontal="right" vertical="center"/>
      <protection locked="0"/>
    </xf>
    <xf numFmtId="310" fontId="269" fillId="88" borderId="160">
      <alignment horizontal="right" vertical="center"/>
      <protection locked="0"/>
    </xf>
    <xf numFmtId="310" fontId="269" fillId="88" borderId="160">
      <alignment horizontal="right" vertical="center"/>
      <protection locked="0"/>
    </xf>
    <xf numFmtId="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 fontId="231"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7" fillId="0" borderId="133">
      <alignment vertical="center"/>
    </xf>
    <xf numFmtId="311" fontId="2" fillId="71" borderId="124" applyFont="0" applyAlignment="0">
      <protection locked="0"/>
    </xf>
    <xf numFmtId="0" fontId="10" fillId="0" borderId="0"/>
    <xf numFmtId="311" fontId="2" fillId="71" borderId="124" applyFont="0" applyAlignment="0">
      <protection locked="0"/>
    </xf>
    <xf numFmtId="0" fontId="2" fillId="0" borderId="0" applyNumberFormat="0" applyFont="0" applyFill="0" applyBorder="0" applyAlignment="0" applyProtection="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7" fillId="0" borderId="133">
      <alignment vertical="center"/>
    </xf>
    <xf numFmtId="0" fontId="2" fillId="0" borderId="0" applyNumberFormat="0" applyFont="0" applyFill="0" applyBorder="0" applyAlignment="0" applyProtection="0"/>
    <xf numFmtId="0" fontId="10" fillId="0" borderId="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 fillId="71" borderId="124" applyFont="0">
      <alignment horizontal="right"/>
      <protection locked="0"/>
    </xf>
    <xf numFmtId="0" fontId="10" fillId="0" borderId="0"/>
    <xf numFmtId="3"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71" borderId="124" applyFont="0">
      <alignment horizontal="right"/>
      <protection locked="0"/>
    </xf>
    <xf numFmtId="0" fontId="10" fillId="0" borderId="0"/>
    <xf numFmtId="260" fontId="2" fillId="71" borderId="124" applyFont="0">
      <alignment horizontal="right"/>
      <protection locked="0"/>
    </xf>
    <xf numFmtId="0" fontId="2" fillId="0" borderId="0" applyNumberFormat="0" applyFont="0" applyFill="0" applyBorder="0" applyAlignment="0" applyProtection="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10" fontId="2" fillId="71" borderId="124" applyFont="0">
      <alignment horizontal="right"/>
      <protection locked="0"/>
    </xf>
    <xf numFmtId="0" fontId="10" fillId="0" borderId="0"/>
    <xf numFmtId="10" fontId="2" fillId="71" borderId="124" applyFont="0">
      <alignment horizontal="right"/>
      <protection locked="0"/>
    </xf>
    <xf numFmtId="0" fontId="2" fillId="0" borderId="0" applyNumberFormat="0" applyFont="0" applyFill="0" applyBorder="0" applyAlignment="0" applyProtection="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1" borderId="128"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8"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71" borderId="124" applyFont="0">
      <alignment horizontal="center" wrapText="1"/>
      <protection locked="0"/>
    </xf>
    <xf numFmtId="0" fontId="10" fillId="0" borderId="0"/>
    <xf numFmtId="0" fontId="2" fillId="71" borderId="124" applyFont="0">
      <alignment horizontal="center" wrapText="1"/>
      <protection locked="0"/>
    </xf>
    <xf numFmtId="0" fontId="2" fillId="0" borderId="0" applyNumberFormat="0" applyFont="0" applyFill="0" applyBorder="0" applyAlignment="0" applyProtection="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71" borderId="124" applyFont="0" applyAlignment="0">
      <protection locked="0"/>
    </xf>
    <xf numFmtId="0" fontId="10" fillId="0" borderId="0"/>
    <xf numFmtId="0" fontId="10" fillId="0" borderId="0"/>
    <xf numFmtId="3" fontId="207" fillId="0" borderId="133">
      <alignment vertical="center"/>
    </xf>
    <xf numFmtId="0" fontId="10" fillId="0" borderId="0"/>
    <xf numFmtId="0" fontId="10" fillId="0" borderId="0"/>
    <xf numFmtId="49" fontId="2" fillId="71" borderId="124" applyFont="0" applyAlignment="0">
      <protection locked="0"/>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8" fontId="258" fillId="0" borderId="0" applyNumberFormat="0" applyFill="0" applyBorder="0" applyAlignment="0" applyProtection="0"/>
    <xf numFmtId="0" fontId="2" fillId="0" borderId="0" applyNumberFormat="0" applyFont="0" applyFill="0" applyBorder="0" applyAlignment="0" applyProtection="0"/>
    <xf numFmtId="0" fontId="182"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81" fillId="53" borderId="0" applyNumberFormat="0" applyBorder="0" applyProtection="0">
      <alignment horizontal="center"/>
    </xf>
    <xf numFmtId="314" fontId="271"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15" fontId="2" fillId="0" borderId="0" applyFont="0" applyFill="0" applyBorder="0" applyAlignment="0" applyProtection="0"/>
    <xf numFmtId="316" fontId="27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7" fontId="158"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17" fontId="226" fillId="96" borderId="161"/>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6"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2" fillId="0" borderId="0" applyNumberFormat="0" applyFill="0" applyBorder="0">
      <alignment horizontal="right"/>
    </xf>
    <xf numFmtId="0" fontId="273" fillId="0" borderId="0">
      <protection locked="0"/>
    </xf>
    <xf numFmtId="0" fontId="10" fillId="0" borderId="0"/>
    <xf numFmtId="38" fontId="199"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7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0" fontId="255"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43" fontId="37" fillId="68" borderId="0" applyNumberFormat="0" applyFont="0" applyBorder="0" applyAlignment="0"/>
    <xf numFmtId="0" fontId="2" fillId="68" borderId="0"/>
    <xf numFmtId="319"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58"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pplyAlignment="0" applyProtection="0"/>
    <xf numFmtId="0" fontId="276" fillId="0" borderId="0" applyNumberFormat="0" applyFill="0" applyBorder="0" applyAlignment="0" applyProtection="0"/>
    <xf numFmtId="0" fontId="277" fillId="0" borderId="0" applyNumberFormat="0" applyFill="0" applyBorder="0" applyAlignment="0" applyProtection="0"/>
    <xf numFmtId="17" fontId="278" fillId="0" borderId="134" applyAlignment="0" applyProtection="0">
      <alignment horizontal="centerContinuous"/>
    </xf>
    <xf numFmtId="19" fontId="278" fillId="0" borderId="134" applyAlignment="0" applyProtection="0">
      <alignment horizontal="centerContinuous"/>
    </xf>
    <xf numFmtId="3" fontId="207" fillId="0" borderId="133">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7" fillId="0" borderId="133">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6" fillId="115" borderId="0">
      <alignment horizontal="left"/>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0" fontId="10" fillId="0" borderId="0"/>
    <xf numFmtId="2" fontId="231" fillId="107" borderId="124"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8"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5" applyNumberFormat="0" applyFill="0" applyBorder="0" applyAlignment="0"/>
    <xf numFmtId="17" fontId="45" fillId="131" borderId="135" applyNumberFormat="0" applyFill="0" applyBorder="0" applyAlignment="0"/>
    <xf numFmtId="3" fontId="207" fillId="0" borderId="133">
      <alignment vertical="center"/>
    </xf>
    <xf numFmtId="3" fontId="207" fillId="0" borderId="133">
      <alignment vertical="center"/>
    </xf>
    <xf numFmtId="0" fontId="223" fillId="0" borderId="0" applyNumberFormat="0" applyFont="0" applyBorder="0" applyAlignment="0"/>
    <xf numFmtId="0" fontId="223"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24" fontId="209" fillId="0" borderId="0">
      <alignment horizontal="right" vertical="center" wrapText="1"/>
    </xf>
    <xf numFmtId="325" fontId="209"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09"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79" fillId="72" borderId="0" applyNumberFormat="0" applyBorder="0" applyAlignment="0" applyProtection="0"/>
    <xf numFmtId="0" fontId="279" fillId="72" borderId="0" applyNumberFormat="0" applyBorder="0" applyAlignment="0" applyProtection="0"/>
    <xf numFmtId="0" fontId="279"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7" fontId="280" fillId="0" borderId="0"/>
    <xf numFmtId="295" fontId="28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235" fillId="69" borderId="124"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0"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8"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7" fillId="0" borderId="133">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7" fontId="199"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81" fillId="104" borderId="127">
      <alignment horizontal="center" vertical="top" wrapText="1"/>
    </xf>
    <xf numFmtId="0" fontId="281" fillId="104" borderId="127">
      <alignment horizontal="center" vertical="top" wrapText="1"/>
    </xf>
    <xf numFmtId="0" fontId="281" fillId="104" borderId="127">
      <alignment horizontal="center" vertical="top" wrapText="1"/>
    </xf>
    <xf numFmtId="0" fontId="281" fillId="104"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xf numFmtId="0" fontId="45" fillId="70" borderId="125"/>
    <xf numFmtId="0" fontId="45" fillId="70" borderId="125"/>
    <xf numFmtId="0" fontId="45" fillId="7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3"/>
    <xf numFmtId="0" fontId="45" fillId="0" borderId="103"/>
    <xf numFmtId="0" fontId="45"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7">
      <alignment horizontal="center" vertical="top"/>
    </xf>
    <xf numFmtId="0" fontId="281" fillId="132" borderId="127">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5"/>
    <xf numFmtId="0" fontId="45" fillId="0" borderId="125"/>
    <xf numFmtId="0" fontId="45" fillId="0" borderId="125"/>
    <xf numFmtId="0" fontId="45"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xf numFmtId="0" fontId="2" fillId="0" borderId="127"/>
    <xf numFmtId="0" fontId="2" fillId="0" borderId="127"/>
    <xf numFmtId="0" fontId="2" fillId="0" borderId="127"/>
    <xf numFmtId="0" fontId="2"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70" borderId="128"/>
    <xf numFmtId="0" fontId="282"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7">
      <alignment horizontal="center" vertical="top" wrapText="1"/>
    </xf>
    <xf numFmtId="0" fontId="281" fillId="132" borderId="127">
      <alignment horizontal="center" vertical="top" wrapText="1"/>
    </xf>
    <xf numFmtId="0" fontId="281" fillId="132" borderId="127">
      <alignment horizontal="center" vertical="top" wrapText="1"/>
    </xf>
    <xf numFmtId="0" fontId="281" fillId="132"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6"/>
    <xf numFmtId="3" fontId="2" fillId="0" borderId="126"/>
    <xf numFmtId="3" fontId="2" fillId="0" borderId="126"/>
    <xf numFmtId="3"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45" fillId="70" borderId="127">
      <alignment horizontal="center"/>
    </xf>
    <xf numFmtId="0" fontId="45" fillId="70" borderId="127">
      <alignment horizontal="center"/>
    </xf>
    <xf numFmtId="0" fontId="45" fillId="70" borderId="127">
      <alignment horizontal="center"/>
    </xf>
    <xf numFmtId="0" fontId="45" fillId="70" borderId="12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3">
      <alignment horizontal="left" vertical="top"/>
    </xf>
    <xf numFmtId="0" fontId="45" fillId="70" borderId="103">
      <alignment horizontal="left" vertical="top"/>
    </xf>
    <xf numFmtId="0" fontId="45" fillId="70" borderId="103">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6">
      <alignment horizontal="center" vertical="center"/>
    </xf>
    <xf numFmtId="0" fontId="281" fillId="132" borderId="126">
      <alignment horizontal="center" vertical="center"/>
    </xf>
    <xf numFmtId="0" fontId="2" fillId="0" borderId="0" applyNumberFormat="0" applyFont="0" applyFill="0" applyBorder="0" applyAlignment="0" applyProtection="0"/>
    <xf numFmtId="0" fontId="281" fillId="132" borderId="127">
      <alignment horizontal="center" vertical="center"/>
    </xf>
    <xf numFmtId="0" fontId="281" fillId="132" borderId="127">
      <alignment horizontal="center" vertical="center"/>
    </xf>
    <xf numFmtId="0" fontId="281" fillId="132" borderId="127">
      <alignment horizontal="center" vertical="center"/>
    </xf>
    <xf numFmtId="0" fontId="281" fillId="132" borderId="127">
      <alignment horizontal="center" vertical="center"/>
    </xf>
    <xf numFmtId="0" fontId="2" fillId="0" borderId="0" applyNumberFormat="0" applyFont="0" applyFill="0" applyBorder="0" applyAlignment="0" applyProtection="0"/>
    <xf numFmtId="0" fontId="281" fillId="104" borderId="125">
      <alignment horizontal="center" vertical="center"/>
    </xf>
    <xf numFmtId="0" fontId="281" fillId="104" borderId="125">
      <alignment horizontal="center" vertical="center"/>
    </xf>
    <xf numFmtId="0" fontId="281" fillId="104" borderId="125">
      <alignment horizontal="center" vertical="center"/>
    </xf>
    <xf numFmtId="0" fontId="281"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04" borderId="126">
      <alignment horizontal="center" vertical="center"/>
    </xf>
    <xf numFmtId="0" fontId="281" fillId="104" borderId="126">
      <alignment horizontal="center" vertical="center"/>
    </xf>
    <xf numFmtId="0" fontId="2" fillId="0" borderId="0" applyNumberFormat="0" applyFont="0" applyFill="0" applyBorder="0" applyAlignment="0" applyProtection="0"/>
    <xf numFmtId="0" fontId="281" fillId="104" borderId="127">
      <alignment horizontal="center" vertical="center"/>
    </xf>
    <xf numFmtId="0" fontId="281" fillId="104" borderId="127">
      <alignment horizontal="center" vertical="center"/>
    </xf>
    <xf numFmtId="0" fontId="281" fillId="104" borderId="127">
      <alignment horizontal="center" vertical="center"/>
    </xf>
    <xf numFmtId="0" fontId="281" fillId="104" borderId="127">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xf numFmtId="0" fontId="2"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3"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84"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3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235" fillId="0" borderId="76" applyNumberFormat="0" applyBorder="0" applyAlignment="0" applyProtection="0">
      <alignment horizontal="right"/>
      <protection locked="0"/>
    </xf>
    <xf numFmtId="0" fontId="183" fillId="133" borderId="0" applyNumberFormat="0" applyFont="0" applyBorder="0" applyAlignment="0"/>
    <xf numFmtId="0" fontId="2" fillId="0" borderId="0" applyNumberFormat="0" applyFont="0" applyFill="0" applyBorder="0" applyAlignment="0" applyProtection="0"/>
    <xf numFmtId="3" fontId="2" fillId="74" borderId="124">
      <alignment horizontal="right"/>
      <protection locked="0"/>
    </xf>
    <xf numFmtId="0" fontId="10" fillId="0" borderId="0"/>
    <xf numFmtId="3" fontId="2" fillId="74" borderId="124">
      <alignment horizontal="right"/>
      <protection locked="0"/>
    </xf>
    <xf numFmtId="0" fontId="2" fillId="0" borderId="0" applyNumberFormat="0" applyFont="0" applyFill="0" applyBorder="0" applyAlignment="0" applyProtection="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74" borderId="124">
      <alignment horizontal="right"/>
      <protection locked="0"/>
    </xf>
    <xf numFmtId="0" fontId="10" fillId="0" borderId="0"/>
    <xf numFmtId="260" fontId="2" fillId="74" borderId="124">
      <alignment horizontal="right"/>
      <protection locked="0"/>
    </xf>
    <xf numFmtId="0" fontId="2" fillId="0" borderId="0" applyNumberFormat="0" applyFont="0" applyFill="0" applyBorder="0" applyAlignment="0" applyProtection="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74" borderId="124" applyFont="0">
      <alignment horizontal="right"/>
      <protection locked="0"/>
    </xf>
    <xf numFmtId="0" fontId="10" fillId="0" borderId="0"/>
    <xf numFmtId="10" fontId="2" fillId="74" borderId="124" applyFont="0">
      <alignment horizontal="right"/>
      <protection locked="0"/>
    </xf>
    <xf numFmtId="0" fontId="2" fillId="0" borderId="0" applyNumberFormat="0" applyFont="0" applyFill="0" applyBorder="0" applyAlignment="0" applyProtection="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4" borderId="124">
      <alignment horizontal="right"/>
      <protection locked="0"/>
    </xf>
    <xf numFmtId="0" fontId="10" fillId="0" borderId="0"/>
    <xf numFmtId="9" fontId="2" fillId="74" borderId="124">
      <alignment horizontal="right"/>
      <protection locked="0"/>
    </xf>
    <xf numFmtId="0" fontId="2" fillId="0" borderId="0" applyNumberFormat="0" applyFont="0" applyFill="0" applyBorder="0" applyAlignment="0" applyProtection="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74" borderId="124">
      <alignment horizontal="center" wrapText="1"/>
    </xf>
    <xf numFmtId="0" fontId="10" fillId="0" borderId="0"/>
    <xf numFmtId="0" fontId="2" fillId="74" borderId="124">
      <alignment horizontal="center" wrapText="1"/>
    </xf>
    <xf numFmtId="0" fontId="2" fillId="0" borderId="0" applyNumberFormat="0" applyFont="0" applyFill="0" applyBorder="0" applyAlignment="0" applyProtection="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74" borderId="124" applyNumberFormat="0" applyFont="0">
      <alignment horizontal="center" wrapText="1"/>
      <protection locked="0"/>
    </xf>
    <xf numFmtId="0" fontId="10" fillId="0" borderId="0"/>
    <xf numFmtId="0" fontId="2" fillId="74" borderId="124" applyNumberFormat="0" applyFont="0">
      <alignment horizontal="center" wrapText="1"/>
      <protection locked="0"/>
    </xf>
    <xf numFmtId="0" fontId="2" fillId="0" borderId="0" applyNumberFormat="0" applyFont="0" applyFill="0" applyBorder="0" applyAlignment="0" applyProtection="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66"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10" fillId="0" borderId="0"/>
    <xf numFmtId="0" fontId="10" fillId="0" borderId="0"/>
    <xf numFmtId="0" fontId="10" fillId="0" borderId="0"/>
    <xf numFmtId="0" fontId="10" fillId="0" borderId="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173" fontId="231"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32"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5" fillId="57"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86" fillId="135"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287" fillId="0" borderId="0" applyFill="0" applyBorder="0" applyProtection="0">
      <alignment horizontal="left"/>
    </xf>
    <xf numFmtId="0" fontId="288" fillId="0" borderId="0" applyFill="0" applyBorder="0" applyProtection="0">
      <alignment horizontal="left"/>
    </xf>
    <xf numFmtId="1" fontId="289"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58"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0"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199"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0" borderId="168"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51"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91"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7" fillId="0" borderId="133">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2" fillId="0" borderId="0">
      <protection locked="0"/>
    </xf>
    <xf numFmtId="0" fontId="292"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7" fontId="293" fillId="0" borderId="0" applyNumberFormat="0" applyFill="0" applyBorder="0" applyAlignment="0" applyProtection="0"/>
    <xf numFmtId="295" fontId="293" fillId="0" borderId="0" applyNumberFormat="0" applyFill="0" applyBorder="0" applyAlignment="0" applyProtection="0"/>
    <xf numFmtId="3" fontId="207" fillId="0" borderId="133">
      <alignment vertical="center"/>
    </xf>
    <xf numFmtId="0" fontId="10" fillId="0" borderId="0"/>
    <xf numFmtId="0" fontId="175" fillId="111"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7" fillId="0" borderId="0"/>
    <xf numFmtId="0" fontId="10" fillId="0" borderId="0"/>
    <xf numFmtId="38" fontId="294" fillId="0" borderId="0">
      <alignment horizontal="center"/>
    </xf>
    <xf numFmtId="0" fontId="10" fillId="0" borderId="0"/>
    <xf numFmtId="0" fontId="295" fillId="45" borderId="12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165" fontId="296" fillId="0" borderId="0">
      <alignment horizontal="right"/>
    </xf>
    <xf numFmtId="0" fontId="10" fillId="0" borderId="0"/>
    <xf numFmtId="0" fontId="2" fillId="0" borderId="16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8" fillId="139" borderId="0"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1"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1" applyProtection="0">
      <alignment horizontal="right" vertical="center"/>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99" fillId="0" borderId="0"/>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300" fillId="0" borderId="0"/>
    <xf numFmtId="341" fontId="158" fillId="0" borderId="0"/>
    <xf numFmtId="342" fontId="158" fillId="0" borderId="0"/>
    <xf numFmtId="0" fontId="208" fillId="0" borderId="27"/>
    <xf numFmtId="0" fontId="301" fillId="71" borderId="108"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2" fillId="141" borderId="0"/>
    <xf numFmtId="0" fontId="303" fillId="141" borderId="0"/>
    <xf numFmtId="0" fontId="304" fillId="141" borderId="172">
      <alignment horizontal="right"/>
    </xf>
    <xf numFmtId="0" fontId="304" fillId="141" borderId="0"/>
    <xf numFmtId="0" fontId="302" fillId="69" borderId="172">
      <protection locked="0"/>
    </xf>
    <xf numFmtId="0" fontId="302" fillId="141" borderId="0"/>
    <xf numFmtId="0" fontId="305" fillId="71" borderId="0"/>
    <xf numFmtId="0" fontId="305" fillId="98" borderId="0"/>
    <xf numFmtId="0" fontId="305"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6" fillId="0" borderId="0">
      <alignment horizontal="right"/>
    </xf>
    <xf numFmtId="0" fontId="229" fillId="0" borderId="0"/>
    <xf numFmtId="164" fontId="199" fillId="142" borderId="0" applyNumberFormat="0" applyFont="0"/>
    <xf numFmtId="0" fontId="158" fillId="143" borderId="0" applyNumberFormat="0" applyFont="0" applyBorder="0" applyAlignment="0" applyProtection="0"/>
    <xf numFmtId="346" fontId="306" fillId="0" borderId="0" applyFont="0" applyFill="0" applyBorder="0" applyAlignment="0" applyProtection="0"/>
    <xf numFmtId="1" fontId="2" fillId="0" borderId="0"/>
    <xf numFmtId="347" fontId="2" fillId="69" borderId="124">
      <alignment horizontal="center"/>
    </xf>
    <xf numFmtId="0" fontId="10" fillId="0" borderId="0"/>
    <xf numFmtId="347" fontId="2" fillId="69" borderId="124">
      <alignment horizontal="center"/>
    </xf>
    <xf numFmtId="0" fontId="2" fillId="0" borderId="0" applyNumberFormat="0" applyFont="0" applyFill="0" applyBorder="0" applyAlignment="0" applyProtection="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7" fillId="0" borderId="133">
      <alignment vertical="center"/>
    </xf>
    <xf numFmtId="0" fontId="2" fillId="0" borderId="0" applyNumberFormat="0" applyFont="0" applyFill="0" applyBorder="0" applyAlignment="0" applyProtection="0"/>
    <xf numFmtId="0" fontId="10" fillId="0" borderId="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 fillId="69" borderId="124" applyFont="0">
      <alignment horizontal="right"/>
    </xf>
    <xf numFmtId="0" fontId="10" fillId="0" borderId="0"/>
    <xf numFmtId="3" fontId="2" fillId="69" borderId="124"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87" fontId="2" fillId="69" borderId="124" applyFont="0">
      <alignment horizontal="right"/>
    </xf>
    <xf numFmtId="0" fontId="10" fillId="0" borderId="0"/>
    <xf numFmtId="187" fontId="2" fillId="69" borderId="124" applyFont="0">
      <alignment horizontal="right"/>
    </xf>
    <xf numFmtId="0" fontId="2" fillId="0" borderId="0" applyNumberFormat="0" applyFont="0" applyFill="0" applyBorder="0" applyAlignment="0" applyProtection="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69" borderId="124" applyFont="0">
      <alignment horizontal="right"/>
    </xf>
    <xf numFmtId="0" fontId="10" fillId="0" borderId="0"/>
    <xf numFmtId="260" fontId="2" fillId="69" borderId="124" applyFont="0">
      <alignment horizontal="right"/>
    </xf>
    <xf numFmtId="0" fontId="2" fillId="0" borderId="0" applyNumberFormat="0" applyFont="0" applyFill="0" applyBorder="0" applyAlignment="0" applyProtection="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69" borderId="124" applyFont="0">
      <alignment horizontal="right"/>
    </xf>
    <xf numFmtId="0" fontId="10" fillId="0" borderId="0"/>
    <xf numFmtId="10" fontId="2" fillId="69" borderId="124" applyFont="0">
      <alignment horizontal="right"/>
    </xf>
    <xf numFmtId="0" fontId="2" fillId="0" borderId="0" applyNumberFormat="0" applyFont="0" applyFill="0" applyBorder="0" applyAlignment="0" applyProtection="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69" borderId="124" applyFont="0">
      <alignment horizontal="right"/>
    </xf>
    <xf numFmtId="0" fontId="10" fillId="0" borderId="0"/>
    <xf numFmtId="9" fontId="2" fillId="69" borderId="124" applyFont="0">
      <alignment horizontal="right"/>
    </xf>
    <xf numFmtId="0" fontId="2" fillId="0" borderId="0" applyNumberFormat="0" applyFont="0" applyFill="0" applyBorder="0" applyAlignment="0" applyProtection="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48" fontId="2" fillId="69" borderId="124" applyFont="0">
      <alignment horizontal="center" wrapText="1"/>
    </xf>
    <xf numFmtId="0" fontId="10" fillId="0" borderId="0"/>
    <xf numFmtId="348" fontId="2" fillId="69" borderId="124" applyFont="0">
      <alignment horizontal="center" wrapText="1"/>
    </xf>
    <xf numFmtId="0" fontId="2" fillId="0" borderId="0" applyNumberFormat="0" applyFont="0" applyFill="0" applyBorder="0" applyAlignment="0" applyProtection="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65" fontId="307"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8" fillId="105" borderId="173" applyNumberFormat="0" applyBorder="0">
      <alignment horizontal="centerContinuous"/>
    </xf>
    <xf numFmtId="0" fontId="308" fillId="105" borderId="173" applyNumberFormat="0" applyBorder="0">
      <alignment horizontal="centerContinuous"/>
    </xf>
    <xf numFmtId="0" fontId="308" fillId="105" borderId="173" applyNumberFormat="0" applyBorder="0">
      <alignment horizontal="centerContinuous"/>
    </xf>
    <xf numFmtId="0" fontId="308" fillId="105" borderId="173" applyNumberFormat="0" applyBorder="0">
      <alignment horizontal="centerContinuous"/>
    </xf>
    <xf numFmtId="38" fontId="171" fillId="0" borderId="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7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45" fillId="0" borderId="0" applyNumberFormat="0"/>
    <xf numFmtId="0" fontId="10" fillId="0" borderId="0"/>
    <xf numFmtId="165" fontId="309"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6" applyBorder="0"/>
    <xf numFmtId="3" fontId="2" fillId="68" borderId="126" applyBorder="0"/>
    <xf numFmtId="3" fontId="2" fillId="68" borderId="126" applyBorder="0"/>
    <xf numFmtId="3" fontId="2" fillId="68" borderId="126" applyBorder="0"/>
    <xf numFmtId="3" fontId="2" fillId="68" borderId="126" applyBorder="0"/>
    <xf numFmtId="0" fontId="10" fillId="0" borderId="0"/>
    <xf numFmtId="221" fontId="158"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0" fillId="0" borderId="0"/>
    <xf numFmtId="344"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1"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09" fillId="68" borderId="0">
      <alignment horizontal="center"/>
    </xf>
    <xf numFmtId="0" fontId="2" fillId="0" borderId="0" applyNumberFormat="0" applyFont="0" applyFill="0" applyBorder="0" applyAlignment="0" applyProtection="0"/>
    <xf numFmtId="0" fontId="10" fillId="0" borderId="0"/>
    <xf numFmtId="236" fontId="309"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8" fillId="0" borderId="0"/>
    <xf numFmtId="40" fontId="312" fillId="0" borderId="0" applyBorder="0">
      <alignment horizontal="right"/>
    </xf>
    <xf numFmtId="0" fontId="313" fillId="0" borderId="0" applyNumberFormat="0" applyFont="0" applyBorder="0" applyAlignment="0">
      <alignment horizontal="left"/>
    </xf>
    <xf numFmtId="0" fontId="158" fillId="0" borderId="124" applyNumberFormat="0" applyFont="0" applyFill="0" applyBorder="0" applyAlignment="0">
      <protection hidden="1"/>
    </xf>
    <xf numFmtId="0" fontId="10" fillId="0" borderId="0"/>
    <xf numFmtId="0" fontId="158" fillId="0" borderId="124" applyNumberFormat="0" applyFont="0" applyFill="0" applyBorder="0" applyAlignment="0">
      <protection hidden="1"/>
    </xf>
    <xf numFmtId="0" fontId="10" fillId="0" borderId="0"/>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3" fontId="207" fillId="0" borderId="133">
      <alignment vertical="center"/>
    </xf>
    <xf numFmtId="0" fontId="2" fillId="0" borderId="0" applyNumberFormat="0" applyFont="0" applyFill="0" applyBorder="0" applyAlignment="0" applyProtection="0"/>
    <xf numFmtId="0" fontId="10" fillId="0" borderId="0"/>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 fontId="2" fillId="144" borderId="124" applyFont="0">
      <alignment horizontal="right"/>
    </xf>
    <xf numFmtId="0" fontId="10" fillId="0" borderId="0"/>
    <xf numFmtId="1" fontId="2" fillId="144" borderId="124" applyFont="0">
      <alignment horizontal="right"/>
    </xf>
    <xf numFmtId="0" fontId="2" fillId="0" borderId="0" applyNumberFormat="0" applyFont="0" applyFill="0" applyBorder="0" applyAlignment="0" applyProtection="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4" fontId="2" fillId="144" borderId="124" applyFont="0"/>
    <xf numFmtId="0" fontId="10" fillId="0" borderId="0"/>
    <xf numFmtId="304" fontId="2" fillId="144" borderId="124" applyFont="0"/>
    <xf numFmtId="0" fontId="2" fillId="0" borderId="0" applyNumberFormat="0" applyFont="0" applyFill="0" applyBorder="0" applyAlignment="0" applyProtection="0"/>
    <xf numFmtId="304" fontId="2" fillId="144" borderId="124" applyFont="0"/>
    <xf numFmtId="304" fontId="2" fillId="144" borderId="124" applyFont="0"/>
    <xf numFmtId="304" fontId="2" fillId="144" borderId="124" applyFont="0"/>
    <xf numFmtId="304" fontId="2" fillId="144"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144" borderId="124" applyFont="0"/>
    <xf numFmtId="304" fontId="2" fillId="144" borderId="124" applyFont="0"/>
    <xf numFmtId="304" fontId="2" fillId="144" borderId="124" applyFont="0"/>
    <xf numFmtId="304" fontId="2" fillId="144"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144" borderId="124" applyFont="0">
      <alignment horizontal="right"/>
    </xf>
    <xf numFmtId="0" fontId="10" fillId="0" borderId="0"/>
    <xf numFmtId="9" fontId="2" fillId="144" borderId="124" applyFont="0">
      <alignment horizontal="right"/>
    </xf>
    <xf numFmtId="0" fontId="2" fillId="0" borderId="0" applyNumberFormat="0" applyFont="0" applyFill="0" applyBorder="0" applyAlignment="0" applyProtection="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1" fontId="2" fillId="144" borderId="124" applyFont="0">
      <alignment horizontal="right"/>
    </xf>
    <xf numFmtId="0" fontId="10" fillId="0" borderId="0"/>
    <xf numFmtId="331" fontId="2" fillId="144" borderId="124" applyFont="0">
      <alignment horizontal="right"/>
    </xf>
    <xf numFmtId="0" fontId="2" fillId="0" borderId="0" applyNumberFormat="0" applyFont="0" applyFill="0" applyBorder="0" applyAlignment="0" applyProtection="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144" borderId="124" applyFont="0">
      <alignment horizontal="right"/>
    </xf>
    <xf numFmtId="0" fontId="10" fillId="0" borderId="0"/>
    <xf numFmtId="10" fontId="2" fillId="144" borderId="124" applyFont="0">
      <alignment horizontal="right"/>
    </xf>
    <xf numFmtId="0" fontId="2" fillId="0" borderId="0" applyNumberFormat="0" applyFont="0" applyFill="0" applyBorder="0" applyAlignment="0" applyProtection="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144" borderId="124" applyFont="0">
      <alignment horizontal="center" wrapText="1"/>
    </xf>
    <xf numFmtId="0" fontId="10" fillId="0" borderId="0"/>
    <xf numFmtId="0" fontId="2" fillId="144" borderId="124" applyFont="0">
      <alignment horizontal="center" wrapText="1"/>
    </xf>
    <xf numFmtId="0" fontId="2" fillId="0" borderId="0" applyNumberFormat="0" applyFont="0" applyFill="0" applyBorder="0" applyAlignment="0" applyProtection="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144" borderId="124" applyFont="0"/>
    <xf numFmtId="0" fontId="10" fillId="0" borderId="0"/>
    <xf numFmtId="0" fontId="10" fillId="0" borderId="0"/>
    <xf numFmtId="3" fontId="207" fillId="0" borderId="133">
      <alignment vertical="center"/>
    </xf>
    <xf numFmtId="0" fontId="10" fillId="0" borderId="0"/>
    <xf numFmtId="0" fontId="10" fillId="0" borderId="0"/>
    <xf numFmtId="49" fontId="2" fillId="144" borderId="124" applyFont="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304" fontId="2" fillId="145" borderId="124" applyFont="0"/>
    <xf numFmtId="0" fontId="10" fillId="0" borderId="0"/>
    <xf numFmtId="304" fontId="2" fillId="145" borderId="124" applyFont="0"/>
    <xf numFmtId="0" fontId="2" fillId="0" borderId="0" applyNumberFormat="0" applyFont="0" applyFill="0" applyBorder="0" applyAlignment="0" applyProtection="0"/>
    <xf numFmtId="304" fontId="2" fillId="145" borderId="124" applyFont="0"/>
    <xf numFmtId="304" fontId="2" fillId="145" borderId="124" applyFont="0"/>
    <xf numFmtId="304" fontId="2" fillId="145" borderId="124" applyFont="0"/>
    <xf numFmtId="304" fontId="2" fillId="145"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145" borderId="124" applyFont="0"/>
    <xf numFmtId="304" fontId="2" fillId="145" borderId="124" applyFont="0"/>
    <xf numFmtId="304" fontId="2" fillId="145" borderId="124" applyFont="0"/>
    <xf numFmtId="304" fontId="2" fillId="145"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145" borderId="124" applyFont="0">
      <alignment horizontal="right"/>
    </xf>
    <xf numFmtId="0" fontId="10" fillId="0" borderId="0"/>
    <xf numFmtId="9" fontId="2" fillId="145" borderId="124" applyFont="0">
      <alignment horizontal="right"/>
    </xf>
    <xf numFmtId="0" fontId="2" fillId="0" borderId="0" applyNumberFormat="0" applyFont="0" applyFill="0" applyBorder="0" applyAlignment="0" applyProtection="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04" fontId="2" fillId="93" borderId="124" applyFont="0">
      <alignment horizontal="right"/>
    </xf>
    <xf numFmtId="0" fontId="10" fillId="0" borderId="0"/>
    <xf numFmtId="304" fontId="2" fillId="93" borderId="124" applyFont="0">
      <alignment horizontal="right"/>
    </xf>
    <xf numFmtId="0" fontId="2" fillId="0" borderId="0" applyNumberFormat="0" applyFont="0" applyFill="0" applyBorder="0" applyAlignment="0" applyProtection="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 fontId="2" fillId="93" borderId="124" applyFont="0">
      <alignment horizontal="right"/>
    </xf>
    <xf numFmtId="0" fontId="10" fillId="0" borderId="0"/>
    <xf numFmtId="1" fontId="2" fillId="93" borderId="124" applyFont="0">
      <alignment horizontal="right"/>
    </xf>
    <xf numFmtId="0" fontId="2" fillId="0" borderId="0" applyNumberFormat="0" applyFont="0" applyFill="0" applyBorder="0" applyAlignment="0" applyProtection="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4" fontId="2" fillId="93" borderId="124" applyFont="0"/>
    <xf numFmtId="0" fontId="10" fillId="0" borderId="0"/>
    <xf numFmtId="304" fontId="2" fillId="93" borderId="124" applyFont="0"/>
    <xf numFmtId="0" fontId="2" fillId="0" borderId="0" applyNumberFormat="0" applyFont="0" applyFill="0" applyBorder="0" applyAlignment="0" applyProtection="0"/>
    <xf numFmtId="304" fontId="2" fillId="93" borderId="124" applyFont="0"/>
    <xf numFmtId="304" fontId="2" fillId="93" borderId="124" applyFont="0"/>
    <xf numFmtId="304" fontId="2" fillId="93" borderId="124" applyFont="0"/>
    <xf numFmtId="304"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93" borderId="124" applyFont="0"/>
    <xf numFmtId="304" fontId="2" fillId="93" borderId="124" applyFont="0"/>
    <xf numFmtId="304" fontId="2" fillId="93" borderId="124" applyFont="0"/>
    <xf numFmtId="304"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93" borderId="124" applyFont="0"/>
    <xf numFmtId="0" fontId="10" fillId="0" borderId="0"/>
    <xf numFmtId="260" fontId="2" fillId="93" borderId="124" applyFont="0"/>
    <xf numFmtId="0" fontId="2" fillId="0" borderId="0" applyNumberFormat="0" applyFont="0" applyFill="0" applyBorder="0" applyAlignment="0" applyProtection="0"/>
    <xf numFmtId="260" fontId="2" fillId="93" borderId="124" applyFont="0"/>
    <xf numFmtId="260" fontId="2" fillId="93" borderId="124" applyFont="0"/>
    <xf numFmtId="260" fontId="2" fillId="93" borderId="124" applyFont="0"/>
    <xf numFmtId="260"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260" fontId="2" fillId="93" borderId="124" applyFont="0"/>
    <xf numFmtId="260" fontId="2" fillId="93" borderId="124" applyFont="0"/>
    <xf numFmtId="260" fontId="2" fillId="93" borderId="124" applyFont="0"/>
    <xf numFmtId="260"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93" borderId="124" applyFont="0">
      <alignment horizontal="right"/>
    </xf>
    <xf numFmtId="0" fontId="10" fillId="0" borderId="0"/>
    <xf numFmtId="10" fontId="2" fillId="93" borderId="124" applyFont="0">
      <alignment horizontal="right"/>
    </xf>
    <xf numFmtId="0" fontId="2" fillId="0" borderId="0" applyNumberFormat="0" applyFont="0" applyFill="0" applyBorder="0" applyAlignment="0" applyProtection="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93" borderId="124" applyFont="0">
      <alignment horizontal="right"/>
    </xf>
    <xf numFmtId="0" fontId="10" fillId="0" borderId="0"/>
    <xf numFmtId="9" fontId="2" fillId="93" borderId="124" applyFont="0">
      <alignment horizontal="right"/>
    </xf>
    <xf numFmtId="0" fontId="2" fillId="0" borderId="0" applyNumberFormat="0" applyFont="0" applyFill="0" applyBorder="0" applyAlignment="0" applyProtection="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1" fontId="2" fillId="93" borderId="124" applyFont="0">
      <alignment horizontal="right"/>
    </xf>
    <xf numFmtId="0" fontId="10" fillId="0" borderId="0"/>
    <xf numFmtId="331" fontId="2" fillId="93" borderId="124" applyFont="0">
      <alignment horizontal="right"/>
    </xf>
    <xf numFmtId="0" fontId="2" fillId="0" borderId="0" applyNumberFormat="0" applyFont="0" applyFill="0" applyBorder="0" applyAlignment="0" applyProtection="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93" borderId="127"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93" borderId="124" applyFont="0">
      <alignment horizontal="center" wrapText="1"/>
      <protection locked="0"/>
    </xf>
    <xf numFmtId="0" fontId="10" fillId="0" borderId="0"/>
    <xf numFmtId="0" fontId="2" fillId="93" borderId="124" applyFont="0">
      <alignment horizontal="center" wrapText="1"/>
      <protection locked="0"/>
    </xf>
    <xf numFmtId="0" fontId="2" fillId="0" borderId="0" applyNumberFormat="0" applyFont="0" applyFill="0" applyBorder="0" applyAlignment="0" applyProtection="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93" borderId="124" applyFont="0"/>
    <xf numFmtId="0" fontId="10" fillId="0" borderId="0"/>
    <xf numFmtId="0" fontId="10" fillId="0" borderId="0"/>
    <xf numFmtId="3" fontId="207" fillId="0" borderId="133">
      <alignment vertical="center"/>
    </xf>
    <xf numFmtId="0" fontId="10" fillId="0" borderId="0"/>
    <xf numFmtId="0" fontId="10" fillId="0" borderId="0"/>
    <xf numFmtId="49" fontId="2" fillId="93" borderId="124" applyFont="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314" fillId="0" borderId="174" applyNumberFormat="0" applyAlignment="0" applyProtection="0"/>
    <xf numFmtId="0" fontId="315" fillId="0" borderId="174"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Alignment="0" applyProtection="0"/>
    <xf numFmtId="0" fontId="316" fillId="0" borderId="0" applyNumberFormat="0" applyFill="0" applyBorder="0" applyProtection="0"/>
    <xf numFmtId="0" fontId="317" fillId="0" borderId="0" applyNumberFormat="0" applyFill="0" applyBorder="0" applyProtection="0">
      <alignment vertical="top"/>
    </xf>
    <xf numFmtId="0" fontId="318" fillId="0" borderId="126"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8" fillId="0" borderId="126" applyNumberFormat="0" applyProtection="0">
      <alignment horizontal="left" vertical="top"/>
    </xf>
    <xf numFmtId="0" fontId="318" fillId="0" borderId="126" applyNumberFormat="0" applyProtection="0">
      <alignment horizontal="left" vertical="top"/>
    </xf>
    <xf numFmtId="0" fontId="2" fillId="0" borderId="0" applyNumberFormat="0" applyFont="0" applyFill="0" applyBorder="0" applyAlignment="0" applyProtection="0"/>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314" fillId="0" borderId="0" applyNumberFormat="0" applyProtection="0">
      <alignment horizontal="left" vertical="top"/>
    </xf>
    <xf numFmtId="0" fontId="314" fillId="0" borderId="0" applyNumberFormat="0" applyProtection="0">
      <alignment horizontal="right" vertical="top"/>
    </xf>
    <xf numFmtId="0" fontId="2" fillId="0" borderId="175" applyNumberFormat="0" applyFont="0" applyAlignment="0" applyProtection="0"/>
    <xf numFmtId="0" fontId="2" fillId="0" borderId="176" applyNumberFormat="0" applyFont="0" applyAlignment="0" applyProtection="0"/>
    <xf numFmtId="0" fontId="2" fillId="0" borderId="177" applyNumberFormat="0" applyFont="0" applyAlignment="0" applyProtection="0"/>
    <xf numFmtId="10" fontId="319" fillId="0" borderId="0" applyNumberFormat="0" applyFill="0" applyBorder="0" applyProtection="0">
      <alignment horizontal="right" vertical="top"/>
    </xf>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5" fillId="0" borderId="108" applyNumberFormat="0" applyFill="0" applyAlignment="0" applyProtection="0">
      <alignment vertical="top"/>
    </xf>
    <xf numFmtId="0" fontId="315" fillId="0" borderId="108" applyNumberFormat="0" applyFill="0" applyAlignment="0" applyProtection="0">
      <alignment vertical="top"/>
    </xf>
    <xf numFmtId="349"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101" fillId="0" borderId="0" applyFill="0" applyBorder="0" applyProtection="0">
      <alignment horizontal="center" vertical="center"/>
    </xf>
    <xf numFmtId="0" fontId="320" fillId="0" borderId="0" applyBorder="0" applyProtection="0">
      <alignment vertical="center"/>
    </xf>
    <xf numFmtId="277" fontId="320" fillId="0" borderId="108"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21"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1" fillId="111" borderId="108"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59" fillId="0" borderId="0" applyBorder="0" applyProtection="0">
      <alignment horizontal="left"/>
    </xf>
    <xf numFmtId="0" fontId="101"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2"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3"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lignment horizontal="centerContinuous"/>
    </xf>
    <xf numFmtId="0" fontId="10" fillId="0" borderId="0"/>
    <xf numFmtId="0" fontId="10" fillId="0" borderId="0"/>
    <xf numFmtId="3" fontId="207" fillId="0" borderId="133">
      <alignment vertical="center"/>
    </xf>
    <xf numFmtId="0" fontId="323"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3" fillId="131" borderId="178"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8"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24"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5" fillId="148" borderId="0" applyNumberFormat="0">
      <alignment horizontal="left"/>
    </xf>
    <xf numFmtId="0" fontId="325" fillId="148" borderId="0" applyNumberFormat="0">
      <alignment horizontal="left"/>
    </xf>
    <xf numFmtId="0" fontId="325"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6"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51" fontId="326" fillId="0" borderId="0">
      <protection locked="0"/>
    </xf>
    <xf numFmtId="351" fontId="326" fillId="0" borderId="0">
      <protection locked="0"/>
    </xf>
    <xf numFmtId="0" fontId="10" fillId="0" borderId="0"/>
    <xf numFmtId="0" fontId="76" fillId="0" borderId="0" applyNumberForma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7" fillId="149" borderId="0">
      <alignment horizontal="centerContinuous"/>
    </xf>
    <xf numFmtId="0" fontId="328" fillId="63" borderId="0" applyNumberFormat="0" applyBorder="0" applyAlignment="0">
      <alignment horizontal="center"/>
    </xf>
    <xf numFmtId="0" fontId="329" fillId="0" borderId="103"/>
    <xf numFmtId="0" fontId="10" fillId="0" borderId="0"/>
    <xf numFmtId="0" fontId="329" fillId="0" borderId="103"/>
    <xf numFmtId="0" fontId="10" fillId="0" borderId="0"/>
    <xf numFmtId="0" fontId="329" fillId="0" borderId="103"/>
    <xf numFmtId="0" fontId="10" fillId="0" borderId="0"/>
    <xf numFmtId="0" fontId="329" fillId="0" borderId="103"/>
    <xf numFmtId="0" fontId="329" fillId="0" borderId="103"/>
    <xf numFmtId="246" fontId="251" fillId="0" borderId="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3" fontId="207" fillId="0" borderId="133">
      <alignment vertical="center"/>
    </xf>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38" fontId="199" fillId="0" borderId="180">
      <alignment horizontal="right"/>
    </xf>
    <xf numFmtId="0" fontId="270" fillId="0" borderId="181"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0" fillId="0" borderId="181" applyProtection="0">
      <alignment horizontal="center"/>
    </xf>
    <xf numFmtId="0" fontId="270" fillId="0" borderId="181" applyProtection="0">
      <alignment horizontal="center"/>
    </xf>
    <xf numFmtId="0" fontId="270" fillId="0" borderId="181" applyProtection="0">
      <alignment horizontal="center"/>
    </xf>
    <xf numFmtId="0" fontId="270" fillId="0" borderId="181" applyProtection="0">
      <alignment horizont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2" fillId="69" borderId="0">
      <alignment horizontal="center"/>
    </xf>
    <xf numFmtId="0" fontId="102" fillId="69" borderId="0">
      <alignment horizontal="center"/>
    </xf>
    <xf numFmtId="3" fontId="207" fillId="0" borderId="133">
      <alignment vertical="center"/>
    </xf>
    <xf numFmtId="0" fontId="330" fillId="104" borderId="0" applyNumberFormat="0" applyBorder="0"/>
    <xf numFmtId="0" fontId="183" fillId="0" borderId="182" applyNumberFormat="0" applyFont="0" applyFill="0" applyAlignment="0"/>
    <xf numFmtId="0" fontId="331" fillId="0" borderId="128"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77" fillId="0" borderId="63" applyNumberFormat="0" applyBorder="0">
      <protection locked="0"/>
    </xf>
    <xf numFmtId="37" fontId="332" fillId="111" borderId="0"/>
    <xf numFmtId="37" fontId="158" fillId="150" borderId="124" applyNumberFormat="0" applyAlignment="0" applyProtection="0"/>
    <xf numFmtId="0" fontId="2" fillId="0" borderId="0" applyNumberFormat="0" applyFont="0" applyFill="0" applyBorder="0" applyAlignment="0" applyProtection="0"/>
    <xf numFmtId="37" fontId="158" fillId="150" borderId="124" applyNumberFormat="0" applyAlignment="0" applyProtection="0"/>
    <xf numFmtId="37" fontId="158" fillId="150" borderId="124" applyNumberFormat="0" applyAlignment="0" applyProtection="0"/>
    <xf numFmtId="37" fontId="158" fillId="150" borderId="124" applyNumberFormat="0" applyAlignment="0" applyProtection="0"/>
    <xf numFmtId="37" fontId="158" fillId="150" borderId="124" applyNumberFormat="0" applyAlignment="0" applyProtection="0"/>
    <xf numFmtId="3" fontId="207" fillId="0" borderId="133">
      <alignment vertical="center"/>
    </xf>
    <xf numFmtId="0" fontId="2" fillId="0" borderId="0" applyNumberFormat="0" applyFont="0" applyFill="0" applyBorder="0" applyAlignment="0" applyProtection="0"/>
    <xf numFmtId="0" fontId="146" fillId="0" borderId="0" applyNumberFormat="0" applyFill="0" applyBorder="0" applyAlignment="0" applyProtection="0"/>
    <xf numFmtId="0" fontId="10" fillId="0" borderId="0"/>
    <xf numFmtId="0" fontId="10" fillId="0" borderId="0"/>
    <xf numFmtId="221" fontId="3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4" fillId="0" borderId="108">
      <alignment horizontal="center"/>
    </xf>
    <xf numFmtId="43" fontId="2" fillId="0" borderId="0" applyNumberFormat="0" applyFont="0" applyBorder="0" applyAlignment="0">
      <protection locked="0"/>
    </xf>
    <xf numFmtId="2" fontId="332" fillId="111" borderId="0" applyNumberFormat="0" applyFill="0" applyBorder="0" applyAlignment="0" applyProtection="0"/>
    <xf numFmtId="352" fontId="335" fillId="111" borderId="0" applyNumberFormat="0" applyFill="0" applyBorder="0" applyAlignment="0" applyProtection="0"/>
    <xf numFmtId="37" fontId="336" fillId="110" borderId="0" applyNumberFormat="0" applyFill="0" applyBorder="0" applyAlignment="0"/>
    <xf numFmtId="0" fontId="148" fillId="111" borderId="0" applyNumberFormat="0" applyBorder="0" applyAlignment="0"/>
    <xf numFmtId="0" fontId="2" fillId="0" borderId="10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4"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38" fontId="2" fillId="0" borderId="0"/>
    <xf numFmtId="2" fontId="231" fillId="69" borderId="124"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165" fontId="337"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354" fontId="2" fillId="0" borderId="0" applyFont="0" applyFill="0" applyBorder="0" applyAlignment="0" applyProtection="0"/>
    <xf numFmtId="355" fontId="252"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8"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39" fillId="74" borderId="108"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4" fillId="0" borderId="0">
      <alignment horizontal="center"/>
    </xf>
    <xf numFmtId="0" fontId="10" fillId="0" borderId="0"/>
    <xf numFmtId="3" fontId="207" fillId="0" borderId="133">
      <alignment vertical="center"/>
    </xf>
    <xf numFmtId="0" fontId="307" fillId="0" borderId="0" applyProtection="0">
      <alignment horizontal="center"/>
    </xf>
    <xf numFmtId="0" fontId="10" fillId="0" borderId="0"/>
    <xf numFmtId="3" fontId="207" fillId="0" borderId="133">
      <alignment vertical="center"/>
    </xf>
    <xf numFmtId="0" fontId="2" fillId="0" borderId="0" applyNumberFormat="0" applyFont="0" applyFill="0" applyBorder="0" applyAlignment="0" applyProtection="0"/>
    <xf numFmtId="0" fontId="340" fillId="0" borderId="0" applyProtection="0">
      <alignment horizontal="center"/>
    </xf>
    <xf numFmtId="0" fontId="10" fillId="0" borderId="0"/>
    <xf numFmtId="3" fontId="207" fillId="0" borderId="133">
      <alignment vertical="center"/>
    </xf>
    <xf numFmtId="0" fontId="45" fillId="0" borderId="0" applyNumberFormat="0" applyFill="0" applyBorder="0" applyProtection="0">
      <alignment horizontal="left"/>
    </xf>
    <xf numFmtId="331" fontId="158" fillId="0" borderId="0" applyNumberFormat="0" applyFont="0" applyFill="0" applyBorder="0" applyProtection="0">
      <alignment vertical="top" wrapText="1"/>
    </xf>
    <xf numFmtId="0" fontId="204" fillId="0" borderId="0" applyNumberFormat="0" applyFill="0" applyBorder="0" applyProtection="0">
      <alignment horizontal="right"/>
    </xf>
    <xf numFmtId="0" fontId="177" fillId="0" borderId="0" applyNumberFormat="0" applyFill="0" applyBorder="0" applyProtection="0">
      <alignment horizontal="center"/>
    </xf>
    <xf numFmtId="15" fontId="177" fillId="0" borderId="0" applyFill="0" applyBorder="0" applyProtection="0">
      <alignment horizontal="center"/>
    </xf>
    <xf numFmtId="357" fontId="102" fillId="0" borderId="0"/>
    <xf numFmtId="357" fontId="102" fillId="0" borderId="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45" fillId="0" borderId="183" applyNumberFormat="0"/>
    <xf numFmtId="14" fontId="158" fillId="0" borderId="0" applyFont="0" applyFill="0" applyBorder="0" applyProtection="0"/>
    <xf numFmtId="16" fontId="158" fillId="0" borderId="0" applyFont="0" applyFill="0" applyBorder="0" applyProtection="0"/>
    <xf numFmtId="3" fontId="207" fillId="0" borderId="133">
      <alignment vertical="center"/>
    </xf>
    <xf numFmtId="358" fontId="341" fillId="0" borderId="108"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16"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2" fillId="0" borderId="0" applyNumberFormat="0" applyFont="0" applyBorder="0" applyAlignment="0"/>
    <xf numFmtId="0" fontId="343" fillId="0" borderId="0"/>
    <xf numFmtId="0" fontId="6" fillId="0" borderId="0" applyNumberFormat="0" applyFill="0" applyBorder="0" applyAlignment="0" applyProtection="0">
      <alignment vertical="top"/>
      <protection locked="0"/>
    </xf>
    <xf numFmtId="208" fontId="343" fillId="0" borderId="0" applyFont="0" applyFill="0" applyBorder="0" applyAlignment="0" applyProtection="0"/>
    <xf numFmtId="209" fontId="343" fillId="0" borderId="0" applyFont="0" applyFill="0" applyBorder="0" applyAlignment="0" applyProtection="0"/>
    <xf numFmtId="207" fontId="343" fillId="0" borderId="0" applyFont="0" applyFill="0" applyBorder="0" applyAlignment="0" applyProtection="0"/>
    <xf numFmtId="210" fontId="34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4" fillId="0" borderId="0" applyNumberFormat="0" applyFill="0" applyBorder="0" applyAlignment="0" applyProtection="0"/>
    <xf numFmtId="3" fontId="2" fillId="74" borderId="190" applyFont="0">
      <alignment horizontal="right" vertical="center"/>
      <protection locked="0"/>
    </xf>
    <xf numFmtId="0" fontId="45" fillId="69" borderId="186" applyFont="0" applyBorder="0">
      <alignment horizontal="center" wrapText="1"/>
    </xf>
    <xf numFmtId="0" fontId="145" fillId="69" borderId="189" applyNumberFormat="0" applyFill="0" applyBorder="0" applyAlignment="0" applyProtection="0">
      <alignment horizontal="left"/>
    </xf>
    <xf numFmtId="0" fontId="1" fillId="0" borderId="0"/>
    <xf numFmtId="0" fontId="172" fillId="0" borderId="194"/>
    <xf numFmtId="244" fontId="174" fillId="0" borderId="195"/>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247"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0" fontId="181" fillId="108" borderId="196" applyNumberFormat="0" applyAlignment="0" applyProtection="0"/>
    <xf numFmtId="0" fontId="181" fillId="108" borderId="196" applyNumberFormat="0" applyAlignment="0" applyProtection="0"/>
    <xf numFmtId="252" fontId="102" fillId="0" borderId="196" applyNumberFormat="0" applyFont="0" applyFill="0" applyAlignment="0">
      <alignment vertical="center"/>
    </xf>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252" fontId="102" fillId="0" borderId="196" applyNumberFormat="0" applyFont="0" applyFill="0" applyAlignment="0">
      <alignment vertical="center"/>
    </xf>
    <xf numFmtId="0" fontId="102" fillId="0" borderId="196" applyNumberFormat="0" applyFont="0" applyFill="0"/>
    <xf numFmtId="252" fontId="102" fillId="0" borderId="196" applyNumberFormat="0" applyFont="0" applyFill="0" applyAlignment="0">
      <alignment vertical="center"/>
    </xf>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99" fillId="0" borderId="185" applyNumberFormat="0" applyFont="0" applyFill="0" applyAlignment="0" applyProtection="0"/>
    <xf numFmtId="0" fontId="147" fillId="0" borderId="189" applyNumberFormat="0" applyFont="0" applyFill="0" applyAlignment="0" applyProtection="0"/>
    <xf numFmtId="0" fontId="147" fillId="0" borderId="189" applyNumberFormat="0" applyFont="0" applyFill="0" applyAlignment="0" applyProtection="0"/>
    <xf numFmtId="0" fontId="147" fillId="0" borderId="189" applyNumberFormat="0" applyFont="0" applyFill="0" applyAlignment="0" applyProtection="0"/>
    <xf numFmtId="0" fontId="147" fillId="0" borderId="194" applyNumberFormat="0" applyFont="0" applyFill="0" applyAlignment="0" applyProtection="0"/>
    <xf numFmtId="0" fontId="147" fillId="0" borderId="194"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3" fontId="45" fillId="41" borderId="189">
      <protection hidden="1"/>
    </xf>
    <xf numFmtId="0" fontId="202" fillId="0" borderId="189" applyBorder="0"/>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vertical="center"/>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201" fontId="207"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8" fillId="0" borderId="197" applyNumberFormat="0" applyFill="0" applyBorder="0" applyAlignment="0" applyProtection="0">
      <alignment horizontal="center"/>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0" fillId="0" borderId="0" applyFont="0" applyFill="0" applyBorder="0" applyAlignment="0" applyProtection="0">
      <alignment horizontal="righ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0" fontId="230" fillId="120" borderId="190" applyNumberFormat="0" applyBorder="0" applyAlignment="0">
      <alignment horizontal="center"/>
      <protection locked="0"/>
    </xf>
    <xf numFmtId="0" fontId="230" fillId="120" borderId="190" applyNumberFormat="0" applyBorder="0" applyAlignment="0">
      <alignment horizontal="center"/>
      <protection locked="0"/>
    </xf>
    <xf numFmtId="3" fontId="231" fillId="121" borderId="197" applyNumberFormat="0" applyBorder="0" applyAlignment="0" applyProtection="0">
      <protection hidden="1"/>
    </xf>
    <xf numFmtId="281" fontId="2" fillId="0" borderId="0" applyFont="0" applyFill="0" applyBorder="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45" fillId="113" borderId="192" applyAlignment="0" applyProtection="0"/>
    <xf numFmtId="0" fontId="45" fillId="113" borderId="192" applyAlignment="0" applyProtection="0"/>
    <xf numFmtId="0" fontId="45" fillId="113" borderId="192" applyAlignment="0" applyProtection="0"/>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37" fillId="0" borderId="192">
      <alignment horizontal="left" vertical="center"/>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0" borderId="0" applyNumberFormat="0" applyFont="0" applyFill="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2" fontId="231" fillId="129" borderId="195" applyNumberFormat="0" applyBorder="0" applyAlignment="0" applyProtection="0">
      <alignment horizontal="center"/>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49" fontId="2" fillId="71" borderId="190" applyFont="0" applyAlignment="0">
      <protection locked="0"/>
    </xf>
    <xf numFmtId="49" fontId="2" fillId="71" borderId="190" applyFont="0" applyAlignment="0">
      <protection locked="0"/>
    </xf>
    <xf numFmtId="317" fontId="158" fillId="0" borderId="195" applyBorder="0"/>
    <xf numFmtId="253" fontId="226" fillId="96" borderId="195" applyBorder="0"/>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2" fontId="231" fillId="107" borderId="190" applyNumberFormat="0" applyBorder="0" applyAlignment="0">
      <protection locked="0"/>
    </xf>
    <xf numFmtId="3" fontId="207" fillId="0" borderId="133">
      <alignment vertical="center"/>
    </xf>
    <xf numFmtId="37" fontId="199" fillId="0" borderId="0" applyNumberFormat="0" applyFill="0" applyAlignment="0"/>
    <xf numFmtId="0" fontId="281" fillId="104" borderId="191">
      <alignment horizontal="center" vertical="top" wrapText="1"/>
    </xf>
    <xf numFmtId="0" fontId="281" fillId="104" borderId="191">
      <alignment horizontal="center" vertical="top" wrapText="1"/>
    </xf>
    <xf numFmtId="0" fontId="281" fillId="104" borderId="191">
      <alignment horizontal="center" vertical="top" wrapText="1"/>
    </xf>
    <xf numFmtId="0" fontId="281" fillId="104" borderId="191">
      <alignment horizontal="center" vertical="top" wrapText="1"/>
    </xf>
    <xf numFmtId="0" fontId="2" fillId="0" borderId="192"/>
    <xf numFmtId="0" fontId="2" fillId="0" borderId="192"/>
    <xf numFmtId="0" fontId="2" fillId="0" borderId="192"/>
    <xf numFmtId="0" fontId="2" fillId="0" borderId="192"/>
    <xf numFmtId="0" fontId="45" fillId="70" borderId="186"/>
    <xf numFmtId="0" fontId="45" fillId="70" borderId="186"/>
    <xf numFmtId="0" fontId="45" fillId="70" borderId="186"/>
    <xf numFmtId="0" fontId="45" fillId="70" borderId="186"/>
    <xf numFmtId="0" fontId="45" fillId="0" borderId="187"/>
    <xf numFmtId="0" fontId="45" fillId="0" borderId="187"/>
    <xf numFmtId="0" fontId="45"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81" fillId="132" borderId="191">
      <alignment horizontal="center" vertical="top"/>
    </xf>
    <xf numFmtId="0" fontId="281" fillId="132" borderId="191">
      <alignment horizontal="center" vertical="top"/>
    </xf>
    <xf numFmtId="0" fontId="45" fillId="0" borderId="186"/>
    <xf numFmtId="0" fontId="45" fillId="0" borderId="186"/>
    <xf numFmtId="0" fontId="45" fillId="0" borderId="186"/>
    <xf numFmtId="0" fontId="45" fillId="0" borderId="186"/>
    <xf numFmtId="0" fontId="2" fillId="0" borderId="191"/>
    <xf numFmtId="0" fontId="2" fillId="0" borderId="191"/>
    <xf numFmtId="0" fontId="2" fillId="0" borderId="191"/>
    <xf numFmtId="0" fontId="2" fillId="0" borderId="191"/>
    <xf numFmtId="0" fontId="2" fillId="0" borderId="191"/>
    <xf numFmtId="0" fontId="282" fillId="70" borderId="197"/>
    <xf numFmtId="0" fontId="282" fillId="70" borderId="197"/>
    <xf numFmtId="0" fontId="2" fillId="0" borderId="187">
      <alignment horizontal="center"/>
    </xf>
    <xf numFmtId="0" fontId="2" fillId="0" borderId="187">
      <alignment horizontal="center"/>
    </xf>
    <xf numFmtId="0" fontId="2" fillId="0" borderId="187">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93">
      <alignment horizontal="center"/>
    </xf>
    <xf numFmtId="0" fontId="2" fillId="0" borderId="193">
      <alignment horizontal="center"/>
    </xf>
    <xf numFmtId="0" fontId="281" fillId="132" borderId="191">
      <alignment horizontal="center" vertical="top" wrapText="1"/>
    </xf>
    <xf numFmtId="0" fontId="281" fillId="132" borderId="191">
      <alignment horizontal="center" vertical="top" wrapText="1"/>
    </xf>
    <xf numFmtId="0" fontId="281" fillId="132" borderId="191">
      <alignment horizontal="center" vertical="top" wrapText="1"/>
    </xf>
    <xf numFmtId="0" fontId="281" fillId="132" borderId="191">
      <alignment horizontal="center" vertical="top" wrapText="1"/>
    </xf>
    <xf numFmtId="3" fontId="2" fillId="0" borderId="192"/>
    <xf numFmtId="3" fontId="2" fillId="0" borderId="192"/>
    <xf numFmtId="3" fontId="2" fillId="0" borderId="192"/>
    <xf numFmtId="3" fontId="2" fillId="0" borderId="192"/>
    <xf numFmtId="0" fontId="45" fillId="70" borderId="186">
      <alignment horizontal="center"/>
    </xf>
    <xf numFmtId="0" fontId="45" fillId="70" borderId="186">
      <alignment horizontal="center"/>
    </xf>
    <xf numFmtId="0" fontId="45" fillId="70" borderId="186">
      <alignment horizontal="center"/>
    </xf>
    <xf numFmtId="0" fontId="45" fillId="70" borderId="186">
      <alignment horizontal="center"/>
    </xf>
    <xf numFmtId="0" fontId="45" fillId="70" borderId="192">
      <alignment horizontal="center"/>
    </xf>
    <xf numFmtId="0" fontId="45" fillId="70" borderId="192">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87">
      <alignment horizontal="left" vertical="top"/>
    </xf>
    <xf numFmtId="0" fontId="45" fillId="70" borderId="187">
      <alignment horizontal="left" vertical="top"/>
    </xf>
    <xf numFmtId="0" fontId="45" fillId="70" borderId="187">
      <alignment horizontal="left" vertical="top"/>
    </xf>
    <xf numFmtId="0" fontId="281" fillId="132" borderId="192">
      <alignment horizontal="center" vertical="center"/>
    </xf>
    <xf numFmtId="0" fontId="281" fillId="132" borderId="192">
      <alignment horizontal="center" vertical="center"/>
    </xf>
    <xf numFmtId="0" fontId="281" fillId="132" borderId="191">
      <alignment horizontal="center" vertical="center"/>
    </xf>
    <xf numFmtId="0" fontId="281" fillId="132" borderId="191">
      <alignment horizontal="center" vertical="center"/>
    </xf>
    <xf numFmtId="0" fontId="281" fillId="132" borderId="191">
      <alignment horizontal="center" vertical="center"/>
    </xf>
    <xf numFmtId="0" fontId="281" fillId="132" borderId="191">
      <alignment horizontal="center" vertical="center"/>
    </xf>
    <xf numFmtId="0" fontId="281" fillId="104" borderId="186">
      <alignment horizontal="center" vertical="center"/>
    </xf>
    <xf numFmtId="0" fontId="281" fillId="104" borderId="186">
      <alignment horizontal="center" vertical="center"/>
    </xf>
    <xf numFmtId="0" fontId="281" fillId="104" borderId="186">
      <alignment horizontal="center" vertical="center"/>
    </xf>
    <xf numFmtId="0" fontId="281" fillId="104" borderId="186">
      <alignment horizontal="center" vertical="center"/>
    </xf>
    <xf numFmtId="0" fontId="281" fillId="104" borderId="192">
      <alignment horizontal="center" vertical="center"/>
    </xf>
    <xf numFmtId="0" fontId="281" fillId="104" borderId="192">
      <alignment horizontal="center" vertical="center"/>
    </xf>
    <xf numFmtId="0" fontId="281" fillId="104" borderId="191">
      <alignment horizontal="center" vertical="center"/>
    </xf>
    <xf numFmtId="0" fontId="281" fillId="104" borderId="191">
      <alignment horizontal="center" vertical="center"/>
    </xf>
    <xf numFmtId="0" fontId="281" fillId="104" borderId="191">
      <alignment horizontal="center" vertical="center"/>
    </xf>
    <xf numFmtId="0" fontId="281" fillId="104" borderId="191">
      <alignment horizontal="center" vertical="center"/>
    </xf>
    <xf numFmtId="0" fontId="2" fillId="0" borderId="188"/>
    <xf numFmtId="0" fontId="2" fillId="0" borderId="188"/>
    <xf numFmtId="0" fontId="2" fillId="0" borderId="188"/>
    <xf numFmtId="0" fontId="2" fillId="0" borderId="188"/>
    <xf numFmtId="0" fontId="2" fillId="0" borderId="193"/>
    <xf numFmtId="0" fontId="2" fillId="0" borderId="193"/>
    <xf numFmtId="0" fontId="2" fillId="0" borderId="0" applyNumberFormat="0" applyFont="0" applyFill="0" applyBorder="0" applyAlignment="0" applyProtection="0"/>
    <xf numFmtId="0" fontId="284" fillId="0" borderId="195"/>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173" fontId="231" fillId="134" borderId="195" applyNumberFormat="0" applyBorder="0" applyAlignment="0" applyProtection="0">
      <alignment horizontal="center"/>
      <protection hidden="1"/>
    </xf>
    <xf numFmtId="3" fontId="285" fillId="57" borderId="190" applyNumberFormat="0" applyBorder="0" applyAlignment="0" applyProtection="0">
      <protection hidden="1"/>
    </xf>
    <xf numFmtId="3" fontId="286" fillId="135" borderId="197" applyNumberFormat="0" applyBorder="0" applyAlignment="0" applyProtection="0">
      <protection hidden="1"/>
    </xf>
    <xf numFmtId="0" fontId="19" fillId="131" borderId="195" applyNumberFormat="0" applyFont="0" applyBorder="0" applyAlignment="0" applyProtection="0">
      <alignment horizontal="center"/>
    </xf>
    <xf numFmtId="0" fontId="19" fillId="131"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58" fillId="0" borderId="198" applyNumberFormat="0" applyAlignment="0" applyProtection="0"/>
    <xf numFmtId="0" fontId="10" fillId="0" borderId="0"/>
    <xf numFmtId="0" fontId="46" fillId="69" borderId="189">
      <alignment horizontal="center"/>
    </xf>
    <xf numFmtId="0" fontId="41" fillId="0" borderId="185">
      <alignment horizontal="center"/>
    </xf>
    <xf numFmtId="0" fontId="45" fillId="92" borderId="189" applyNumberFormat="0" applyBorder="0" applyAlignment="0"/>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0" fontId="295" fillId="45" borderId="190"/>
    <xf numFmtId="0" fontId="2" fillId="0" borderId="199">
      <alignment vertical="center"/>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 fontId="2" fillId="69" borderId="190" applyFont="0">
      <alignment horizontal="right"/>
    </xf>
    <xf numFmtId="3" fontId="2" fillId="69" borderId="190" applyFont="0">
      <alignment horizontal="right"/>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 fontId="2" fillId="68" borderId="192" applyBorder="0"/>
    <xf numFmtId="3" fontId="2" fillId="68" borderId="192" applyBorder="0"/>
    <xf numFmtId="3" fontId="2" fillId="68" borderId="192" applyBorder="0"/>
    <xf numFmtId="3" fontId="2" fillId="68" borderId="192" applyBorder="0"/>
    <xf numFmtId="3" fontId="2" fillId="68" borderId="192" applyBorder="0"/>
    <xf numFmtId="2" fontId="311" fillId="0" borderId="195" applyNumberFormat="0" applyFill="0" applyBorder="0" applyAlignment="0" applyProtection="0">
      <alignment horizontal="center"/>
      <protection locked="0"/>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49" fontId="2" fillId="144" borderId="190" applyFont="0"/>
    <xf numFmtId="49" fontId="2" fillId="144"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49" fontId="2" fillId="93" borderId="190" applyFont="0"/>
    <xf numFmtId="49" fontId="2" fillId="93" borderId="190" applyFont="0"/>
    <xf numFmtId="0" fontId="318" fillId="0" borderId="192" applyNumberFormat="0" applyProtection="0">
      <alignment horizontal="left" vertical="top"/>
    </xf>
    <xf numFmtId="0" fontId="318" fillId="0" borderId="192" applyNumberFormat="0" applyProtection="0">
      <alignment horizontal="left" vertical="top"/>
    </xf>
    <xf numFmtId="0" fontId="318" fillId="0" borderId="192" applyNumberFormat="0" applyProtection="0">
      <alignment horizontal="lef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53" fillId="0" borderId="189" applyFill="0" applyBorder="0" applyProtection="0">
      <alignment horizontal="left" vertical="top"/>
    </xf>
    <xf numFmtId="0" fontId="183" fillId="131" borderId="201" applyNumberFormat="0" applyFont="0">
      <alignment horizontal="center" vertical="center"/>
    </xf>
    <xf numFmtId="350" fontId="45" fillId="68" borderId="197" applyNumberFormat="0" applyBorder="0" applyAlignment="0">
      <alignment horizontal="right"/>
    </xf>
    <xf numFmtId="0" fontId="329" fillId="0" borderId="187"/>
    <xf numFmtId="0" fontId="329" fillId="0" borderId="187"/>
    <xf numFmtId="0" fontId="329" fillId="0" borderId="187"/>
    <xf numFmtId="0" fontId="329" fillId="0" borderId="187"/>
    <xf numFmtId="0" fontId="329"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331" fillId="0" borderId="197" applyNumberFormat="0" applyFill="0" applyBorder="0" applyAlignment="0" applyProtection="0">
      <alignment horizontal="center"/>
      <protection locked="0"/>
    </xf>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2" fontId="231" fillId="69" borderId="190" applyBorder="0" applyAlignment="0"/>
    <xf numFmtId="165" fontId="337" fillId="69" borderId="189">
      <alignment horizontal="center"/>
    </xf>
    <xf numFmtId="0" fontId="344" fillId="0" borderId="0" applyNumberFormat="0" applyFill="0" applyBorder="0" applyAlignment="0" applyProtection="0"/>
    <xf numFmtId="0" fontId="1" fillId="0" borderId="0"/>
    <xf numFmtId="0" fontId="1" fillId="0" borderId="0"/>
  </cellStyleXfs>
  <cellXfs count="847">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8"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xf numFmtId="0" fontId="85" fillId="0" borderId="0" xfId="0" applyFont="1" applyAlignment="1">
      <alignment wrapText="1"/>
    </xf>
    <xf numFmtId="0" fontId="2" fillId="0" borderId="20" xfId="0" applyFont="1" applyBorder="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1"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60" xfId="0" applyNumberFormat="1" applyFont="1" applyBorder="1" applyAlignment="1">
      <alignment horizontal="center"/>
    </xf>
    <xf numFmtId="167" fontId="85" fillId="0" borderId="0" xfId="0" applyNumberFormat="1" applyFont="1" applyAlignment="1">
      <alignment horizontal="center"/>
    </xf>
    <xf numFmtId="167" fontId="84" fillId="0" borderId="58" xfId="0" applyNumberFormat="1" applyFont="1" applyBorder="1" applyAlignment="1">
      <alignment horizontal="center"/>
    </xf>
    <xf numFmtId="167" fontId="84" fillId="0" borderId="61" xfId="0" applyNumberFormat="1" applyFont="1" applyBorder="1" applyAlignment="1">
      <alignment horizontal="center"/>
    </xf>
    <xf numFmtId="167" fontId="84" fillId="0" borderId="62" xfId="0" applyNumberFormat="1" applyFont="1" applyBorder="1" applyAlignment="1">
      <alignment horizontal="center"/>
    </xf>
    <xf numFmtId="0" fontId="84" fillId="0" borderId="18" xfId="0" applyFont="1" applyBorder="1" applyAlignment="1">
      <alignment vertical="center"/>
    </xf>
    <xf numFmtId="191" fontId="84" fillId="0" borderId="3" xfId="0" applyNumberFormat="1" applyFont="1" applyBorder="1"/>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191"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191" fontId="84" fillId="0" borderId="19" xfId="0" applyNumberFormat="1" applyFont="1" applyBorder="1"/>
    <xf numFmtId="0" fontId="84" fillId="0" borderId="16" xfId="0" applyFont="1" applyBorder="1"/>
    <xf numFmtId="0" fontId="88"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89"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0"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191"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1" fontId="84" fillId="35" borderId="17" xfId="0" applyNumberFormat="1" applyFont="1" applyFill="1" applyBorder="1" applyAlignment="1">
      <alignment horizontal="center" vertical="center"/>
    </xf>
    <xf numFmtId="191" fontId="84" fillId="0" borderId="19" xfId="0" applyNumberFormat="1" applyFont="1" applyBorder="1" applyAlignment="1">
      <alignment wrapText="1"/>
    </xf>
    <xf numFmtId="191" fontId="84" fillId="35" borderId="19" xfId="0" applyNumberFormat="1" applyFont="1" applyFill="1" applyBorder="1" applyAlignment="1">
      <alignment horizontal="center" vertical="center" wrapText="1"/>
    </xf>
    <xf numFmtId="191" fontId="84" fillId="35" borderId="23"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1" fillId="0" borderId="0" xfId="11" applyFont="1"/>
    <xf numFmtId="0" fontId="92"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4" fillId="0" borderId="0" xfId="0" applyFont="1"/>
    <xf numFmtId="0" fontId="3" fillId="0" borderId="63" xfId="0"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8" xfId="0" applyNumberFormat="1" applyFont="1" applyBorder="1"/>
    <xf numFmtId="191"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2" xfId="0" applyNumberFormat="1" applyFont="1" applyFill="1" applyBorder="1"/>
    <xf numFmtId="0" fontId="84" fillId="0" borderId="68" xfId="0" applyFont="1" applyBorder="1" applyAlignment="1">
      <alignment vertical="center" wrapText="1"/>
    </xf>
    <xf numFmtId="191"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0" fontId="93" fillId="0" borderId="0" xfId="0" applyFont="1" applyAlignment="1">
      <alignment wrapText="1"/>
    </xf>
    <xf numFmtId="0" fontId="2" fillId="0" borderId="0" xfId="0" applyFont="1" applyAlignment="1">
      <alignment wrapText="1"/>
    </xf>
    <xf numFmtId="0" fontId="96" fillId="3" borderId="78" xfId="0" applyFont="1" applyFill="1" applyBorder="1" applyAlignment="1">
      <alignment horizontal="left"/>
    </xf>
    <xf numFmtId="0" fontId="96"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69"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69" fontId="9" fillId="36" borderId="24" xfId="20" applyBorder="1"/>
    <xf numFmtId="169" fontId="9" fillId="36" borderId="89" xfId="20" applyBorder="1"/>
    <xf numFmtId="169" fontId="9" fillId="36" borderId="25" xfId="20" applyBorder="1"/>
    <xf numFmtId="0" fontId="3" fillId="0" borderId="91" xfId="0" applyFont="1" applyBorder="1" applyAlignment="1">
      <alignment horizontal="center" vertical="center"/>
    </xf>
    <xf numFmtId="0" fontId="3" fillId="0" borderId="92" xfId="0" applyFont="1" applyBorder="1" applyAlignment="1">
      <alignment vertical="center"/>
    </xf>
    <xf numFmtId="169"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97"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7" fillId="0" borderId="0" xfId="0" applyFont="1" applyAlignment="1">
      <alignment horizontal="left" vertical="center"/>
    </xf>
    <xf numFmtId="49" fontId="98" fillId="0" borderId="21" xfId="5" applyNumberFormat="1" applyFont="1" applyBorder="1" applyAlignment="1" applyProtection="1">
      <alignment horizontal="left" vertical="center"/>
      <protection locked="0"/>
    </xf>
    <xf numFmtId="0" fontId="99"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0" fillId="35" borderId="81" xfId="0" applyNumberFormat="1" applyFont="1" applyFill="1" applyBorder="1" applyAlignment="1">
      <alignment vertical="center" wrapText="1"/>
    </xf>
    <xf numFmtId="3" fontId="100" fillId="35" borderId="22" xfId="0" applyNumberFormat="1" applyFont="1" applyFill="1" applyBorder="1" applyAlignment="1">
      <alignment vertical="center" wrapText="1"/>
    </xf>
    <xf numFmtId="3" fontId="100"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7" fillId="0" borderId="96" xfId="0" applyFont="1" applyBorder="1" applyAlignment="1">
      <alignment horizontal="left" vertical="center" wrapText="1"/>
    </xf>
    <xf numFmtId="10" fontId="93" fillId="0" borderId="96" xfId="20950" applyNumberFormat="1" applyFont="1" applyFill="1" applyBorder="1" applyAlignment="1">
      <alignment horizontal="left" vertical="center" wrapText="1"/>
    </xf>
    <xf numFmtId="10" fontId="3" fillId="0"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left" vertical="center" wrapText="1"/>
    </xf>
    <xf numFmtId="10" fontId="97" fillId="0" borderId="96" xfId="20950" applyNumberFormat="1" applyFont="1" applyFill="1" applyBorder="1" applyAlignment="1">
      <alignment horizontal="left" vertical="center" wrapText="1"/>
    </xf>
    <xf numFmtId="10" fontId="4" fillId="35"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center" vertical="center" wrapText="1"/>
    </xf>
    <xf numFmtId="10" fontId="99" fillId="0" borderId="22" xfId="20950" applyNumberFormat="1" applyFont="1" applyFill="1" applyBorder="1" applyAlignment="1" applyProtection="1">
      <alignment horizontal="left" vertical="center"/>
    </xf>
    <xf numFmtId="0" fontId="4" fillId="35" borderId="96" xfId="0" applyFont="1" applyFill="1" applyBorder="1" applyAlignment="1">
      <alignment horizontal="left" vertical="center" wrapText="1"/>
    </xf>
    <xf numFmtId="0" fontId="3" fillId="0" borderId="96" xfId="0" applyFont="1" applyBorder="1" applyAlignment="1">
      <alignment horizontal="left" vertical="center" wrapText="1"/>
    </xf>
    <xf numFmtId="10" fontId="4" fillId="35" borderId="81" xfId="0" applyNumberFormat="1" applyFont="1" applyFill="1" applyBorder="1" applyAlignment="1">
      <alignment horizontal="left" vertical="center" wrapText="1"/>
    </xf>
    <xf numFmtId="10" fontId="4" fillId="35" borderId="81" xfId="20950" applyNumberFormat="1" applyFont="1" applyFill="1" applyBorder="1" applyAlignment="1">
      <alignment horizontal="left" vertical="center" wrapText="1"/>
    </xf>
    <xf numFmtId="0" fontId="4" fillId="35" borderId="81" xfId="0" applyFont="1" applyFill="1" applyBorder="1" applyAlignment="1">
      <alignment horizontal="center" vertical="center" wrapText="1"/>
    </xf>
    <xf numFmtId="0" fontId="4" fillId="35" borderId="82" xfId="0" applyFont="1" applyFill="1" applyBorder="1" applyAlignment="1">
      <alignment vertical="center" wrapText="1"/>
    </xf>
    <xf numFmtId="0" fontId="4" fillId="35" borderId="95"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6" xfId="0" applyFont="1" applyBorder="1"/>
    <xf numFmtId="0" fontId="6" fillId="0" borderId="96" xfId="17" applyFill="1" applyBorder="1" applyAlignment="1" applyProtection="1">
      <alignment horizontal="left" vertical="center"/>
    </xf>
    <xf numFmtId="0" fontId="6" fillId="0" borderId="96" xfId="17" applyBorder="1" applyAlignment="1" applyProtection="1"/>
    <xf numFmtId="0" fontId="6" fillId="0" borderId="96" xfId="17" applyFill="1" applyBorder="1" applyAlignment="1" applyProtection="1">
      <alignment horizontal="left" vertical="center" wrapText="1"/>
    </xf>
    <xf numFmtId="0" fontId="6" fillId="0" borderId="96"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xf numFmtId="0" fontId="45" fillId="0" borderId="19" xfId="0" applyFont="1" applyBorder="1" applyAlignment="1">
      <alignment horizontal="center" vertical="center" wrapText="1"/>
    </xf>
    <xf numFmtId="3" fontId="100" fillId="35" borderId="96" xfId="0" applyNumberFormat="1" applyFont="1" applyFill="1" applyBorder="1" applyAlignment="1">
      <alignment vertical="center" wrapText="1"/>
    </xf>
    <xf numFmtId="3" fontId="100" fillId="35" borderId="97" xfId="0" applyNumberFormat="1" applyFont="1" applyFill="1" applyBorder="1" applyAlignment="1">
      <alignment vertical="center" wrapText="1"/>
    </xf>
    <xf numFmtId="3" fontId="100" fillId="35" borderId="24" xfId="0" applyNumberFormat="1" applyFont="1" applyFill="1" applyBorder="1" applyAlignment="1">
      <alignment vertical="center" wrapText="1"/>
    </xf>
    <xf numFmtId="3" fontId="100" fillId="35" borderId="84" xfId="0" applyNumberFormat="1" applyFont="1" applyFill="1" applyBorder="1" applyAlignment="1">
      <alignment vertical="center" wrapText="1"/>
    </xf>
    <xf numFmtId="3" fontId="100" fillId="35" borderId="38" xfId="0" applyNumberFormat="1" applyFont="1" applyFill="1" applyBorder="1" applyAlignment="1">
      <alignment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3"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99" xfId="0" applyFont="1" applyFill="1" applyBorder="1" applyAlignment="1">
      <alignment wrapText="1"/>
    </xf>
    <xf numFmtId="0" fontId="3" fillId="3" borderId="100" xfId="0" applyFont="1" applyFill="1" applyBorder="1"/>
    <xf numFmtId="0" fontId="4" fillId="3" borderId="75" xfId="0" applyFont="1" applyFill="1" applyBorder="1" applyAlignment="1">
      <alignment horizontal="center" wrapText="1"/>
    </xf>
    <xf numFmtId="0" fontId="3" fillId="0" borderId="96"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3" xfId="0" applyFont="1" applyFill="1" applyBorder="1" applyAlignment="1">
      <alignment horizontal="center" vertical="center" wrapText="1"/>
    </xf>
    <xf numFmtId="0" fontId="3" fillId="0" borderId="18" xfId="0" applyFont="1" applyBorder="1"/>
    <xf numFmtId="0" fontId="3" fillId="0" borderId="96" xfId="0" applyFont="1" applyBorder="1" applyAlignment="1">
      <alignment wrapText="1"/>
    </xf>
    <xf numFmtId="164" fontId="3" fillId="0" borderId="96" xfId="7" applyNumberFormat="1" applyFont="1" applyBorder="1"/>
    <xf numFmtId="164" fontId="3" fillId="0" borderId="81" xfId="7" applyNumberFormat="1" applyFont="1" applyBorder="1"/>
    <xf numFmtId="0" fontId="96" fillId="0" borderId="96" xfId="0" applyFont="1" applyBorder="1" applyAlignment="1">
      <alignment horizontal="left" wrapText="1" indent="2"/>
    </xf>
    <xf numFmtId="169" fontId="9" fillId="36" borderId="96" xfId="20" applyBorder="1"/>
    <xf numFmtId="164" fontId="3" fillId="0" borderId="96" xfId="7" applyNumberFormat="1" applyFont="1" applyBorder="1" applyAlignment="1">
      <alignment vertical="center"/>
    </xf>
    <xf numFmtId="0" fontId="4" fillId="0" borderId="18" xfId="0" applyFont="1" applyBorder="1"/>
    <xf numFmtId="0" fontId="4" fillId="0" borderId="96" xfId="0" applyFont="1" applyBorder="1" applyAlignment="1">
      <alignment wrapText="1"/>
    </xf>
    <xf numFmtId="164" fontId="4" fillId="0" borderId="81" xfId="7" applyNumberFormat="1" applyFont="1" applyBorder="1"/>
    <xf numFmtId="0" fontId="106" fillId="3" borderId="63" xfId="0" applyFont="1" applyFill="1" applyBorder="1" applyAlignment="1">
      <alignment horizontal="left"/>
    </xf>
    <xf numFmtId="0" fontId="106"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3" xfId="7" applyNumberFormat="1" applyFont="1" applyFill="1" applyBorder="1"/>
    <xf numFmtId="164" fontId="3" fillId="0" borderId="96" xfId="7" applyNumberFormat="1" applyFont="1" applyFill="1" applyBorder="1"/>
    <xf numFmtId="164" fontId="3" fillId="0" borderId="96" xfId="7" applyNumberFormat="1" applyFont="1" applyFill="1" applyBorder="1" applyAlignment="1">
      <alignment vertical="center"/>
    </xf>
    <xf numFmtId="0" fontId="96" fillId="0" borderId="96"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3"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4" xfId="0" applyFont="1" applyBorder="1" applyAlignment="1">
      <alignment vertical="center" wrapText="1"/>
    </xf>
    <xf numFmtId="0" fontId="107" fillId="0" borderId="0" xfId="11" applyFont="1"/>
    <xf numFmtId="0" fontId="109" fillId="0" borderId="0" xfId="11" applyFont="1"/>
    <xf numFmtId="0" fontId="108" fillId="0" borderId="0" xfId="0" applyFont="1"/>
    <xf numFmtId="0" fontId="110" fillId="0" borderId="68" xfId="0" applyFont="1" applyBorder="1" applyAlignment="1">
      <alignment horizontal="left" vertical="center" wrapText="1"/>
    </xf>
    <xf numFmtId="0" fontId="6" fillId="0" borderId="111" xfId="17" applyBorder="1" applyAlignment="1" applyProtection="1"/>
    <xf numFmtId="0" fontId="108" fillId="0" borderId="0" xfId="0" applyFont="1" applyAlignment="1">
      <alignment horizontal="left" vertical="top" wrapText="1"/>
    </xf>
    <xf numFmtId="191" fontId="2" fillId="3" borderId="81" xfId="2" applyNumberFormat="1" applyFont="1" applyFill="1" applyBorder="1" applyAlignment="1" applyProtection="1">
      <alignment vertical="top" wrapText="1"/>
      <protection locked="0"/>
    </xf>
    <xf numFmtId="0" fontId="0" fillId="0" borderId="111" xfId="0" applyBorder="1" applyAlignment="1">
      <alignment horizontal="center"/>
    </xf>
    <xf numFmtId="0" fontId="119" fillId="3" borderId="111" xfId="20954" applyFont="1" applyFill="1" applyBorder="1" applyAlignment="1">
      <alignment horizontal="left" vertical="center" wrapText="1"/>
    </xf>
    <xf numFmtId="0" fontId="120" fillId="0" borderId="111" xfId="20954" applyFont="1" applyBorder="1" applyAlignment="1">
      <alignment horizontal="left" vertical="center" wrapText="1" indent="1"/>
    </xf>
    <xf numFmtId="0" fontId="121" fillId="3" borderId="121" xfId="0" applyFont="1" applyFill="1" applyBorder="1" applyAlignment="1">
      <alignment horizontal="left" vertical="center" wrapText="1"/>
    </xf>
    <xf numFmtId="0" fontId="120" fillId="3" borderId="111" xfId="20954" applyFont="1" applyFill="1" applyBorder="1" applyAlignment="1">
      <alignment horizontal="left" vertical="center" wrapText="1" indent="1"/>
    </xf>
    <xf numFmtId="0" fontId="119" fillId="0" borderId="121" xfId="0" applyFont="1" applyBorder="1" applyAlignment="1">
      <alignment horizontal="left" vertical="center" wrapText="1"/>
    </xf>
    <xf numFmtId="0" fontId="121" fillId="0" borderId="121" xfId="0" applyFont="1" applyBorder="1" applyAlignment="1">
      <alignment horizontal="left" vertical="center" wrapText="1"/>
    </xf>
    <xf numFmtId="0" fontId="121" fillId="0" borderId="121" xfId="0" applyFont="1" applyBorder="1" applyAlignment="1">
      <alignment vertical="center" wrapText="1"/>
    </xf>
    <xf numFmtId="0" fontId="122" fillId="0" borderId="121" xfId="0" applyFont="1" applyBorder="1" applyAlignment="1">
      <alignment horizontal="left" vertical="center" wrapText="1" indent="1"/>
    </xf>
    <xf numFmtId="0" fontId="122" fillId="3" borderId="121" xfId="0" applyFont="1" applyFill="1" applyBorder="1" applyAlignment="1">
      <alignment horizontal="left" vertical="center" wrapText="1" indent="1"/>
    </xf>
    <xf numFmtId="0" fontId="121" fillId="3" borderId="122" xfId="0" applyFont="1" applyFill="1" applyBorder="1" applyAlignment="1">
      <alignment horizontal="left" vertical="center" wrapText="1"/>
    </xf>
    <xf numFmtId="0" fontId="122" fillId="0" borderId="111" xfId="20954" applyFont="1" applyBorder="1" applyAlignment="1">
      <alignment horizontal="left" vertical="center" wrapText="1" indent="1"/>
    </xf>
    <xf numFmtId="0" fontId="121" fillId="0" borderId="111" xfId="0" applyFont="1" applyBorder="1" applyAlignment="1">
      <alignment horizontal="left" vertical="center" wrapText="1"/>
    </xf>
    <xf numFmtId="0" fontId="123" fillId="0" borderId="111" xfId="20954" applyFont="1" applyBorder="1" applyAlignment="1">
      <alignment horizontal="center" vertical="center" wrapText="1"/>
    </xf>
    <xf numFmtId="0" fontId="121" fillId="3" borderId="123" xfId="0" applyFont="1" applyFill="1" applyBorder="1" applyAlignment="1">
      <alignment horizontal="left" vertical="center" wrapText="1"/>
    </xf>
    <xf numFmtId="0" fontId="0" fillId="0" borderId="124" xfId="0" applyBorder="1" applyAlignment="1">
      <alignment horizontal="center"/>
    </xf>
    <xf numFmtId="0" fontId="120" fillId="3" borderId="124" xfId="20954" applyFont="1" applyFill="1" applyBorder="1" applyAlignment="1">
      <alignment horizontal="left" vertical="center" wrapText="1" indent="1"/>
    </xf>
    <xf numFmtId="0" fontId="120" fillId="3" borderId="121" xfId="0" applyFont="1" applyFill="1" applyBorder="1" applyAlignment="1">
      <alignment horizontal="left" vertical="center" wrapText="1" indent="1"/>
    </xf>
    <xf numFmtId="0" fontId="120" fillId="0" borderId="124" xfId="20954" applyFont="1" applyBorder="1" applyAlignment="1">
      <alignment horizontal="left" vertical="center" wrapText="1" indent="1"/>
    </xf>
    <xf numFmtId="0" fontId="121" fillId="0" borderId="124" xfId="20954" applyFont="1" applyBorder="1" applyAlignment="1">
      <alignment horizontal="left" vertical="center" wrapText="1"/>
    </xf>
    <xf numFmtId="0" fontId="121" fillId="0" borderId="124" xfId="0" applyFont="1" applyBorder="1" applyAlignment="1">
      <alignment vertical="center" wrapText="1"/>
    </xf>
    <xf numFmtId="0" fontId="123" fillId="0" borderId="124" xfId="20954" applyFont="1" applyBorder="1" applyAlignment="1">
      <alignment horizontal="center" vertical="center" wrapText="1"/>
    </xf>
    <xf numFmtId="0" fontId="121" fillId="3" borderId="124" xfId="20954" applyFont="1" applyFill="1" applyBorder="1" applyAlignment="1">
      <alignment horizontal="left" vertical="center" wrapText="1"/>
    </xf>
    <xf numFmtId="0" fontId="121" fillId="0" borderId="124" xfId="0" applyFont="1" applyBorder="1" applyAlignment="1">
      <alignment horizontal="left" vertical="center" wrapText="1"/>
    </xf>
    <xf numFmtId="0" fontId="2" fillId="0" borderId="124" xfId="0" applyFont="1" applyBorder="1" applyAlignment="1">
      <alignment horizontal="center" vertical="center" wrapText="1"/>
    </xf>
    <xf numFmtId="0" fontId="0" fillId="0" borderId="124" xfId="0" applyBorder="1" applyAlignment="1">
      <alignment horizontal="center" vertical="center"/>
    </xf>
    <xf numFmtId="0" fontId="2" fillId="0" borderId="127" xfId="0" applyFont="1" applyBorder="1" applyAlignment="1">
      <alignment horizontal="left" vertical="center" wrapText="1" indent="4"/>
    </xf>
    <xf numFmtId="0" fontId="45" fillId="0" borderId="127" xfId="0" applyFont="1" applyBorder="1" applyAlignment="1">
      <alignment vertical="center" wrapText="1"/>
    </xf>
    <xf numFmtId="0" fontId="2" fillId="0" borderId="124" xfId="0" applyFont="1" applyBorder="1" applyAlignment="1" applyProtection="1">
      <alignment horizontal="left" vertical="center" indent="11"/>
      <protection locked="0"/>
    </xf>
    <xf numFmtId="0" fontId="46" fillId="0" borderId="124" xfId="0" applyFont="1" applyBorder="1" applyAlignment="1" applyProtection="1">
      <alignment horizontal="left" vertical="center" indent="17"/>
      <protection locked="0"/>
    </xf>
    <xf numFmtId="0" fontId="2" fillId="0" borderId="127" xfId="0" applyFont="1" applyBorder="1" applyAlignment="1">
      <alignment horizontal="left" vertical="center" wrapText="1"/>
    </xf>
    <xf numFmtId="191" fontId="91" fillId="0" borderId="0" xfId="0" applyNumberFormat="1" applyFont="1" applyAlignment="1">
      <alignment horizontal="right"/>
    </xf>
    <xf numFmtId="43" fontId="84" fillId="0" borderId="124" xfId="7" applyFont="1" applyFill="1" applyBorder="1" applyAlignment="1">
      <alignment horizontal="center" vertical="center"/>
    </xf>
    <xf numFmtId="0" fontId="120" fillId="3" borderId="122" xfId="0" applyFont="1" applyFill="1" applyBorder="1" applyAlignment="1">
      <alignment horizontal="left" vertical="center" wrapText="1" indent="1"/>
    </xf>
    <xf numFmtId="0" fontId="120" fillId="3" borderId="124" xfId="0" applyFont="1" applyFill="1" applyBorder="1" applyAlignment="1">
      <alignment horizontal="left" vertical="center" wrapText="1" indent="1"/>
    </xf>
    <xf numFmtId="167" fontId="84" fillId="0" borderId="124" xfId="0" applyNumberFormat="1" applyFont="1" applyBorder="1" applyAlignment="1">
      <alignment horizontal="center"/>
    </xf>
    <xf numFmtId="0" fontId="84" fillId="0" borderId="124" xfId="0" applyFont="1" applyBorder="1"/>
    <xf numFmtId="0" fontId="120" fillId="0" borderId="124" xfId="0" applyFont="1" applyBorder="1" applyAlignment="1">
      <alignment horizontal="left" vertical="center" wrapText="1" indent="1"/>
    </xf>
    <xf numFmtId="0" fontId="121" fillId="3" borderId="124" xfId="0" applyFont="1" applyFill="1" applyBorder="1" applyAlignment="1">
      <alignment horizontal="left" vertical="center" wrapText="1"/>
    </xf>
    <xf numFmtId="0" fontId="122" fillId="3" borderId="124" xfId="0" applyFont="1" applyFill="1" applyBorder="1" applyAlignment="1">
      <alignment horizontal="left" vertical="center" wrapText="1" indent="1"/>
    </xf>
    <xf numFmtId="0" fontId="124" fillId="0" borderId="124" xfId="0" applyFont="1" applyBorder="1" applyAlignment="1">
      <alignment horizontal="justify"/>
    </xf>
    <xf numFmtId="167" fontId="86" fillId="0" borderId="124" xfId="0" applyNumberFormat="1" applyFont="1" applyBorder="1" applyAlignment="1">
      <alignment horizontal="center"/>
    </xf>
    <xf numFmtId="167" fontId="86" fillId="0" borderId="56" xfId="0" applyNumberFormat="1" applyFont="1" applyBorder="1" applyAlignment="1">
      <alignment horizontal="center"/>
    </xf>
    <xf numFmtId="167" fontId="87" fillId="0" borderId="58" xfId="0" applyNumberFormat="1" applyFont="1" applyBorder="1" applyAlignment="1">
      <alignment horizontal="center"/>
    </xf>
    <xf numFmtId="167" fontId="46" fillId="0" borderId="58" xfId="0" applyNumberFormat="1" applyFont="1" applyBorder="1" applyAlignment="1">
      <alignment horizontal="center"/>
    </xf>
    <xf numFmtId="0" fontId="84" fillId="0" borderId="124" xfId="0" applyFont="1" applyBorder="1" applyAlignment="1">
      <alignment horizontal="center"/>
    </xf>
    <xf numFmtId="0" fontId="111" fillId="0" borderId="124" xfId="0" applyFont="1" applyBorder="1"/>
    <xf numFmtId="49" fontId="113" fillId="0" borderId="124" xfId="5" applyNumberFormat="1" applyFont="1" applyBorder="1" applyAlignment="1" applyProtection="1">
      <alignment horizontal="right" vertical="center"/>
      <protection locked="0"/>
    </xf>
    <xf numFmtId="0" fontId="112" fillId="3" borderId="124" xfId="13" applyFont="1" applyFill="1" applyBorder="1" applyAlignment="1" applyProtection="1">
      <alignment horizontal="left" vertical="center" wrapText="1"/>
      <protection locked="0"/>
    </xf>
    <xf numFmtId="49" fontId="112" fillId="3" borderId="124" xfId="5" applyNumberFormat="1" applyFont="1" applyFill="1" applyBorder="1" applyAlignment="1" applyProtection="1">
      <alignment horizontal="right" vertical="center"/>
      <protection locked="0"/>
    </xf>
    <xf numFmtId="0" fontId="112" fillId="0" borderId="124" xfId="13" applyFont="1" applyBorder="1" applyAlignment="1" applyProtection="1">
      <alignment horizontal="left" vertical="center" wrapText="1"/>
      <protection locked="0"/>
    </xf>
    <xf numFmtId="49" fontId="112" fillId="0" borderId="124" xfId="5" applyNumberFormat="1" applyFont="1" applyBorder="1" applyAlignment="1" applyProtection="1">
      <alignment horizontal="right" vertical="center"/>
      <protection locked="0"/>
    </xf>
    <xf numFmtId="0" fontId="114" fillId="0" borderId="124" xfId="13" applyFont="1" applyBorder="1" applyAlignment="1" applyProtection="1">
      <alignment horizontal="left" vertical="center" wrapText="1"/>
      <protection locked="0"/>
    </xf>
    <xf numFmtId="0" fontId="111" fillId="0" borderId="124" xfId="0" applyFont="1" applyBorder="1" applyAlignment="1">
      <alignment horizontal="center" vertical="center" wrapText="1"/>
    </xf>
    <xf numFmtId="14" fontId="108" fillId="0" borderId="0" xfId="0" applyNumberFormat="1" applyFont="1"/>
    <xf numFmtId="43" fontId="93" fillId="0" borderId="0" xfId="7" applyFont="1"/>
    <xf numFmtId="0" fontId="108" fillId="0" borderId="0" xfId="0" applyFont="1" applyAlignment="1">
      <alignment wrapText="1"/>
    </xf>
    <xf numFmtId="0" fontId="107" fillId="0" borderId="124" xfId="0" applyFont="1" applyBorder="1"/>
    <xf numFmtId="0" fontId="107" fillId="0" borderId="124" xfId="0" applyFont="1" applyBorder="1" applyAlignment="1">
      <alignment horizontal="left" indent="8"/>
    </xf>
    <xf numFmtId="0" fontId="107" fillId="0" borderId="124" xfId="0" applyFont="1" applyBorder="1" applyAlignment="1">
      <alignment wrapText="1"/>
    </xf>
    <xf numFmtId="0" fontId="111" fillId="0" borderId="0" xfId="0" applyFont="1"/>
    <xf numFmtId="0" fontId="110" fillId="0" borderId="124" xfId="0" applyFont="1" applyBorder="1"/>
    <xf numFmtId="49" fontId="113" fillId="0" borderId="124" xfId="5" applyNumberFormat="1" applyFont="1" applyBorder="1" applyAlignment="1" applyProtection="1">
      <alignment horizontal="right" vertical="center" wrapText="1"/>
      <protection locked="0"/>
    </xf>
    <xf numFmtId="49" fontId="112" fillId="3" borderId="124" xfId="5" applyNumberFormat="1" applyFont="1" applyFill="1" applyBorder="1" applyAlignment="1" applyProtection="1">
      <alignment horizontal="right" vertical="center" wrapText="1"/>
      <protection locked="0"/>
    </xf>
    <xf numFmtId="49" fontId="112" fillId="0" borderId="124" xfId="5" applyNumberFormat="1" applyFont="1" applyBorder="1" applyAlignment="1" applyProtection="1">
      <alignment horizontal="right" vertical="center" wrapText="1"/>
      <protection locked="0"/>
    </xf>
    <xf numFmtId="0" fontId="107" fillId="0" borderId="124" xfId="0" applyFont="1" applyBorder="1" applyAlignment="1">
      <alignment horizontal="center" vertical="center" wrapText="1"/>
    </xf>
    <xf numFmtId="0" fontId="107" fillId="0" borderId="128" xfId="0" applyFont="1" applyBorder="1" applyAlignment="1">
      <alignment horizontal="center" vertical="center" wrapText="1"/>
    </xf>
    <xf numFmtId="0" fontId="107" fillId="0" borderId="124" xfId="0" applyFont="1" applyBorder="1" applyAlignment="1">
      <alignment horizontal="center" vertical="center"/>
    </xf>
    <xf numFmtId="0" fontId="107" fillId="0" borderId="0" xfId="0" applyFont="1"/>
    <xf numFmtId="0" fontId="107" fillId="0" borderId="0" xfId="0" applyFont="1" applyAlignment="1">
      <alignment wrapText="1"/>
    </xf>
    <xf numFmtId="14" fontId="107" fillId="0" borderId="0" xfId="0" applyNumberFormat="1" applyFont="1"/>
    <xf numFmtId="0" fontId="108" fillId="0" borderId="0" xfId="0" applyFont="1" applyAlignment="1">
      <alignment horizontal="left"/>
    </xf>
    <xf numFmtId="0" fontId="107" fillId="0" borderId="124" xfId="0" applyFont="1" applyBorder="1" applyAlignment="1">
      <alignment horizontal="left" vertical="center" wrapText="1"/>
    </xf>
    <xf numFmtId="0" fontId="110" fillId="0" borderId="124" xfId="0" applyFont="1" applyBorder="1" applyAlignment="1">
      <alignment horizontal="left" wrapText="1" indent="1"/>
    </xf>
    <xf numFmtId="0" fontId="110" fillId="0" borderId="124" xfId="0" applyFont="1" applyBorder="1" applyAlignment="1">
      <alignment horizontal="left" vertical="center" indent="1"/>
    </xf>
    <xf numFmtId="0" fontId="108" fillId="0" borderId="124" xfId="0" applyFont="1" applyBorder="1"/>
    <xf numFmtId="0" fontId="107" fillId="0" borderId="124" xfId="0" applyFont="1" applyBorder="1" applyAlignment="1">
      <alignment horizontal="left" wrapText="1" indent="1"/>
    </xf>
    <xf numFmtId="0" fontId="107" fillId="0" borderId="124" xfId="0" applyFont="1" applyBorder="1" applyAlignment="1">
      <alignment horizontal="left" indent="1"/>
    </xf>
    <xf numFmtId="0" fontId="107" fillId="0" borderId="124" xfId="0" applyFont="1" applyBorder="1" applyAlignment="1">
      <alignment horizontal="left" wrapText="1" indent="4"/>
    </xf>
    <xf numFmtId="0" fontId="110" fillId="0" borderId="124" xfId="0" applyFont="1" applyBorder="1" applyAlignment="1">
      <alignment horizontal="left" indent="1"/>
    </xf>
    <xf numFmtId="0" fontId="108" fillId="77" borderId="124" xfId="0" applyFont="1" applyFill="1" applyBorder="1"/>
    <xf numFmtId="0" fontId="111" fillId="0" borderId="7" xfId="0" applyFont="1" applyBorder="1"/>
    <xf numFmtId="0" fontId="108" fillId="0" borderId="124" xfId="0" applyFont="1" applyBorder="1" applyAlignment="1">
      <alignment horizontal="left" wrapText="1" indent="2"/>
    </xf>
    <xf numFmtId="0" fontId="108" fillId="0" borderId="124" xfId="0" applyFont="1" applyBorder="1" applyAlignment="1">
      <alignment horizontal="left" wrapText="1"/>
    </xf>
    <xf numFmtId="0" fontId="107" fillId="0" borderId="0" xfId="0" applyFont="1" applyAlignment="1">
      <alignment horizontal="center" vertical="center"/>
    </xf>
    <xf numFmtId="0" fontId="107" fillId="0" borderId="7" xfId="0" applyFont="1" applyBorder="1" applyAlignment="1">
      <alignment horizontal="center" vertical="center" wrapText="1"/>
    </xf>
    <xf numFmtId="0" fontId="107" fillId="0" borderId="7" xfId="0" applyFont="1" applyBorder="1" applyAlignment="1">
      <alignment wrapText="1"/>
    </xf>
    <xf numFmtId="0" fontId="107" fillId="0" borderId="0" xfId="0" applyFont="1" applyAlignment="1">
      <alignment horizontal="center" vertical="center" wrapText="1"/>
    </xf>
    <xf numFmtId="0" fontId="107" fillId="0" borderId="103" xfId="0" applyFont="1" applyBorder="1" applyAlignment="1">
      <alignment horizontal="center" vertical="center" wrapText="1"/>
    </xf>
    <xf numFmtId="0" fontId="107" fillId="0" borderId="127" xfId="0" applyFont="1" applyBorder="1" applyAlignment="1">
      <alignment horizontal="center" vertical="center" wrapText="1"/>
    </xf>
    <xf numFmtId="0" fontId="107" fillId="0" borderId="104" xfId="0" applyFont="1" applyBorder="1" applyAlignment="1">
      <alignment horizontal="center" vertical="center" wrapText="1"/>
    </xf>
    <xf numFmtId="0" fontId="107" fillId="0" borderId="75" xfId="0" applyFont="1" applyBorder="1" applyAlignment="1">
      <alignment horizontal="center" vertical="center" wrapText="1"/>
    </xf>
    <xf numFmtId="0" fontId="107" fillId="0" borderId="81" xfId="0" applyFont="1" applyBorder="1" applyAlignment="1">
      <alignment horizontal="center" vertical="center" wrapText="1"/>
    </xf>
    <xf numFmtId="0" fontId="107" fillId="0" borderId="0" xfId="0" applyFont="1" applyAlignment="1">
      <alignment horizontal="left"/>
    </xf>
    <xf numFmtId="0" fontId="110" fillId="0" borderId="124" xfId="0" applyFont="1" applyBorder="1" applyAlignment="1">
      <alignment horizontal="left" vertical="center" wrapText="1"/>
    </xf>
    <xf numFmtId="0" fontId="112" fillId="0" borderId="0" xfId="0" applyFont="1"/>
    <xf numFmtId="0" fontId="91" fillId="0" borderId="0" xfId="0" applyFont="1" applyAlignment="1">
      <alignment wrapText="1"/>
    </xf>
    <xf numFmtId="0" fontId="110" fillId="0" borderId="124" xfId="0" applyFont="1" applyBorder="1" applyAlignment="1">
      <alignment horizontal="center" vertical="center" wrapText="1"/>
    </xf>
    <xf numFmtId="0" fontId="112" fillId="0" borderId="0" xfId="0" applyFont="1" applyAlignment="1">
      <alignment horizontal="center" vertical="center"/>
    </xf>
    <xf numFmtId="0" fontId="128" fillId="0" borderId="0" xfId="0" applyFont="1"/>
    <xf numFmtId="0" fontId="110" fillId="0" borderId="124" xfId="0" applyFont="1" applyBorder="1" applyAlignment="1">
      <alignment vertical="center" wrapText="1" readingOrder="1"/>
    </xf>
    <xf numFmtId="0" fontId="107" fillId="0" borderId="120" xfId="0" applyFont="1" applyBorder="1" applyAlignment="1">
      <alignment vertical="center" wrapText="1" readingOrder="1"/>
    </xf>
    <xf numFmtId="0" fontId="107" fillId="0" borderId="119" xfId="0" applyFont="1" applyBorder="1" applyAlignment="1">
      <alignment vertical="center" wrapText="1" readingOrder="1"/>
    </xf>
    <xf numFmtId="0" fontId="107" fillId="0" borderId="118" xfId="0" applyFont="1" applyBorder="1" applyAlignment="1">
      <alignment vertical="center" wrapText="1" readingOrder="1"/>
    </xf>
    <xf numFmtId="0" fontId="128" fillId="0" borderId="7" xfId="0" applyFont="1" applyBorder="1"/>
    <xf numFmtId="167" fontId="129" fillId="79" borderId="57" xfId="0" applyNumberFormat="1" applyFont="1" applyFill="1" applyBorder="1" applyAlignment="1">
      <alignment horizontal="center"/>
    </xf>
    <xf numFmtId="0" fontId="93" fillId="0" borderId="0" xfId="11" applyFont="1"/>
    <xf numFmtId="0" fontId="93" fillId="0" borderId="0" xfId="0" applyFont="1"/>
    <xf numFmtId="14" fontId="3" fillId="0" borderId="0" xfId="0" applyNumberFormat="1" applyFont="1"/>
    <xf numFmtId="0" fontId="130" fillId="0" borderId="0" xfId="11" applyFont="1"/>
    <xf numFmtId="0" fontId="131" fillId="0" borderId="0" xfId="0" applyFont="1"/>
    <xf numFmtId="0" fontId="132" fillId="80" borderId="16" xfId="0" applyFont="1" applyFill="1" applyBorder="1" applyAlignment="1">
      <alignment horizontal="center" vertical="center"/>
    </xf>
    <xf numFmtId="0" fontId="132" fillId="80" borderId="17" xfId="0" applyFont="1" applyFill="1" applyBorder="1" applyAlignment="1">
      <alignment horizontal="center" vertical="center"/>
    </xf>
    <xf numFmtId="0" fontId="132" fillId="81" borderId="124" xfId="0" applyFont="1" applyFill="1" applyBorder="1" applyAlignment="1">
      <alignment horizontal="left" vertical="center"/>
    </xf>
    <xf numFmtId="192" fontId="132" fillId="81" borderId="81" xfId="7" applyNumberFormat="1" applyFont="1" applyFill="1" applyBorder="1" applyAlignment="1">
      <alignment horizontal="left" vertical="center"/>
    </xf>
    <xf numFmtId="49" fontId="134" fillId="0" borderId="124" xfId="0" applyNumberFormat="1" applyFont="1" applyBorder="1" applyAlignment="1">
      <alignment horizontal="left" vertical="center"/>
    </xf>
    <xf numFmtId="192" fontId="134" fillId="0" borderId="81" xfId="7" applyNumberFormat="1" applyFont="1" applyFill="1" applyBorder="1" applyAlignment="1">
      <alignment horizontal="left" vertical="center"/>
    </xf>
    <xf numFmtId="0" fontId="134" fillId="0" borderId="124" xfId="0" applyFont="1" applyBorder="1" applyAlignment="1">
      <alignment horizontal="left" vertical="center"/>
    </xf>
    <xf numFmtId="0" fontId="132" fillId="0" borderId="124" xfId="0" applyFont="1" applyBorder="1" applyAlignment="1">
      <alignment horizontal="left" vertical="center"/>
    </xf>
    <xf numFmtId="10" fontId="93" fillId="0" borderId="81" xfId="0" applyNumberFormat="1" applyFont="1" applyBorder="1" applyAlignment="1">
      <alignment horizontal="right" vertical="center" wrapText="1"/>
    </xf>
    <xf numFmtId="0" fontId="136" fillId="82" borderId="22" xfId="0" applyFont="1" applyFill="1" applyBorder="1" applyAlignment="1">
      <alignment horizontal="left" vertical="center"/>
    </xf>
    <xf numFmtId="10" fontId="130" fillId="83" borderId="23" xfId="0" applyNumberFormat="1" applyFont="1" applyFill="1" applyBorder="1" applyAlignment="1">
      <alignment horizontal="right" vertical="center" wrapText="1"/>
    </xf>
    <xf numFmtId="0" fontId="137" fillId="0" borderId="0" xfId="0" applyFont="1" applyAlignment="1">
      <alignment vertical="top" wrapText="1"/>
    </xf>
    <xf numFmtId="0" fontId="139" fillId="0" borderId="0" xfId="0" applyFont="1" applyAlignment="1">
      <alignment vertical="top"/>
    </xf>
    <xf numFmtId="0" fontId="139" fillId="0" borderId="0" xfId="0" applyFont="1" applyAlignment="1">
      <alignment vertical="top" wrapText="1"/>
    </xf>
    <xf numFmtId="0" fontId="0" fillId="0" borderId="1" xfId="0" applyBorder="1"/>
    <xf numFmtId="0" fontId="3" fillId="84" borderId="124" xfId="0" applyFont="1" applyFill="1" applyBorder="1" applyAlignment="1">
      <alignment horizontal="center" vertical="center" wrapText="1"/>
    </xf>
    <xf numFmtId="0" fontId="4" fillId="83" borderId="124" xfId="0" applyFont="1" applyFill="1" applyBorder="1" applyAlignment="1">
      <alignment vertical="center" wrapText="1"/>
    </xf>
    <xf numFmtId="192" fontId="4" fillId="83" borderId="124" xfId="7" applyNumberFormat="1" applyFont="1" applyFill="1" applyBorder="1" applyAlignment="1">
      <alignment vertical="center"/>
    </xf>
    <xf numFmtId="192" fontId="4" fillId="83" borderId="81" xfId="7" applyNumberFormat="1" applyFont="1" applyFill="1" applyBorder="1" applyAlignment="1">
      <alignment vertical="center"/>
    </xf>
    <xf numFmtId="0" fontId="134" fillId="81" borderId="124" xfId="0" applyFont="1" applyFill="1" applyBorder="1" applyAlignment="1">
      <alignment horizontal="left" vertical="center" wrapText="1" indent="3"/>
    </xf>
    <xf numFmtId="192" fontId="4" fillId="35" borderId="124" xfId="7" applyNumberFormat="1" applyFont="1" applyFill="1" applyBorder="1" applyAlignment="1">
      <alignment vertical="center"/>
    </xf>
    <xf numFmtId="0" fontId="140" fillId="81" borderId="124" xfId="0" applyFont="1" applyFill="1" applyBorder="1" applyAlignment="1">
      <alignment horizontal="left" vertical="center" wrapText="1" indent="5"/>
    </xf>
    <xf numFmtId="0" fontId="141" fillId="80" borderId="124" xfId="0" applyFont="1" applyFill="1" applyBorder="1" applyAlignment="1">
      <alignment horizontal="left" vertical="center" wrapText="1" indent="1"/>
    </xf>
    <xf numFmtId="192" fontId="141" fillId="80" borderId="124" xfId="7" applyNumberFormat="1" applyFont="1" applyFill="1" applyBorder="1" applyAlignment="1">
      <alignment vertical="center"/>
    </xf>
    <xf numFmtId="192" fontId="141" fillId="82" borderId="81" xfId="7" applyNumberFormat="1" applyFont="1" applyFill="1" applyBorder="1" applyAlignment="1">
      <alignment vertical="center"/>
    </xf>
    <xf numFmtId="192" fontId="142" fillId="81" borderId="124" xfId="7" applyNumberFormat="1" applyFont="1" applyFill="1" applyBorder="1" applyAlignment="1">
      <alignment vertical="center"/>
    </xf>
    <xf numFmtId="192" fontId="142" fillId="82" borderId="81" xfId="7" applyNumberFormat="1" applyFont="1" applyFill="1" applyBorder="1" applyAlignment="1">
      <alignment vertical="center"/>
    </xf>
    <xf numFmtId="192" fontId="142" fillId="81" borderId="22" xfId="7" applyNumberFormat="1" applyFont="1" applyFill="1" applyBorder="1" applyAlignment="1">
      <alignment vertical="center"/>
    </xf>
    <xf numFmtId="192" fontId="142" fillId="82" borderId="23" xfId="7" applyNumberFormat="1" applyFont="1" applyFill="1" applyBorder="1" applyAlignment="1">
      <alignment vertical="center"/>
    </xf>
    <xf numFmtId="169" fontId="9" fillId="36" borderId="93" xfId="20" applyBorder="1"/>
    <xf numFmtId="0" fontId="91" fillId="0" borderId="184" xfId="0" applyFont="1" applyBorder="1" applyAlignment="1">
      <alignment horizontal="center" vertical="center" wrapText="1"/>
    </xf>
    <xf numFmtId="0" fontId="91" fillId="0" borderId="0" xfId="0" applyFont="1"/>
    <xf numFmtId="0" fontId="346" fillId="0" borderId="0" xfId="0" applyFont="1"/>
    <xf numFmtId="14" fontId="91" fillId="0" borderId="0" xfId="0" applyNumberFormat="1" applyFont="1"/>
    <xf numFmtId="0" fontId="91" fillId="0" borderId="111" xfId="0" applyFont="1" applyBorder="1" applyAlignment="1">
      <alignment horizontal="center" vertical="center" wrapText="1"/>
    </xf>
    <xf numFmtId="0" fontId="347" fillId="0" borderId="111" xfId="0" applyFont="1" applyBorder="1" applyAlignment="1">
      <alignment horizontal="center" vertical="center"/>
    </xf>
    <xf numFmtId="0" fontId="346" fillId="0" borderId="111" xfId="0" applyFont="1" applyBorder="1" applyAlignment="1">
      <alignment horizontal="center"/>
    </xf>
    <xf numFmtId="0" fontId="348" fillId="0" borderId="111" xfId="20954" applyFont="1" applyBorder="1" applyAlignment="1">
      <alignment horizontal="center" vertical="center" wrapText="1"/>
    </xf>
    <xf numFmtId="0" fontId="346" fillId="0" borderId="124" xfId="0" applyFont="1" applyBorder="1" applyAlignment="1">
      <alignment horizontal="center"/>
    </xf>
    <xf numFmtId="0" fontId="348" fillId="0" borderId="124" xfId="0" applyFont="1" applyBorder="1" applyAlignment="1">
      <alignment vertical="center" wrapText="1"/>
    </xf>
    <xf numFmtId="0" fontId="348" fillId="0" borderId="124" xfId="20954" applyFont="1" applyBorder="1" applyAlignment="1">
      <alignment horizontal="center" vertical="center" wrapText="1"/>
    </xf>
    <xf numFmtId="0" fontId="350" fillId="0" borderId="0" xfId="0" applyFont="1" applyAlignment="1">
      <alignment horizontal="justify"/>
    </xf>
    <xf numFmtId="0" fontId="348" fillId="0" borderId="124" xfId="0" applyFont="1" applyBorder="1" applyAlignment="1">
      <alignment horizontal="left" vertical="center" wrapText="1"/>
    </xf>
    <xf numFmtId="0" fontId="346" fillId="0" borderId="0" xfId="0" applyFont="1" applyAlignment="1">
      <alignment horizontal="center"/>
    </xf>
    <xf numFmtId="0" fontId="346" fillId="0" borderId="0" xfId="0" applyFont="1" applyAlignment="1">
      <alignment horizontal="left" vertical="center"/>
    </xf>
    <xf numFmtId="191" fontId="2" fillId="0" borderId="124" xfId="0" applyNumberFormat="1" applyFont="1" applyBorder="1" applyAlignment="1">
      <alignment horizontal="right"/>
    </xf>
    <xf numFmtId="191" fontId="2" fillId="35" borderId="124" xfId="0" applyNumberFormat="1" applyFont="1" applyFill="1" applyBorder="1" applyAlignment="1">
      <alignment horizontal="right"/>
    </xf>
    <xf numFmtId="191" fontId="2" fillId="35" borderId="81" xfId="0" applyNumberFormat="1" applyFont="1" applyFill="1" applyBorder="1" applyAlignment="1">
      <alignment horizontal="right"/>
    </xf>
    <xf numFmtId="0" fontId="86" fillId="0" borderId="124" xfId="0" applyFont="1" applyBorder="1" applyAlignment="1">
      <alignment vertical="center"/>
    </xf>
    <xf numFmtId="0" fontId="45" fillId="0" borderId="124" xfId="0" applyFont="1" applyBorder="1" applyAlignment="1">
      <alignment vertical="center" wrapText="1"/>
    </xf>
    <xf numFmtId="191" fontId="91" fillId="35" borderId="190" xfId="0" applyNumberFormat="1" applyFont="1" applyFill="1" applyBorder="1" applyAlignment="1">
      <alignment horizontal="right"/>
    </xf>
    <xf numFmtId="0" fontId="348" fillId="0" borderId="190" xfId="20954" applyFont="1" applyBorder="1" applyAlignment="1">
      <alignment horizontal="left" vertical="center" wrapText="1"/>
    </xf>
    <xf numFmtId="191" fontId="91" fillId="0" borderId="190" xfId="0" applyNumberFormat="1" applyFont="1" applyBorder="1" applyAlignment="1">
      <alignment horizontal="right"/>
    </xf>
    <xf numFmtId="0" fontId="6" fillId="0" borderId="190" xfId="17" applyFill="1" applyBorder="1" applyAlignment="1" applyProtection="1"/>
    <xf numFmtId="49" fontId="84" fillId="0" borderId="190" xfId="0" applyNumberFormat="1" applyFont="1" applyBorder="1" applyAlignment="1">
      <alignment horizontal="right"/>
    </xf>
    <xf numFmtId="0" fontId="84" fillId="0" borderId="190" xfId="0" applyFont="1" applyBorder="1"/>
    <xf numFmtId="0" fontId="351" fillId="3" borderId="0" xfId="37364" applyFont="1" applyFill="1" applyAlignment="1" applyProtection="1">
      <alignment vertical="center"/>
      <protection locked="0"/>
    </xf>
    <xf numFmtId="0" fontId="128" fillId="3" borderId="190" xfId="5" applyFont="1" applyFill="1" applyBorder="1" applyAlignment="1" applyProtection="1">
      <alignment vertical="center" wrapText="1"/>
      <protection locked="0"/>
    </xf>
    <xf numFmtId="0" fontId="128" fillId="0" borderId="190" xfId="37365" applyFont="1" applyBorder="1" applyAlignment="1" applyProtection="1">
      <alignment horizontal="center" vertical="center" wrapText="1"/>
      <protection locked="0"/>
    </xf>
    <xf numFmtId="3" fontId="128" fillId="3" borderId="190" xfId="1" applyNumberFormat="1" applyFont="1" applyFill="1" applyBorder="1" applyAlignment="1" applyProtection="1">
      <alignment horizontal="center" vertical="center" wrapText="1"/>
      <protection locked="0"/>
    </xf>
    <xf numFmtId="9" fontId="128" fillId="3" borderId="190" xfId="15" applyNumberFormat="1" applyFont="1" applyFill="1" applyBorder="1" applyAlignment="1" applyProtection="1">
      <alignment horizontal="center" vertical="center" wrapText="1"/>
      <protection locked="0"/>
    </xf>
    <xf numFmtId="0" fontId="128" fillId="3" borderId="190" xfId="37365" applyFont="1" applyFill="1" applyBorder="1" applyAlignment="1" applyProtection="1">
      <alignment horizontal="center" vertical="center" wrapText="1"/>
      <protection locked="0"/>
    </xf>
    <xf numFmtId="0" fontId="351" fillId="3" borderId="190" xfId="37365" applyFont="1" applyFill="1" applyBorder="1" applyProtection="1">
      <protection locked="0"/>
    </xf>
    <xf numFmtId="3" fontId="128" fillId="151" borderId="190" xfId="5" applyNumberFormat="1" applyFont="1" applyFill="1" applyBorder="1"/>
    <xf numFmtId="0" fontId="352" fillId="3" borderId="190" xfId="37365" applyFont="1" applyFill="1" applyBorder="1" applyAlignment="1" applyProtection="1">
      <alignment horizontal="right"/>
      <protection locked="0"/>
    </xf>
    <xf numFmtId="359" fontId="128" fillId="151" borderId="190" xfId="5" applyNumberFormat="1" applyFont="1" applyFill="1" applyBorder="1" applyProtection="1">
      <protection locked="0"/>
    </xf>
    <xf numFmtId="164" fontId="128" fillId="151" borderId="190" xfId="1" applyNumberFormat="1" applyFont="1" applyFill="1" applyBorder="1" applyAlignment="1" applyProtection="1"/>
    <xf numFmtId="0" fontId="128" fillId="3" borderId="190" xfId="37365" applyFont="1" applyFill="1" applyBorder="1" applyAlignment="1" applyProtection="1">
      <alignment horizontal="left" vertical="center"/>
      <protection locked="0"/>
    </xf>
    <xf numFmtId="3" fontId="128" fillId="3" borderId="190" xfId="5" applyNumberFormat="1" applyFont="1" applyFill="1" applyBorder="1" applyProtection="1">
      <protection locked="0"/>
    </xf>
    <xf numFmtId="0" fontId="128" fillId="3" borderId="190" xfId="5" applyFont="1" applyFill="1" applyBorder="1" applyProtection="1">
      <protection locked="0"/>
    </xf>
    <xf numFmtId="0" fontId="353" fillId="3" borderId="190" xfId="37365" applyFont="1" applyFill="1" applyBorder="1" applyAlignment="1" applyProtection="1">
      <alignment horizontal="right"/>
      <protection locked="0"/>
    </xf>
    <xf numFmtId="0" fontId="128" fillId="0" borderId="190" xfId="37365" applyFont="1" applyBorder="1" applyAlignment="1" applyProtection="1">
      <alignment horizontal="left" vertical="center"/>
      <protection locked="0"/>
    </xf>
    <xf numFmtId="0" fontId="351" fillId="3" borderId="190" xfId="16" applyFont="1" applyFill="1" applyBorder="1" applyProtection="1">
      <protection locked="0"/>
    </xf>
    <xf numFmtId="3" fontId="351" fillId="75" borderId="190" xfId="16" applyNumberFormat="1" applyFont="1" applyFill="1" applyBorder="1"/>
    <xf numFmtId="0" fontId="356" fillId="0" borderId="0" xfId="37364" applyFont="1" applyAlignment="1" applyProtection="1">
      <alignment vertical="center"/>
      <protection locked="0"/>
    </xf>
    <xf numFmtId="0" fontId="128" fillId="0" borderId="190" xfId="37365" applyFont="1" applyBorder="1" applyAlignment="1" applyProtection="1">
      <alignment horizontal="center" vertical="top" wrapText="1"/>
      <protection locked="0"/>
    </xf>
    <xf numFmtId="0" fontId="351" fillId="3" borderId="190" xfId="37365" applyFont="1" applyFill="1" applyBorder="1" applyAlignment="1" applyProtection="1">
      <alignment wrapText="1"/>
      <protection locked="0"/>
    </xf>
    <xf numFmtId="3" fontId="128" fillId="0" borderId="190" xfId="5" applyNumberFormat="1" applyFont="1" applyBorder="1"/>
    <xf numFmtId="0" fontId="117" fillId="75" borderId="97" xfId="20952" applyFont="1" applyFill="1" applyBorder="1">
      <alignment vertical="center"/>
    </xf>
    <xf numFmtId="0" fontId="117" fillId="75" borderId="98" xfId="20952" applyFont="1" applyFill="1" applyBorder="1">
      <alignment vertical="center"/>
    </xf>
    <xf numFmtId="0" fontId="117" fillId="75" borderId="95" xfId="20952" applyFont="1" applyFill="1" applyBorder="1">
      <alignment vertical="center"/>
    </xf>
    <xf numFmtId="164" fontId="117" fillId="75" borderId="95" xfId="7" applyNumberFormat="1" applyFont="1" applyFill="1" applyBorder="1" applyAlignment="1">
      <alignment horizontal="right" vertical="center"/>
    </xf>
    <xf numFmtId="0" fontId="117" fillId="76" borderId="98" xfId="20952" applyFont="1" applyFill="1" applyBorder="1">
      <alignment vertical="center"/>
    </xf>
    <xf numFmtId="0" fontId="117" fillId="3" borderId="98" xfId="20952" applyFont="1" applyFill="1" applyBorder="1">
      <alignment vertical="center"/>
    </xf>
    <xf numFmtId="0" fontId="91" fillId="69" borderId="94" xfId="20952" applyFont="1" applyFill="1" applyBorder="1" applyAlignment="1">
      <alignment horizontal="center" vertical="center"/>
    </xf>
    <xf numFmtId="0" fontId="91" fillId="69" borderId="95" xfId="20952" applyFont="1" applyFill="1" applyBorder="1" applyAlignment="1">
      <alignment horizontal="left" vertical="center" wrapText="1"/>
    </xf>
    <xf numFmtId="164" fontId="91" fillId="0" borderId="96" xfId="7" applyNumberFormat="1" applyFont="1" applyFill="1" applyBorder="1" applyAlignment="1" applyProtection="1">
      <alignment horizontal="right" vertical="center"/>
      <protection locked="0"/>
    </xf>
    <xf numFmtId="0" fontId="117" fillId="76" borderId="96" xfId="20952" applyFont="1" applyFill="1" applyBorder="1" applyAlignment="1">
      <alignment horizontal="center" vertical="center"/>
    </xf>
    <xf numFmtId="0" fontId="117" fillId="76" borderId="98" xfId="20952" applyFont="1" applyFill="1" applyBorder="1" applyAlignment="1">
      <alignment vertical="top" wrapText="1"/>
    </xf>
    <xf numFmtId="0" fontId="91" fillId="69" borderId="98" xfId="20952" applyFont="1" applyFill="1" applyBorder="1" applyAlignment="1">
      <alignment vertical="center" wrapText="1"/>
    </xf>
    <xf numFmtId="0" fontId="91" fillId="69" borderId="95" xfId="20952" applyFont="1" applyFill="1" applyBorder="1" applyAlignment="1">
      <alignment horizontal="left" vertical="center"/>
    </xf>
    <xf numFmtId="0" fontId="91" fillId="3" borderId="94" xfId="20952" applyFont="1" applyFill="1" applyBorder="1" applyAlignment="1">
      <alignment horizontal="center" vertical="center"/>
    </xf>
    <xf numFmtId="164" fontId="91" fillId="76" borderId="96" xfId="7" applyNumberFormat="1" applyFont="1" applyFill="1" applyBorder="1" applyAlignment="1" applyProtection="1">
      <alignment horizontal="right" vertical="center"/>
      <protection locked="0"/>
    </xf>
    <xf numFmtId="164" fontId="91" fillId="3" borderId="96" xfId="7" applyNumberFormat="1" applyFont="1" applyFill="1" applyBorder="1" applyAlignment="1" applyProtection="1">
      <alignment horizontal="right" vertical="center"/>
      <protection locked="0"/>
    </xf>
    <xf numFmtId="0" fontId="91" fillId="69" borderId="96" xfId="20952" applyFont="1" applyFill="1" applyBorder="1" applyAlignment="1">
      <alignment horizontal="center" vertical="center"/>
    </xf>
    <xf numFmtId="0" fontId="346" fillId="0" borderId="0" xfId="0" applyFont="1" applyAlignment="1">
      <alignment wrapText="1"/>
    </xf>
    <xf numFmtId="0" fontId="103" fillId="69" borderId="197" xfId="20952" applyFont="1" applyFill="1" applyBorder="1" applyAlignment="1" applyProtection="1">
      <alignment horizontal="center" vertical="center"/>
      <protection locked="0"/>
    </xf>
    <xf numFmtId="0" fontId="104" fillId="76" borderId="190" xfId="20952" applyFont="1" applyFill="1" applyBorder="1" applyAlignment="1" applyProtection="1">
      <alignment horizontal="center" vertical="center"/>
      <protection locked="0"/>
    </xf>
    <xf numFmtId="164" fontId="346" fillId="0" borderId="124" xfId="7" applyNumberFormat="1" applyFont="1" applyBorder="1"/>
    <xf numFmtId="164" fontId="346" fillId="35" borderId="124" xfId="7" applyNumberFormat="1" applyFont="1" applyFill="1" applyBorder="1"/>
    <xf numFmtId="164" fontId="0" fillId="0" borderId="190" xfId="7" applyNumberFormat="1" applyFont="1" applyBorder="1"/>
    <xf numFmtId="164" fontId="346" fillId="0" borderId="111" xfId="7" applyNumberFormat="1" applyFont="1" applyBorder="1"/>
    <xf numFmtId="164" fontId="346" fillId="35" borderId="111" xfId="7" applyNumberFormat="1" applyFont="1" applyFill="1" applyBorder="1"/>
    <xf numFmtId="164" fontId="346" fillId="0" borderId="111" xfId="7" applyNumberFormat="1" applyFont="1" applyBorder="1" applyAlignment="1">
      <alignment vertical="center"/>
    </xf>
    <xf numFmtId="164" fontId="346" fillId="35" borderId="111" xfId="7" applyNumberFormat="1" applyFont="1" applyFill="1" applyBorder="1" applyAlignment="1">
      <alignment vertical="center"/>
    </xf>
    <xf numFmtId="164" fontId="346" fillId="0" borderId="0" xfId="0" applyNumberFormat="1" applyFont="1"/>
    <xf numFmtId="0" fontId="121" fillId="0" borderId="204" xfId="0" applyFont="1" applyBorder="1" applyAlignment="1">
      <alignment horizontal="justify" vertical="center" wrapText="1"/>
    </xf>
    <xf numFmtId="0" fontId="120" fillId="0" borderId="204" xfId="0" applyFont="1" applyBorder="1" applyAlignment="1">
      <alignment horizontal="left" vertical="center" wrapText="1" indent="1"/>
    </xf>
    <xf numFmtId="0" fontId="119" fillId="0" borderId="204" xfId="0" applyFont="1" applyBorder="1" applyAlignment="1">
      <alignment horizontal="justify" vertical="center" wrapText="1"/>
    </xf>
    <xf numFmtId="0" fontId="121" fillId="3" borderId="204" xfId="0" applyFont="1" applyFill="1" applyBorder="1" applyAlignment="1">
      <alignment horizontal="justify" vertical="center" wrapText="1"/>
    </xf>
    <xf numFmtId="0" fontId="122" fillId="0" borderId="204" xfId="0" applyFont="1" applyBorder="1" applyAlignment="1">
      <alignment horizontal="left" vertical="center" wrapText="1" indent="1"/>
    </xf>
    <xf numFmtId="0" fontId="121" fillId="0" borderId="204" xfId="0" applyFont="1" applyBorder="1" applyAlignment="1">
      <alignment horizontal="left" vertical="center" wrapText="1"/>
    </xf>
    <xf numFmtId="0" fontId="119" fillId="0" borderId="204" xfId="0" applyFont="1" applyBorder="1" applyAlignment="1">
      <alignment vertical="center" wrapText="1"/>
    </xf>
    <xf numFmtId="0" fontId="120" fillId="0" borderId="204" xfId="0" applyFont="1" applyBorder="1" applyAlignment="1">
      <alignment horizontal="left" vertical="center" wrapText="1"/>
    </xf>
    <xf numFmtId="0" fontId="121" fillId="0" borderId="204" xfId="0" applyFont="1" applyBorder="1" applyAlignment="1">
      <alignment vertical="center" wrapText="1"/>
    </xf>
    <xf numFmtId="0" fontId="121" fillId="3" borderId="204" xfId="0" applyFont="1" applyFill="1" applyBorder="1" applyAlignment="1">
      <alignment vertical="center" wrapText="1"/>
    </xf>
    <xf numFmtId="164" fontId="0" fillId="0" borderId="124" xfId="7" applyNumberFormat="1" applyFont="1" applyBorder="1"/>
    <xf numFmtId="164" fontId="0" fillId="0" borderId="0" xfId="0" applyNumberFormat="1"/>
    <xf numFmtId="164" fontId="100" fillId="0" borderId="96" xfId="7" applyNumberFormat="1" applyFont="1" applyBorder="1" applyAlignment="1">
      <alignment vertical="center" wrapText="1"/>
    </xf>
    <xf numFmtId="164" fontId="100" fillId="0" borderId="97" xfId="7" applyNumberFormat="1" applyFont="1" applyBorder="1" applyAlignment="1">
      <alignment vertical="center" wrapText="1"/>
    </xf>
    <xf numFmtId="164" fontId="100" fillId="0" borderId="84" xfId="7" applyNumberFormat="1" applyFont="1" applyBorder="1" applyAlignment="1">
      <alignment vertical="center" wrapText="1"/>
    </xf>
    <xf numFmtId="43" fontId="88" fillId="0" borderId="0" xfId="7" applyFont="1"/>
    <xf numFmtId="191" fontId="85" fillId="0" borderId="0" xfId="0" applyNumberFormat="1" applyFont="1"/>
    <xf numFmtId="43" fontId="85" fillId="0" borderId="0" xfId="7" applyFont="1"/>
    <xf numFmtId="0" fontId="2" fillId="0" borderId="87" xfId="0" applyFont="1" applyBorder="1" applyAlignment="1">
      <alignment vertical="center"/>
    </xf>
    <xf numFmtId="0" fontId="2" fillId="0" borderId="187" xfId="0" applyFont="1" applyBorder="1" applyAlignment="1">
      <alignment wrapText="1"/>
    </xf>
    <xf numFmtId="164" fontId="84" fillId="0" borderId="80" xfId="7" applyNumberFormat="1" applyFont="1" applyFill="1" applyBorder="1" applyAlignment="1">
      <alignment horizontal="center" vertical="center"/>
    </xf>
    <xf numFmtId="164" fontId="84" fillId="0" borderId="124" xfId="7" applyNumberFormat="1" applyFont="1" applyFill="1" applyBorder="1" applyAlignment="1">
      <alignment horizontal="center" vertical="center"/>
    </xf>
    <xf numFmtId="164" fontId="3" fillId="0" borderId="205" xfId="7" applyNumberFormat="1" applyFont="1" applyFill="1" applyBorder="1" applyAlignment="1">
      <alignment vertical="center" wrapText="1"/>
    </xf>
    <xf numFmtId="43" fontId="85" fillId="0" borderId="0" xfId="0" applyNumberFormat="1" applyFont="1"/>
    <xf numFmtId="191" fontId="84" fillId="0" borderId="0" xfId="0" applyNumberFormat="1" applyFont="1"/>
    <xf numFmtId="43" fontId="84" fillId="0" borderId="0" xfId="7" applyFont="1"/>
    <xf numFmtId="10" fontId="3" fillId="0" borderId="0" xfId="0" applyNumberFormat="1" applyFont="1" applyAlignment="1">
      <alignment horizontal="left" vertical="center"/>
    </xf>
    <xf numFmtId="43" fontId="3" fillId="0" borderId="0" xfId="7" applyFont="1"/>
    <xf numFmtId="43" fontId="91" fillId="0" borderId="0" xfId="7" applyFont="1"/>
    <xf numFmtId="43" fontId="3" fillId="0" borderId="0" xfId="7" applyFont="1" applyAlignment="1">
      <alignment horizontal="center" vertical="center"/>
    </xf>
    <xf numFmtId="43" fontId="3" fillId="0" borderId="0" xfId="7" applyFont="1" applyAlignment="1">
      <alignment horizontal="left" vertical="center"/>
    </xf>
    <xf numFmtId="164" fontId="86" fillId="0" borderId="31" xfId="7" applyNumberFormat="1" applyFont="1" applyBorder="1" applyAlignment="1">
      <alignment vertical="center"/>
    </xf>
    <xf numFmtId="164" fontId="84" fillId="0" borderId="11" xfId="7" applyNumberFormat="1" applyFont="1" applyBorder="1" applyAlignment="1">
      <alignment vertical="center"/>
    </xf>
    <xf numFmtId="164" fontId="86" fillId="0" borderId="11" xfId="7" applyNumberFormat="1" applyFont="1" applyBorder="1" applyAlignment="1">
      <alignment vertical="center"/>
    </xf>
    <xf numFmtId="164" fontId="87" fillId="0" borderId="11" xfId="7" applyNumberFormat="1" applyFont="1" applyBorder="1" applyAlignment="1">
      <alignment vertical="center"/>
    </xf>
    <xf numFmtId="164" fontId="84" fillId="0" borderId="12" xfId="7" applyNumberFormat="1" applyFont="1" applyBorder="1" applyAlignment="1">
      <alignment vertical="center"/>
    </xf>
    <xf numFmtId="164" fontId="86" fillId="0" borderId="13" xfId="7" applyNumberFormat="1" applyFont="1" applyBorder="1" applyAlignment="1">
      <alignment vertical="center"/>
    </xf>
    <xf numFmtId="164" fontId="86" fillId="0" borderId="14" xfId="7" applyNumberFormat="1" applyFont="1" applyBorder="1" applyAlignment="1">
      <alignment vertical="center"/>
    </xf>
    <xf numFmtId="164" fontId="86" fillId="0" borderId="12" xfId="7" applyNumberFormat="1" applyFont="1" applyBorder="1" applyAlignment="1">
      <alignment vertical="center"/>
    </xf>
    <xf numFmtId="164" fontId="87" fillId="0" borderId="12" xfId="7" applyNumberFormat="1" applyFont="1" applyBorder="1" applyAlignment="1">
      <alignment vertical="center"/>
    </xf>
    <xf numFmtId="164" fontId="84" fillId="0" borderId="124" xfId="7" applyNumberFormat="1" applyFont="1" applyBorder="1" applyAlignment="1">
      <alignment vertical="center"/>
    </xf>
    <xf numFmtId="164" fontId="86" fillId="0" borderId="124" xfId="7" applyNumberFormat="1" applyFont="1" applyBorder="1" applyAlignment="1">
      <alignment vertical="center"/>
    </xf>
    <xf numFmtId="164" fontId="84" fillId="0" borderId="124" xfId="7" applyNumberFormat="1" applyFont="1" applyBorder="1" applyAlignment="1"/>
    <xf numFmtId="164" fontId="86" fillId="0" borderId="124" xfId="7" applyNumberFormat="1" applyFont="1" applyBorder="1" applyAlignment="1"/>
    <xf numFmtId="191" fontId="3" fillId="0" borderId="0" xfId="0" applyNumberFormat="1" applyFont="1"/>
    <xf numFmtId="164" fontId="3" fillId="0" borderId="206" xfId="7" applyNumberFormat="1" applyFont="1" applyBorder="1" applyAlignment="1">
      <alignment vertical="center"/>
    </xf>
    <xf numFmtId="164" fontId="3" fillId="0" borderId="207" xfId="7" applyNumberFormat="1" applyFont="1" applyBorder="1" applyAlignment="1">
      <alignment vertical="center"/>
    </xf>
    <xf numFmtId="164" fontId="3" fillId="0" borderId="187" xfId="7" applyNumberFormat="1" applyFont="1" applyBorder="1" applyAlignment="1">
      <alignment vertical="center"/>
    </xf>
    <xf numFmtId="164" fontId="3" fillId="0" borderId="90" xfId="7" applyNumberFormat="1" applyFont="1" applyBorder="1" applyAlignment="1">
      <alignment vertical="center"/>
    </xf>
    <xf numFmtId="165" fontId="3" fillId="0" borderId="208" xfId="20950" applyNumberFormat="1" applyFont="1" applyBorder="1" applyAlignment="1">
      <alignment vertical="center"/>
    </xf>
    <xf numFmtId="3" fontId="84" fillId="0" borderId="0" xfId="0" applyNumberFormat="1" applyFont="1"/>
    <xf numFmtId="3" fontId="0" fillId="0" borderId="0" xfId="0" applyNumberFormat="1"/>
    <xf numFmtId="164" fontId="108" fillId="0" borderId="124" xfId="7" applyNumberFormat="1" applyFont="1" applyBorder="1"/>
    <xf numFmtId="164" fontId="111" fillId="0" borderId="124" xfId="7" applyNumberFormat="1" applyFont="1" applyBorder="1"/>
    <xf numFmtId="164" fontId="108" fillId="0" borderId="0" xfId="0" applyNumberFormat="1" applyFont="1"/>
    <xf numFmtId="164" fontId="107" fillId="0" borderId="124" xfId="7" applyNumberFormat="1" applyFont="1" applyBorder="1"/>
    <xf numFmtId="164" fontId="107" fillId="35" borderId="124" xfId="7" applyNumberFormat="1" applyFont="1" applyFill="1" applyBorder="1"/>
    <xf numFmtId="164" fontId="110" fillId="0" borderId="124" xfId="7" applyNumberFormat="1" applyFont="1" applyBorder="1"/>
    <xf numFmtId="43" fontId="107" fillId="0" borderId="0" xfId="0" applyNumberFormat="1" applyFont="1"/>
    <xf numFmtId="164" fontId="107" fillId="0" borderId="190" xfId="7" applyNumberFormat="1" applyFont="1" applyBorder="1"/>
    <xf numFmtId="164" fontId="107" fillId="0" borderId="0" xfId="0" applyNumberFormat="1" applyFont="1"/>
    <xf numFmtId="164" fontId="107" fillId="0" borderId="190" xfId="7" applyNumberFormat="1" applyFont="1" applyBorder="1" applyAlignment="1">
      <alignment horizontal="left" vertical="center" wrapText="1"/>
    </xf>
    <xf numFmtId="164" fontId="107" fillId="0" borderId="190" xfId="7" applyNumberFormat="1" applyFont="1" applyBorder="1" applyAlignment="1">
      <alignment horizontal="center" vertical="center" wrapText="1"/>
    </xf>
    <xf numFmtId="164" fontId="107" fillId="0" borderId="190" xfId="7" applyNumberFormat="1" applyFont="1" applyBorder="1" applyAlignment="1">
      <alignment horizontal="center" vertical="center"/>
    </xf>
    <xf numFmtId="43" fontId="110" fillId="0" borderId="190" xfId="7" applyFont="1" applyBorder="1" applyAlignment="1">
      <alignment horizontal="left" vertical="center" wrapText="1"/>
    </xf>
    <xf numFmtId="43" fontId="128" fillId="0" borderId="0" xfId="0" applyNumberFormat="1" applyFont="1"/>
    <xf numFmtId="0" fontId="348" fillId="0" borderId="190" xfId="0" applyFont="1" applyBorder="1" applyAlignment="1">
      <alignment horizontal="left" vertical="center" wrapText="1"/>
    </xf>
    <xf numFmtId="0" fontId="91" fillId="3" borderId="190" xfId="0" applyFont="1" applyFill="1" applyBorder="1" applyAlignment="1">
      <alignment horizontal="left" vertical="center" wrapText="1" indent="1"/>
    </xf>
    <xf numFmtId="0" fontId="348" fillId="3" borderId="190" xfId="20954" applyFont="1" applyFill="1" applyBorder="1" applyAlignment="1">
      <alignment horizontal="left" vertical="center" wrapText="1"/>
    </xf>
    <xf numFmtId="0" fontId="349" fillId="3" borderId="190" xfId="0" applyFont="1" applyFill="1" applyBorder="1" applyAlignment="1">
      <alignment horizontal="left" vertical="center" wrapText="1" indent="1"/>
    </xf>
    <xf numFmtId="0" fontId="91" fillId="0" borderId="190" xfId="0" applyFont="1" applyBorder="1" applyAlignment="1">
      <alignment horizontal="left" vertical="center" wrapText="1" indent="1"/>
    </xf>
    <xf numFmtId="0" fontId="348" fillId="3" borderId="190" xfId="0" applyFont="1" applyFill="1" applyBorder="1" applyAlignment="1">
      <alignment horizontal="left" vertical="center" wrapText="1"/>
    </xf>
    <xf numFmtId="0" fontId="91" fillId="3" borderId="190" xfId="20954" applyFont="1" applyFill="1" applyBorder="1" applyAlignment="1">
      <alignment horizontal="left" vertical="center" wrapText="1" indent="1"/>
    </xf>
    <xf numFmtId="0" fontId="91" fillId="0" borderId="190" xfId="20954" applyFont="1" applyBorder="1" applyAlignment="1">
      <alignment horizontal="left" vertical="center" wrapText="1" indent="1"/>
    </xf>
    <xf numFmtId="0" fontId="117" fillId="3" borderId="190" xfId="20954" applyFont="1" applyFill="1" applyBorder="1" applyAlignment="1">
      <alignment horizontal="left" vertical="center" wrapText="1"/>
    </xf>
    <xf numFmtId="0" fontId="117" fillId="0" borderId="190" xfId="0" applyFont="1" applyBorder="1" applyAlignment="1">
      <alignment horizontal="left" vertical="center" wrapText="1"/>
    </xf>
    <xf numFmtId="0" fontId="348" fillId="0" borderId="190" xfId="0" applyFont="1" applyBorder="1" applyAlignment="1">
      <alignment vertical="center" wrapText="1"/>
    </xf>
    <xf numFmtId="0" fontId="349" fillId="0" borderId="190" xfId="0" applyFont="1" applyBorder="1" applyAlignment="1">
      <alignment horizontal="left" vertical="center" wrapText="1" indent="1"/>
    </xf>
    <xf numFmtId="0" fontId="349" fillId="0" borderId="190" xfId="20954" applyFont="1" applyBorder="1" applyAlignment="1">
      <alignment horizontal="left" vertical="center" wrapText="1" indent="1"/>
    </xf>
    <xf numFmtId="10" fontId="85" fillId="0" borderId="0" xfId="0" applyNumberFormat="1" applyFont="1"/>
    <xf numFmtId="192" fontId="0" fillId="0" borderId="0" xfId="0" applyNumberFormat="1"/>
    <xf numFmtId="191" fontId="346" fillId="0" borderId="0" xfId="0" applyNumberFormat="1" applyFont="1"/>
    <xf numFmtId="0" fontId="345" fillId="0" borderId="0" xfId="0" applyFont="1"/>
    <xf numFmtId="192" fontId="345" fillId="0" borderId="0" xfId="0" applyNumberFormat="1" applyFont="1"/>
    <xf numFmtId="164" fontId="112" fillId="0" borderId="124" xfId="7" applyNumberFormat="1" applyFont="1" applyBorder="1"/>
    <xf numFmtId="43" fontId="3" fillId="0" borderId="205" xfId="7" applyFont="1" applyFill="1" applyBorder="1" applyAlignment="1">
      <alignment vertical="center" wrapText="1"/>
    </xf>
    <xf numFmtId="164" fontId="9" fillId="36" borderId="0" xfId="7" applyNumberFormat="1" applyFont="1" applyFill="1"/>
    <xf numFmtId="164" fontId="3" fillId="0" borderId="85" xfId="7" applyNumberFormat="1" applyFont="1" applyBorder="1" applyAlignment="1">
      <alignment vertical="center"/>
    </xf>
    <xf numFmtId="164" fontId="3" fillId="0" borderId="64" xfId="7" applyNumberFormat="1" applyFont="1" applyBorder="1" applyAlignment="1">
      <alignment vertical="center"/>
    </xf>
    <xf numFmtId="164" fontId="3" fillId="3" borderId="83" xfId="7" applyNumberFormat="1" applyFont="1" applyFill="1" applyBorder="1" applyAlignment="1">
      <alignment vertical="center"/>
    </xf>
    <xf numFmtId="164" fontId="3" fillId="3" borderId="84" xfId="7" applyNumberFormat="1" applyFont="1" applyFill="1" applyBorder="1" applyAlignment="1">
      <alignment vertical="center"/>
    </xf>
    <xf numFmtId="164" fontId="3" fillId="0" borderId="80" xfId="7" applyNumberFormat="1" applyFont="1" applyBorder="1" applyAlignment="1">
      <alignment vertical="center"/>
    </xf>
    <xf numFmtId="164" fontId="3" fillId="0" borderId="86" xfId="7" applyNumberFormat="1" applyFont="1" applyBorder="1" applyAlignment="1">
      <alignment vertical="center"/>
    </xf>
    <xf numFmtId="164" fontId="3" fillId="0" borderId="81" xfId="7" applyNumberFormat="1" applyFont="1" applyBorder="1" applyAlignment="1">
      <alignment vertical="center"/>
    </xf>
    <xf numFmtId="164" fontId="3" fillId="76" borderId="204" xfId="7" applyNumberFormat="1" applyFont="1" applyFill="1" applyBorder="1" applyAlignment="1">
      <alignment vertical="center"/>
    </xf>
    <xf numFmtId="164" fontId="3" fillId="76" borderId="203" xfId="7" applyNumberFormat="1" applyFont="1" applyFill="1" applyBorder="1" applyAlignment="1">
      <alignment vertical="center"/>
    </xf>
    <xf numFmtId="164" fontId="84" fillId="0" borderId="204" xfId="7" applyNumberFormat="1" applyFont="1" applyFill="1" applyBorder="1" applyAlignment="1">
      <alignment horizontal="center" vertical="center"/>
    </xf>
    <xf numFmtId="0" fontId="2" fillId="0" borderId="204" xfId="0" applyFont="1" applyBorder="1" applyAlignment="1">
      <alignment wrapText="1"/>
    </xf>
    <xf numFmtId="0" fontId="84" fillId="0" borderId="204" xfId="0" applyFont="1" applyBorder="1"/>
    <xf numFmtId="0" fontId="2" fillId="0" borderId="204" xfId="0" applyFont="1" applyBorder="1"/>
    <xf numFmtId="10" fontId="3" fillId="0" borderId="204" xfId="20950" applyNumberFormat="1" applyFont="1" applyBorder="1"/>
    <xf numFmtId="0" fontId="358" fillId="0" borderId="0" xfId="0" applyFont="1" applyAlignment="1">
      <alignment horizontal="justify"/>
    </xf>
    <xf numFmtId="10" fontId="91" fillId="2" borderId="204" xfId="20950" applyNumberFormat="1" applyFont="1" applyFill="1" applyBorder="1" applyAlignment="1" applyProtection="1">
      <alignment vertical="center"/>
      <protection locked="0"/>
    </xf>
    <xf numFmtId="10" fontId="359" fillId="2" borderId="204" xfId="20950" applyNumberFormat="1" applyFont="1" applyFill="1" applyBorder="1" applyAlignment="1" applyProtection="1">
      <alignment vertical="center"/>
      <protection locked="0"/>
    </xf>
    <xf numFmtId="10" fontId="359" fillId="2" borderId="205" xfId="20950" applyNumberFormat="1" applyFont="1" applyFill="1" applyBorder="1" applyAlignment="1" applyProtection="1">
      <alignment vertical="center"/>
      <protection locked="0"/>
    </xf>
    <xf numFmtId="10" fontId="91" fillId="2" borderId="205" xfId="20950" applyNumberFormat="1" applyFont="1" applyFill="1" applyBorder="1" applyAlignment="1" applyProtection="1">
      <alignment vertical="center"/>
      <protection locked="0"/>
    </xf>
    <xf numFmtId="191" fontId="91" fillId="2" borderId="204" xfId="0" applyNumberFormat="1" applyFont="1" applyFill="1" applyBorder="1" applyAlignment="1" applyProtection="1">
      <alignment vertical="center"/>
      <protection locked="0"/>
    </xf>
    <xf numFmtId="191" fontId="91" fillId="2" borderId="205" xfId="0" applyNumberFormat="1" applyFont="1" applyFill="1" applyBorder="1" applyAlignment="1" applyProtection="1">
      <alignment vertical="center"/>
      <protection locked="0"/>
    </xf>
    <xf numFmtId="191" fontId="359" fillId="2" borderId="204" xfId="0" applyNumberFormat="1" applyFont="1" applyFill="1" applyBorder="1" applyAlignment="1" applyProtection="1">
      <alignment vertical="center"/>
      <protection locked="0"/>
    </xf>
    <xf numFmtId="191" fontId="359" fillId="2" borderId="205" xfId="0" applyNumberFormat="1" applyFont="1" applyFill="1" applyBorder="1" applyAlignment="1" applyProtection="1">
      <alignment vertical="center"/>
      <protection locked="0"/>
    </xf>
    <xf numFmtId="191" fontId="91" fillId="2" borderId="197" xfId="0" applyNumberFormat="1" applyFont="1" applyFill="1" applyBorder="1" applyAlignment="1" applyProtection="1">
      <alignment vertical="center"/>
      <protection locked="0"/>
    </xf>
    <xf numFmtId="191" fontId="359" fillId="2" borderId="197" xfId="0" applyNumberFormat="1" applyFont="1" applyFill="1" applyBorder="1" applyAlignment="1" applyProtection="1">
      <alignment vertical="center"/>
      <protection locked="0"/>
    </xf>
    <xf numFmtId="191" fontId="359" fillId="2" borderId="90" xfId="0" applyNumberFormat="1" applyFont="1" applyFill="1" applyBorder="1" applyAlignment="1" applyProtection="1">
      <alignment vertical="center"/>
      <protection locked="0"/>
    </xf>
    <xf numFmtId="10" fontId="91" fillId="2" borderId="203" xfId="20950" applyNumberFormat="1" applyFont="1" applyFill="1" applyBorder="1" applyAlignment="1" applyProtection="1">
      <alignment vertical="center"/>
      <protection locked="0"/>
    </xf>
    <xf numFmtId="10" fontId="359" fillId="2" borderId="203" xfId="20950" applyNumberFormat="1" applyFont="1" applyFill="1" applyBorder="1" applyAlignment="1" applyProtection="1">
      <alignment vertical="center"/>
      <protection locked="0"/>
    </xf>
    <xf numFmtId="10" fontId="359" fillId="2" borderId="210" xfId="20950" applyNumberFormat="1" applyFont="1" applyFill="1" applyBorder="1" applyAlignment="1" applyProtection="1">
      <alignment vertical="center"/>
      <protection locked="0"/>
    </xf>
    <xf numFmtId="191" fontId="93" fillId="0" borderId="204" xfId="0" applyNumberFormat="1" applyFont="1" applyBorder="1" applyAlignment="1" applyProtection="1">
      <alignment vertical="center" wrapText="1"/>
      <protection locked="0"/>
    </xf>
    <xf numFmtId="191" fontId="3" fillId="0" borderId="204" xfId="0" applyNumberFormat="1" applyFont="1" applyBorder="1" applyAlignment="1" applyProtection="1">
      <alignment vertical="center" wrapText="1"/>
      <protection locked="0"/>
    </xf>
    <xf numFmtId="191" fontId="3" fillId="0" borderId="205" xfId="0" applyNumberFormat="1" applyFont="1" applyBorder="1" applyAlignment="1" applyProtection="1">
      <alignment vertical="center" wrapText="1"/>
      <protection locked="0"/>
    </xf>
    <xf numFmtId="191" fontId="93" fillId="0" borderId="204" xfId="0" applyNumberFormat="1" applyFont="1" applyBorder="1" applyAlignment="1" applyProtection="1">
      <alignment horizontal="right" vertical="center" wrapText="1"/>
      <protection locked="0"/>
    </xf>
    <xf numFmtId="10" fontId="3" fillId="0" borderId="204" xfId="20950" applyNumberFormat="1" applyFont="1" applyFill="1" applyBorder="1" applyAlignment="1" applyProtection="1">
      <alignment horizontal="right" vertical="center" wrapText="1"/>
      <protection locked="0"/>
    </xf>
    <xf numFmtId="10" fontId="3" fillId="0" borderId="204" xfId="20950" applyNumberFormat="1" applyFont="1" applyBorder="1" applyAlignment="1" applyProtection="1">
      <alignment vertical="center" wrapText="1"/>
      <protection locked="0"/>
    </xf>
    <xf numFmtId="10" fontId="3" fillId="0" borderId="205" xfId="20950" applyNumberFormat="1" applyFont="1" applyBorder="1" applyAlignment="1" applyProtection="1">
      <alignment vertical="center" wrapText="1"/>
      <protection locked="0"/>
    </xf>
    <xf numFmtId="164" fontId="0" fillId="0" borderId="204" xfId="7" applyNumberFormat="1" applyFont="1" applyBorder="1"/>
    <xf numFmtId="164" fontId="106" fillId="35" borderId="124" xfId="7" applyNumberFormat="1" applyFont="1" applyFill="1" applyBorder="1"/>
    <xf numFmtId="164" fontId="106" fillId="35" borderId="190" xfId="7" applyNumberFormat="1" applyFont="1" applyFill="1" applyBorder="1"/>
    <xf numFmtId="164" fontId="3" fillId="0" borderId="81" xfId="7" applyNumberFormat="1" applyFont="1" applyBorder="1" applyAlignment="1">
      <alignment horizontal="right" vertical="center" wrapText="1"/>
    </xf>
    <xf numFmtId="164" fontId="3" fillId="0" borderId="23" xfId="7" applyNumberFormat="1" applyFont="1" applyBorder="1" applyAlignment="1">
      <alignment horizontal="right" vertical="center" wrapText="1"/>
    </xf>
    <xf numFmtId="191" fontId="88" fillId="0" borderId="0" xfId="0" applyNumberFormat="1" applyFont="1"/>
    <xf numFmtId="43" fontId="108" fillId="0" borderId="0" xfId="0" applyNumberFormat="1" applyFont="1"/>
    <xf numFmtId="43" fontId="107" fillId="0" borderId="0" xfId="0" applyNumberFormat="1" applyFont="1" applyAlignment="1">
      <alignment horizontal="left"/>
    </xf>
    <xf numFmtId="43" fontId="112" fillId="0" borderId="0" xfId="0" applyNumberFormat="1" applyFont="1"/>
    <xf numFmtId="169" fontId="3" fillId="0" borderId="0" xfId="7" applyNumberFormat="1" applyFont="1"/>
    <xf numFmtId="165" fontId="3" fillId="0" borderId="0" xfId="7" applyNumberFormat="1" applyFont="1"/>
    <xf numFmtId="10" fontId="128" fillId="0" borderId="0" xfId="0" applyNumberFormat="1" applyFont="1"/>
    <xf numFmtId="9" fontId="128" fillId="0" borderId="0" xfId="0" applyNumberFormat="1" applyFont="1"/>
    <xf numFmtId="360" fontId="102" fillId="76" borderId="190" xfId="20950" applyNumberFormat="1" applyFont="1" applyFill="1" applyBorder="1" applyAlignment="1" applyProtection="1">
      <alignment horizontal="right" vertical="center"/>
    </xf>
    <xf numFmtId="191" fontId="84" fillId="0" borderId="18" xfId="0" applyNumberFormat="1" applyFont="1" applyBorder="1" applyAlignment="1">
      <alignment vertical="center"/>
    </xf>
    <xf numFmtId="191" fontId="84" fillId="0" borderId="3" xfId="0" applyNumberFormat="1" applyFont="1" applyBorder="1" applyAlignment="1">
      <alignment vertical="center"/>
    </xf>
    <xf numFmtId="191" fontId="84" fillId="0" borderId="19" xfId="0" applyNumberFormat="1" applyFont="1" applyBorder="1" applyAlignment="1">
      <alignment vertical="center"/>
    </xf>
    <xf numFmtId="191" fontId="84" fillId="0" borderId="20" xfId="0" applyNumberFormat="1" applyFont="1" applyBorder="1" applyAlignment="1">
      <alignment vertical="center"/>
    </xf>
    <xf numFmtId="191" fontId="84" fillId="35" borderId="52" xfId="0" applyNumberFormat="1" applyFont="1" applyFill="1" applyBorder="1" applyAlignment="1">
      <alignment vertical="center"/>
    </xf>
    <xf numFmtId="0" fontId="88" fillId="0" borderId="0" xfId="0" applyFont="1" applyAlignment="1">
      <alignment vertical="center"/>
    </xf>
    <xf numFmtId="0" fontId="45" fillId="3" borderId="23" xfId="16" applyFont="1" applyFill="1" applyBorder="1" applyAlignment="1" applyProtection="1">
      <alignment vertical="center"/>
      <protection locked="0"/>
    </xf>
    <xf numFmtId="191" fontId="84" fillId="35" borderId="21" xfId="0" applyNumberFormat="1" applyFont="1" applyFill="1" applyBorder="1" applyAlignment="1">
      <alignment vertical="center"/>
    </xf>
    <xf numFmtId="191" fontId="84" fillId="35" borderId="22" xfId="0" applyNumberFormat="1" applyFont="1" applyFill="1" applyBorder="1" applyAlignment="1">
      <alignment vertical="center"/>
    </xf>
    <xf numFmtId="191" fontId="84" fillId="35" borderId="23" xfId="0" applyNumberFormat="1" applyFont="1" applyFill="1" applyBorder="1" applyAlignment="1">
      <alignment vertical="center"/>
    </xf>
    <xf numFmtId="191" fontId="84" fillId="35" borderId="53" xfId="0" applyNumberFormat="1" applyFont="1" applyFill="1" applyBorder="1" applyAlignment="1">
      <alignment vertical="center"/>
    </xf>
    <xf numFmtId="0" fontId="110" fillId="0" borderId="124" xfId="0" applyFont="1" applyBorder="1" applyAlignment="1">
      <alignment vertical="center"/>
    </xf>
    <xf numFmtId="43" fontId="110" fillId="0" borderId="190" xfId="7" applyFont="1" applyBorder="1" applyAlignment="1">
      <alignment vertical="center"/>
    </xf>
    <xf numFmtId="0" fontId="107" fillId="0" borderId="0" xfId="0" applyFont="1" applyAlignment="1">
      <alignment vertical="center"/>
    </xf>
    <xf numFmtId="0" fontId="107" fillId="0" borderId="124" xfId="0" applyFont="1" applyBorder="1" applyAlignment="1">
      <alignment vertical="center"/>
    </xf>
    <xf numFmtId="0" fontId="107" fillId="0" borderId="124" xfId="0" applyFont="1" applyBorder="1" applyAlignment="1">
      <alignment horizontal="left" vertical="center"/>
    </xf>
    <xf numFmtId="0" fontId="107" fillId="0" borderId="190" xfId="0" applyFont="1" applyBorder="1" applyAlignment="1">
      <alignment horizontal="left" vertical="center"/>
    </xf>
    <xf numFmtId="0" fontId="107" fillId="0" borderId="190" xfId="0" applyFont="1" applyBorder="1" applyAlignment="1">
      <alignment vertical="center"/>
    </xf>
    <xf numFmtId="43" fontId="107" fillId="0" borderId="190" xfId="7" applyFont="1" applyBorder="1" applyAlignment="1">
      <alignment vertical="center"/>
    </xf>
    <xf numFmtId="43" fontId="107" fillId="0" borderId="190" xfId="7" applyFont="1" applyFill="1" applyBorder="1" applyAlignment="1">
      <alignment horizontal="left" vertical="center"/>
    </xf>
    <xf numFmtId="43" fontId="107" fillId="0" borderId="190" xfId="7" applyFont="1" applyFill="1" applyBorder="1" applyAlignment="1">
      <alignment vertical="center"/>
    </xf>
    <xf numFmtId="43" fontId="107" fillId="0" borderId="190" xfId="7" applyFont="1" applyBorder="1" applyAlignment="1">
      <alignment horizontal="left" vertical="center"/>
    </xf>
    <xf numFmtId="43" fontId="110" fillId="151" borderId="190" xfId="7" applyFont="1" applyFill="1" applyBorder="1" applyAlignment="1">
      <alignment vertical="center"/>
    </xf>
    <xf numFmtId="0" fontId="107" fillId="0" borderId="67" xfId="0" applyFont="1" applyBorder="1" applyAlignment="1">
      <alignment vertical="center"/>
    </xf>
    <xf numFmtId="0" fontId="110" fillId="0" borderId="64" xfId="0" applyFont="1" applyBorder="1" applyAlignment="1">
      <alignment vertical="center"/>
    </xf>
    <xf numFmtId="164" fontId="110" fillId="0" borderId="67" xfId="7" applyNumberFormat="1" applyFont="1" applyBorder="1" applyAlignment="1">
      <alignment vertical="center"/>
    </xf>
    <xf numFmtId="164" fontId="107" fillId="0" borderId="190" xfId="7" applyNumberFormat="1" applyFont="1" applyBorder="1" applyAlignment="1">
      <alignment vertical="center"/>
    </xf>
    <xf numFmtId="164" fontId="107" fillId="0" borderId="81" xfId="7" applyNumberFormat="1" applyFont="1" applyBorder="1" applyAlignment="1">
      <alignment vertical="center"/>
    </xf>
    <xf numFmtId="164" fontId="107" fillId="0" borderId="0" xfId="0" applyNumberFormat="1" applyFont="1" applyAlignment="1">
      <alignment vertical="center"/>
    </xf>
    <xf numFmtId="0" fontId="107" fillId="0" borderId="18" xfId="0" applyFont="1" applyBorder="1" applyAlignment="1">
      <alignment horizontal="left" vertical="center"/>
    </xf>
    <xf numFmtId="0" fontId="107" fillId="0" borderId="81" xfId="0" applyFont="1" applyBorder="1" applyAlignment="1">
      <alignment horizontal="left" vertical="center"/>
    </xf>
    <xf numFmtId="164" fontId="107" fillId="0" borderId="184" xfId="7" applyNumberFormat="1" applyFont="1" applyBorder="1" applyAlignment="1">
      <alignment horizontal="left" vertical="center"/>
    </xf>
    <xf numFmtId="49" fontId="107" fillId="0" borderId="18" xfId="0" applyNumberFormat="1" applyFont="1" applyBorder="1" applyAlignment="1">
      <alignment horizontal="left" vertical="center"/>
    </xf>
    <xf numFmtId="49" fontId="107" fillId="0" borderId="81" xfId="0" applyNumberFormat="1" applyFont="1" applyBorder="1" applyAlignment="1">
      <alignment horizontal="left" vertical="center"/>
    </xf>
    <xf numFmtId="164" fontId="107" fillId="78" borderId="184" xfId="7" applyNumberFormat="1" applyFont="1" applyFill="1" applyBorder="1" applyAlignment="1">
      <alignment vertical="center"/>
    </xf>
    <xf numFmtId="164" fontId="107" fillId="78" borderId="190" xfId="7" applyNumberFormat="1" applyFont="1" applyFill="1" applyBorder="1" applyAlignment="1">
      <alignment vertical="center"/>
    </xf>
    <xf numFmtId="164" fontId="107" fillId="78" borderId="81" xfId="7" applyNumberFormat="1" applyFont="1" applyFill="1" applyBorder="1" applyAlignment="1">
      <alignment vertical="center"/>
    </xf>
    <xf numFmtId="49" fontId="107" fillId="0" borderId="18" xfId="0" applyNumberFormat="1" applyFont="1" applyBorder="1" applyAlignment="1">
      <alignment horizontal="left" vertical="center" wrapText="1"/>
    </xf>
    <xf numFmtId="49" fontId="107" fillId="0" borderId="81" xfId="0" applyNumberFormat="1" applyFont="1" applyBorder="1" applyAlignment="1">
      <alignment horizontal="left" vertical="center" wrapText="1"/>
    </xf>
    <xf numFmtId="164" fontId="107" fillId="0" borderId="184" xfId="7" applyNumberFormat="1" applyFont="1" applyFill="1" applyBorder="1" applyAlignment="1">
      <alignment horizontal="left" vertical="center" wrapText="1"/>
    </xf>
    <xf numFmtId="164" fontId="107" fillId="0" borderId="184" xfId="7" applyNumberFormat="1" applyFont="1" applyBorder="1" applyAlignment="1">
      <alignment horizontal="left" vertical="center" wrapText="1"/>
    </xf>
    <xf numFmtId="0" fontId="107" fillId="0" borderId="18" xfId="0" applyFont="1" applyBorder="1" applyAlignment="1">
      <alignment horizontal="left" vertical="center" wrapText="1"/>
    </xf>
    <xf numFmtId="0" fontId="107" fillId="0" borderId="21" xfId="0" applyFont="1" applyBorder="1" applyAlignment="1">
      <alignment horizontal="left" vertical="center" wrapText="1"/>
    </xf>
    <xf numFmtId="49" fontId="107" fillId="0" borderId="23" xfId="0" applyNumberFormat="1" applyFont="1" applyBorder="1" applyAlignment="1">
      <alignment horizontal="left" vertical="center" wrapText="1"/>
    </xf>
    <xf numFmtId="164" fontId="107" fillId="0" borderId="209" xfId="7" applyNumberFormat="1" applyFont="1" applyBorder="1" applyAlignment="1">
      <alignment horizontal="left" vertical="center" wrapText="1"/>
    </xf>
    <xf numFmtId="164" fontId="107" fillId="0" borderId="203" xfId="7" applyNumberFormat="1" applyFont="1" applyBorder="1" applyAlignment="1">
      <alignment vertical="center"/>
    </xf>
    <xf numFmtId="164" fontId="107" fillId="0" borderId="210" xfId="7" applyNumberFormat="1" applyFont="1" applyBorder="1" applyAlignment="1">
      <alignment vertical="center"/>
    </xf>
    <xf numFmtId="0" fontId="128" fillId="0" borderId="124" xfId="0" applyFont="1" applyBorder="1" applyAlignment="1">
      <alignment horizontal="left" vertical="center"/>
    </xf>
    <xf numFmtId="43" fontId="112" fillId="0" borderId="190" xfId="7" applyFont="1" applyBorder="1" applyAlignment="1">
      <alignment vertical="center"/>
    </xf>
    <xf numFmtId="0" fontId="112" fillId="0" borderId="190" xfId="0" applyFont="1" applyBorder="1" applyAlignment="1">
      <alignment vertical="center"/>
    </xf>
    <xf numFmtId="10" fontId="112" fillId="0" borderId="190" xfId="20950" applyNumberFormat="1" applyFont="1" applyBorder="1" applyAlignment="1">
      <alignment vertical="center"/>
    </xf>
    <xf numFmtId="2" fontId="112" fillId="0" borderId="190" xfId="20950" applyNumberFormat="1" applyFont="1" applyBorder="1" applyAlignment="1">
      <alignment vertical="center"/>
    </xf>
    <xf numFmtId="0" fontId="128" fillId="0" borderId="0" xfId="0" applyFont="1" applyAlignment="1">
      <alignment vertical="center"/>
    </xf>
    <xf numFmtId="9" fontId="112" fillId="0" borderId="190" xfId="20950" applyFont="1" applyBorder="1" applyAlignment="1">
      <alignment vertical="center"/>
    </xf>
    <xf numFmtId="0" fontId="107" fillId="0" borderId="119" xfId="0" applyFont="1" applyBorder="1" applyAlignment="1">
      <alignment horizontal="left" vertical="center" wrapText="1" readingOrder="1"/>
    </xf>
    <xf numFmtId="0" fontId="128" fillId="0" borderId="128" xfId="0" applyFont="1" applyBorder="1" applyAlignment="1">
      <alignment horizontal="left" vertical="center"/>
    </xf>
    <xf numFmtId="43" fontId="112" fillId="0" borderId="197" xfId="7" applyFont="1" applyBorder="1" applyAlignment="1">
      <alignment vertical="center"/>
    </xf>
    <xf numFmtId="0" fontId="112" fillId="0" borderId="197" xfId="0" applyFont="1" applyBorder="1" applyAlignment="1">
      <alignment vertical="center"/>
    </xf>
    <xf numFmtId="9" fontId="112" fillId="0" borderId="197" xfId="20950" applyFont="1" applyBorder="1" applyAlignment="1">
      <alignment vertical="center"/>
    </xf>
    <xf numFmtId="2" fontId="112" fillId="0" borderId="197" xfId="20950" applyNumberFormat="1" applyFont="1" applyBorder="1" applyAlignment="1">
      <alignment vertical="center"/>
    </xf>
    <xf numFmtId="2" fontId="112" fillId="0" borderId="190" xfId="0" applyNumberFormat="1" applyFont="1" applyBorder="1" applyAlignment="1">
      <alignment vertical="center"/>
    </xf>
    <xf numFmtId="201" fontId="345" fillId="0" borderId="0" xfId="0" applyNumberFormat="1" applyFont="1"/>
    <xf numFmtId="0" fontId="107" fillId="0" borderId="190" xfId="0" applyFont="1" applyBorder="1" applyAlignment="1">
      <alignment horizontal="right" vertical="center"/>
    </xf>
    <xf numFmtId="0" fontId="113" fillId="0" borderId="103" xfId="0" applyFont="1" applyBorder="1" applyAlignment="1">
      <alignment horizontal="center" vertical="center"/>
    </xf>
    <xf numFmtId="0" fontId="113" fillId="0" borderId="105" xfId="0" applyFont="1" applyBorder="1" applyAlignment="1">
      <alignment horizontal="center" vertical="center"/>
    </xf>
    <xf numFmtId="0" fontId="113" fillId="0" borderId="85" xfId="0" applyFont="1" applyBorder="1" applyAlignment="1">
      <alignment horizontal="center" vertical="center"/>
    </xf>
    <xf numFmtId="0" fontId="113" fillId="0" borderId="75" xfId="0" applyFont="1" applyBorder="1" applyAlignment="1">
      <alignment horizontal="center" vertical="center"/>
    </xf>
    <xf numFmtId="0" fontId="112" fillId="0" borderId="124" xfId="0" applyFont="1" applyBorder="1" applyAlignment="1">
      <alignment horizontal="center" vertical="center" wrapText="1"/>
    </xf>
    <xf numFmtId="0" fontId="112" fillId="0" borderId="128" xfId="0" applyFont="1" applyBorder="1" applyAlignment="1">
      <alignment horizontal="center" vertical="center" wrapText="1"/>
    </xf>
    <xf numFmtId="0" fontId="90" fillId="0" borderId="66" xfId="0" applyFont="1" applyBorder="1" applyAlignment="1">
      <alignment horizontal="left" wrapText="1"/>
    </xf>
    <xf numFmtId="0" fontId="90" fillId="0" borderId="65" xfId="0" applyFont="1" applyBorder="1" applyAlignment="1">
      <alignment horizontal="left" wrapText="1"/>
    </xf>
    <xf numFmtId="0" fontId="90" fillId="0" borderId="130" xfId="0" applyFont="1" applyBorder="1" applyAlignment="1">
      <alignment horizontal="center" vertical="center"/>
    </xf>
    <xf numFmtId="0" fontId="90" fillId="0" borderId="30" xfId="0" applyFont="1" applyBorder="1" applyAlignment="1">
      <alignment horizontal="center" vertical="center"/>
    </xf>
    <xf numFmtId="0" fontId="90" fillId="0" borderId="131" xfId="0" applyFont="1" applyBorder="1" applyAlignment="1">
      <alignment horizontal="center" vertical="center"/>
    </xf>
    <xf numFmtId="164" fontId="346" fillId="0" borderId="125" xfId="7" applyNumberFormat="1" applyFont="1" applyBorder="1" applyAlignment="1">
      <alignment horizontal="center"/>
    </xf>
    <xf numFmtId="164" fontId="346" fillId="0" borderId="126" xfId="7" applyNumberFormat="1" applyFont="1" applyBorder="1" applyAlignment="1">
      <alignment horizontal="center"/>
    </xf>
    <xf numFmtId="164" fontId="346" fillId="0" borderId="127" xfId="7" applyNumberFormat="1" applyFont="1" applyBorder="1" applyAlignment="1">
      <alignment horizontal="center"/>
    </xf>
    <xf numFmtId="0" fontId="346" fillId="0" borderId="111" xfId="0" applyFont="1" applyBorder="1" applyAlignment="1">
      <alignment horizontal="center" vertical="center"/>
    </xf>
    <xf numFmtId="0" fontId="347" fillId="0" borderId="112" xfId="0" applyFont="1" applyBorder="1" applyAlignment="1">
      <alignment horizontal="center" vertical="center"/>
    </xf>
    <xf numFmtId="0" fontId="347" fillId="0" borderId="7" xfId="0" applyFont="1" applyBorder="1" applyAlignment="1">
      <alignment horizontal="center" vertical="center"/>
    </xf>
    <xf numFmtId="0" fontId="117" fillId="0" borderId="16" xfId="0" applyFont="1" applyBorder="1" applyAlignment="1">
      <alignment horizontal="center" vertical="center"/>
    </xf>
    <xf numFmtId="0" fontId="117" fillId="0" borderId="17" xfId="0" applyFont="1" applyBorder="1" applyAlignment="1">
      <alignment horizontal="center" vertical="center"/>
    </xf>
    <xf numFmtId="0" fontId="346" fillId="0" borderId="113" xfId="0" applyFont="1" applyBorder="1" applyAlignment="1">
      <alignment horizontal="center"/>
    </xf>
    <xf numFmtId="0" fontId="346" fillId="0" borderId="114" xfId="0" applyFont="1" applyBorder="1" applyAlignment="1">
      <alignment horizontal="center"/>
    </xf>
    <xf numFmtId="0" fontId="346" fillId="0" borderId="115" xfId="0" applyFont="1" applyBorder="1" applyAlignment="1">
      <alignment horizontal="center"/>
    </xf>
    <xf numFmtId="164" fontId="346" fillId="0" borderId="113" xfId="7" applyNumberFormat="1" applyFont="1" applyBorder="1" applyAlignment="1">
      <alignment horizontal="center"/>
    </xf>
    <xf numFmtId="164" fontId="346" fillId="0" borderId="114" xfId="7" applyNumberFormat="1" applyFont="1" applyBorder="1" applyAlignment="1">
      <alignment horizontal="center"/>
    </xf>
    <xf numFmtId="164" fontId="346" fillId="0" borderId="115" xfId="7"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6" fillId="0" borderId="128" xfId="0" applyFont="1" applyBorder="1" applyAlignment="1">
      <alignment horizontal="center" vertical="center" wrapText="1"/>
    </xf>
    <xf numFmtId="0" fontId="116" fillId="0" borderId="7" xfId="0" applyFont="1" applyBorder="1" applyAlignment="1">
      <alignment horizontal="center" vertical="center" wrapText="1"/>
    </xf>
    <xf numFmtId="0" fontId="84" fillId="0" borderId="124" xfId="0" applyFont="1" applyBorder="1" applyAlignment="1">
      <alignment horizontal="center" vertical="center"/>
    </xf>
    <xf numFmtId="0" fontId="84" fillId="0" borderId="124"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4"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5" fillId="3" borderId="71" xfId="13" applyFont="1" applyFill="1" applyBorder="1" applyAlignment="1" applyProtection="1">
      <alignment horizontal="center" vertical="center" wrapText="1"/>
      <protection locked="0"/>
    </xf>
    <xf numFmtId="0" fontId="95"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9"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72" xfId="1" applyNumberFormat="1" applyFont="1" applyFill="1" applyBorder="1" applyAlignment="1" applyProtection="1">
      <alignment horizontal="center" vertical="center" wrapText="1"/>
      <protection locked="0"/>
    </xf>
    <xf numFmtId="164"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6" fillId="0" borderId="54" xfId="0" applyFont="1" applyBorder="1" applyAlignment="1">
      <alignment horizontal="left" vertical="center"/>
    </xf>
    <xf numFmtId="0" fontId="96"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0" fillId="0" borderId="101" xfId="0" applyFont="1" applyBorder="1" applyAlignment="1">
      <alignment horizontal="left" vertical="center" wrapText="1"/>
    </xf>
    <xf numFmtId="0" fontId="110" fillId="0" borderId="102" xfId="0" applyFont="1" applyBorder="1" applyAlignment="1">
      <alignment horizontal="left" vertical="center" wrapText="1"/>
    </xf>
    <xf numFmtId="0" fontId="110" fillId="0" borderId="106" xfId="0" applyFont="1" applyBorder="1" applyAlignment="1">
      <alignment horizontal="left" vertical="center" wrapText="1"/>
    </xf>
    <xf numFmtId="0" fontId="110" fillId="0" borderId="107" xfId="0" applyFont="1" applyBorder="1" applyAlignment="1">
      <alignment horizontal="left" vertical="center" wrapText="1"/>
    </xf>
    <xf numFmtId="0" fontId="110" fillId="0" borderId="109" xfId="0" applyFont="1" applyBorder="1" applyAlignment="1">
      <alignment horizontal="left" vertical="center" wrapText="1"/>
    </xf>
    <xf numFmtId="0" fontId="110" fillId="0" borderId="110" xfId="0" applyFont="1" applyBorder="1" applyAlignment="1">
      <alignment horizontal="left" vertical="center" wrapText="1"/>
    </xf>
    <xf numFmtId="0" fontId="111" fillId="0" borderId="103" xfId="0" applyFont="1" applyBorder="1" applyAlignment="1">
      <alignment horizontal="center" vertical="center" wrapText="1"/>
    </xf>
    <xf numFmtId="0" fontId="111" fillId="0" borderId="104" xfId="0" applyFont="1" applyBorder="1" applyAlignment="1">
      <alignment horizontal="center" vertical="center" wrapText="1"/>
    </xf>
    <xf numFmtId="0" fontId="111" fillId="0" borderId="105" xfId="0" applyFont="1" applyBorder="1" applyAlignment="1">
      <alignment horizontal="center" vertical="center" wrapText="1"/>
    </xf>
    <xf numFmtId="0" fontId="111" fillId="0" borderId="85" xfId="0" applyFont="1" applyBorder="1" applyAlignment="1">
      <alignment horizontal="center" vertical="center" wrapText="1"/>
    </xf>
    <xf numFmtId="0" fontId="111" fillId="0" borderId="108" xfId="0" applyFont="1" applyBorder="1" applyAlignment="1">
      <alignment horizontal="center" vertical="center" wrapText="1"/>
    </xf>
    <xf numFmtId="0" fontId="111" fillId="0" borderId="75" xfId="0" applyFont="1" applyBorder="1" applyAlignment="1">
      <alignment horizontal="center" vertical="center" wrapText="1"/>
    </xf>
    <xf numFmtId="0" fontId="107" fillId="0" borderId="128" xfId="0" applyFont="1" applyBorder="1" applyAlignment="1">
      <alignment horizontal="center" vertical="center" wrapText="1"/>
    </xf>
    <xf numFmtId="0" fontId="107" fillId="0" borderId="7" xfId="0" applyFont="1" applyBorder="1" applyAlignment="1">
      <alignment horizontal="center" vertical="center" wrapText="1"/>
    </xf>
    <xf numFmtId="0" fontId="107" fillId="0" borderId="124" xfId="0" applyFont="1" applyBorder="1" applyAlignment="1">
      <alignment horizontal="center" vertical="center" wrapText="1"/>
    </xf>
    <xf numFmtId="0" fontId="115" fillId="0" borderId="124" xfId="0" applyFont="1" applyBorder="1" applyAlignment="1">
      <alignment horizontal="center" vertical="center"/>
    </xf>
    <xf numFmtId="0" fontId="115" fillId="0" borderId="103" xfId="0" applyFont="1" applyBorder="1" applyAlignment="1">
      <alignment horizontal="center" vertical="center"/>
    </xf>
    <xf numFmtId="0" fontId="115" fillId="0" borderId="105" xfId="0" applyFont="1" applyBorder="1" applyAlignment="1">
      <alignment horizontal="center" vertical="center"/>
    </xf>
    <xf numFmtId="0" fontId="115" fillId="0" borderId="85" xfId="0" applyFont="1" applyBorder="1" applyAlignment="1">
      <alignment horizontal="center" vertical="center"/>
    </xf>
    <xf numFmtId="0" fontId="115" fillId="0" borderId="75" xfId="0" applyFont="1" applyBorder="1" applyAlignment="1">
      <alignment horizontal="center" vertical="center"/>
    </xf>
    <xf numFmtId="0" fontId="111" fillId="0" borderId="124" xfId="0" applyFont="1" applyBorder="1" applyAlignment="1">
      <alignment horizontal="center" vertical="center" wrapText="1"/>
    </xf>
    <xf numFmtId="0" fontId="107" fillId="0" borderId="127" xfId="0" applyFont="1" applyBorder="1" applyAlignment="1">
      <alignment horizontal="center" vertical="center" wrapText="1"/>
    </xf>
    <xf numFmtId="0" fontId="110" fillId="0" borderId="103" xfId="0" applyFont="1" applyBorder="1" applyAlignment="1">
      <alignment horizontal="center" vertical="center" wrapText="1"/>
    </xf>
    <xf numFmtId="0" fontId="110" fillId="0" borderId="105" xfId="0" applyFont="1" applyBorder="1" applyAlignment="1">
      <alignment horizontal="center" vertical="center" wrapText="1"/>
    </xf>
    <xf numFmtId="0" fontId="110" fillId="0" borderId="70"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85" xfId="0" applyFont="1" applyBorder="1" applyAlignment="1">
      <alignment horizontal="center" vertical="center" wrapText="1"/>
    </xf>
    <xf numFmtId="0" fontId="110" fillId="0" borderId="75" xfId="0" applyFont="1" applyBorder="1" applyAlignment="1">
      <alignment horizontal="center" vertical="center" wrapText="1"/>
    </xf>
    <xf numFmtId="0" fontId="107" fillId="0" borderId="125" xfId="0" applyFont="1" applyBorder="1" applyAlignment="1">
      <alignment horizontal="center" vertical="center" wrapText="1"/>
    </xf>
    <xf numFmtId="0" fontId="107" fillId="0" borderId="126" xfId="0" applyFont="1" applyBorder="1" applyAlignment="1">
      <alignment horizontal="center" vertical="center" wrapText="1"/>
    </xf>
    <xf numFmtId="0" fontId="110" fillId="0" borderId="76" xfId="0" applyFont="1" applyBorder="1" applyAlignment="1">
      <alignment horizontal="center" vertical="center" wrapText="1"/>
    </xf>
    <xf numFmtId="0" fontId="110" fillId="0" borderId="7" xfId="0" applyFont="1" applyBorder="1" applyAlignment="1">
      <alignment horizontal="center" vertical="center" wrapText="1"/>
    </xf>
    <xf numFmtId="0" fontId="107" fillId="0" borderId="76" xfId="0" applyFont="1" applyBorder="1" applyAlignment="1">
      <alignment horizontal="center" vertical="center" wrapText="1"/>
    </xf>
    <xf numFmtId="0" fontId="107" fillId="0" borderId="75" xfId="0" applyFont="1" applyBorder="1" applyAlignment="1">
      <alignment horizontal="center" vertical="center" wrapText="1"/>
    </xf>
    <xf numFmtId="0" fontId="110" fillId="0" borderId="54" xfId="0" applyFont="1" applyBorder="1" applyAlignment="1">
      <alignment horizontal="left" vertical="top" wrapText="1"/>
    </xf>
    <xf numFmtId="0" fontId="110" fillId="0" borderId="77" xfId="0" applyFont="1" applyBorder="1" applyAlignment="1">
      <alignment horizontal="left" vertical="top" wrapText="1"/>
    </xf>
    <xf numFmtId="0" fontId="110" fillId="0" borderId="63" xfId="0" applyFont="1" applyBorder="1" applyAlignment="1">
      <alignment horizontal="left" vertical="top" wrapText="1"/>
    </xf>
    <xf numFmtId="0" fontId="110" fillId="0" borderId="93" xfId="0" applyFont="1" applyBorder="1" applyAlignment="1">
      <alignment horizontal="left" vertical="top" wrapText="1"/>
    </xf>
    <xf numFmtId="0" fontId="110" fillId="0" borderId="100" xfId="0" applyFont="1" applyBorder="1" applyAlignment="1">
      <alignment horizontal="left" vertical="top" wrapText="1"/>
    </xf>
    <xf numFmtId="0" fontId="110" fillId="0" borderId="129" xfId="0" applyFont="1" applyBorder="1" applyAlignment="1">
      <alignment horizontal="left" vertical="top" wrapText="1"/>
    </xf>
    <xf numFmtId="0" fontId="110" fillId="0" borderId="87" xfId="0" applyFont="1" applyBorder="1" applyAlignment="1">
      <alignment horizontal="center" vertical="center" wrapText="1"/>
    </xf>
    <xf numFmtId="0" fontId="110" fillId="0" borderId="67" xfId="0" applyFont="1" applyBorder="1" applyAlignment="1">
      <alignment horizontal="center" vertical="center" wrapText="1"/>
    </xf>
    <xf numFmtId="0" fontId="107" fillId="0" borderId="64" xfId="0" applyFont="1" applyBorder="1" applyAlignment="1">
      <alignment horizontal="center" vertical="center" wrapText="1"/>
    </xf>
    <xf numFmtId="0" fontId="107" fillId="0" borderId="69" xfId="0" applyFont="1" applyBorder="1" applyAlignment="1">
      <alignment horizontal="center" vertical="center" wrapText="1"/>
    </xf>
    <xf numFmtId="0" fontId="107" fillId="0" borderId="27" xfId="0" applyFont="1" applyBorder="1" applyAlignment="1">
      <alignment horizontal="center" vertical="center" wrapText="1"/>
    </xf>
    <xf numFmtId="0" fontId="107" fillId="0" borderId="28" xfId="0" applyFont="1" applyBorder="1" applyAlignment="1">
      <alignment horizontal="center" vertical="center" wrapText="1"/>
    </xf>
    <xf numFmtId="0" fontId="107" fillId="0" borderId="103" xfId="0" applyFont="1" applyBorder="1" applyAlignment="1">
      <alignment horizontal="center" vertical="top" wrapText="1"/>
    </xf>
    <xf numFmtId="0" fontId="107" fillId="0" borderId="104" xfId="0" applyFont="1" applyBorder="1" applyAlignment="1">
      <alignment horizontal="center" vertical="top" wrapText="1"/>
    </xf>
    <xf numFmtId="0" fontId="107" fillId="0" borderId="126" xfId="0" applyFont="1" applyBorder="1" applyAlignment="1">
      <alignment horizontal="center" vertical="top" wrapText="1"/>
    </xf>
    <xf numFmtId="0" fontId="107" fillId="0" borderId="127" xfId="0" applyFont="1" applyBorder="1" applyAlignment="1">
      <alignment horizontal="center" vertical="top" wrapText="1"/>
    </xf>
    <xf numFmtId="0" fontId="127" fillId="0" borderId="116" xfId="0" applyFont="1" applyBorder="1" applyAlignment="1">
      <alignment horizontal="left" vertical="top" wrapText="1"/>
    </xf>
    <xf numFmtId="0" fontId="127" fillId="0" borderId="117" xfId="0" applyFont="1" applyBorder="1" applyAlignment="1">
      <alignment horizontal="left" vertical="top"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opLeftCell="A6" zoomScale="80" zoomScaleNormal="80" workbookViewId="0">
      <selection activeCell="B42" sqref="B42"/>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96"/>
      <c r="B1" s="102" t="s">
        <v>209</v>
      </c>
      <c r="C1" s="96"/>
    </row>
    <row r="2" spans="1:3">
      <c r="A2" s="103">
        <v>1</v>
      </c>
      <c r="B2" s="214" t="s">
        <v>210</v>
      </c>
      <c r="C2" s="40" t="s">
        <v>752</v>
      </c>
    </row>
    <row r="3" spans="1:3">
      <c r="A3" s="103">
        <v>2</v>
      </c>
      <c r="B3" s="215" t="s">
        <v>206</v>
      </c>
      <c r="C3" s="40" t="s">
        <v>753</v>
      </c>
    </row>
    <row r="4" spans="1:3">
      <c r="A4" s="103">
        <v>3</v>
      </c>
      <c r="B4" s="216" t="s">
        <v>211</v>
      </c>
      <c r="C4" s="40" t="s">
        <v>754</v>
      </c>
    </row>
    <row r="5" spans="1:3">
      <c r="A5" s="104">
        <v>4</v>
      </c>
      <c r="B5" s="217" t="s">
        <v>207</v>
      </c>
      <c r="C5" s="40" t="s">
        <v>755</v>
      </c>
    </row>
    <row r="6" spans="1:3" s="105" customFormat="1" ht="45.75" customHeight="1">
      <c r="A6" s="725" t="s">
        <v>283</v>
      </c>
      <c r="B6" s="726"/>
      <c r="C6" s="726"/>
    </row>
    <row r="7" spans="1:3">
      <c r="A7" s="106" t="s">
        <v>29</v>
      </c>
      <c r="B7" s="102" t="s">
        <v>208</v>
      </c>
    </row>
    <row r="8" spans="1:3">
      <c r="A8" s="96">
        <v>1</v>
      </c>
      <c r="B8" s="135" t="s">
        <v>20</v>
      </c>
    </row>
    <row r="9" spans="1:3">
      <c r="A9" s="96">
        <v>2</v>
      </c>
      <c r="B9" s="136" t="s">
        <v>21</v>
      </c>
    </row>
    <row r="10" spans="1:3">
      <c r="A10" s="96">
        <v>3</v>
      </c>
      <c r="B10" s="136" t="s">
        <v>22</v>
      </c>
    </row>
    <row r="11" spans="1:3">
      <c r="A11" s="96">
        <v>4</v>
      </c>
      <c r="B11" s="136" t="s">
        <v>23</v>
      </c>
    </row>
    <row r="12" spans="1:3">
      <c r="A12" s="96">
        <v>5</v>
      </c>
      <c r="B12" s="136" t="s">
        <v>24</v>
      </c>
    </row>
    <row r="13" spans="1:3">
      <c r="A13" s="96">
        <v>6</v>
      </c>
      <c r="B13" s="137" t="s">
        <v>218</v>
      </c>
    </row>
    <row r="14" spans="1:3">
      <c r="A14" s="96">
        <v>7</v>
      </c>
      <c r="B14" s="136" t="s">
        <v>212</v>
      </c>
    </row>
    <row r="15" spans="1:3">
      <c r="A15" s="96">
        <v>8</v>
      </c>
      <c r="B15" s="136" t="s">
        <v>213</v>
      </c>
    </row>
    <row r="16" spans="1:3">
      <c r="A16" s="96">
        <v>9</v>
      </c>
      <c r="B16" s="136" t="s">
        <v>25</v>
      </c>
    </row>
    <row r="17" spans="1:2">
      <c r="A17" s="213" t="s">
        <v>282</v>
      </c>
      <c r="B17" s="212" t="s">
        <v>269</v>
      </c>
    </row>
    <row r="18" spans="1:2">
      <c r="A18" s="213" t="s">
        <v>711</v>
      </c>
      <c r="B18" s="466" t="s">
        <v>713</v>
      </c>
    </row>
    <row r="19" spans="1:2">
      <c r="A19" s="467" t="s">
        <v>712</v>
      </c>
      <c r="B19" s="466" t="s">
        <v>714</v>
      </c>
    </row>
    <row r="20" spans="1:2">
      <c r="A20" s="96">
        <v>10</v>
      </c>
      <c r="B20" s="136" t="s">
        <v>26</v>
      </c>
    </row>
    <row r="21" spans="1:2">
      <c r="A21" s="96">
        <v>11</v>
      </c>
      <c r="B21" s="137" t="s">
        <v>214</v>
      </c>
    </row>
    <row r="22" spans="1:2">
      <c r="A22" s="96">
        <v>12</v>
      </c>
      <c r="B22" s="137" t="s">
        <v>27</v>
      </c>
    </row>
    <row r="23" spans="1:2">
      <c r="A23" s="236">
        <v>13</v>
      </c>
      <c r="B23" s="237" t="s">
        <v>215</v>
      </c>
    </row>
    <row r="24" spans="1:2">
      <c r="A24" s="236">
        <v>14</v>
      </c>
      <c r="B24" s="238" t="s">
        <v>240</v>
      </c>
    </row>
    <row r="25" spans="1:2">
      <c r="A25" s="236">
        <v>15</v>
      </c>
      <c r="B25" s="239" t="s">
        <v>28</v>
      </c>
    </row>
    <row r="26" spans="1:2">
      <c r="A26" s="236">
        <v>15.1</v>
      </c>
      <c r="B26" s="240" t="s">
        <v>296</v>
      </c>
    </row>
    <row r="27" spans="1:2">
      <c r="A27" s="468">
        <v>15.2</v>
      </c>
      <c r="B27" s="466" t="s">
        <v>716</v>
      </c>
    </row>
    <row r="28" spans="1:2">
      <c r="A28" s="236">
        <v>16</v>
      </c>
      <c r="B28" s="240" t="s">
        <v>337</v>
      </c>
    </row>
    <row r="29" spans="1:2">
      <c r="A29" s="236">
        <v>17</v>
      </c>
      <c r="B29" s="240" t="s">
        <v>378</v>
      </c>
    </row>
    <row r="30" spans="1:2">
      <c r="A30" s="236">
        <v>18</v>
      </c>
      <c r="B30" s="240" t="s">
        <v>666</v>
      </c>
    </row>
    <row r="31" spans="1:2">
      <c r="A31" s="236">
        <v>19</v>
      </c>
      <c r="B31" s="240" t="s">
        <v>667</v>
      </c>
    </row>
    <row r="32" spans="1:2">
      <c r="A32" s="236">
        <v>20</v>
      </c>
      <c r="B32" s="299" t="s">
        <v>668</v>
      </c>
    </row>
    <row r="33" spans="1:2">
      <c r="A33" s="236">
        <v>21</v>
      </c>
      <c r="B33" s="240" t="s">
        <v>494</v>
      </c>
    </row>
    <row r="34" spans="1:2">
      <c r="A34" s="236">
        <v>22</v>
      </c>
      <c r="B34" s="240" t="s">
        <v>669</v>
      </c>
    </row>
    <row r="35" spans="1:2">
      <c r="A35" s="236">
        <v>23</v>
      </c>
      <c r="B35" s="240" t="s">
        <v>670</v>
      </c>
    </row>
    <row r="36" spans="1:2">
      <c r="A36" s="236">
        <v>24</v>
      </c>
      <c r="B36" s="240" t="s">
        <v>671</v>
      </c>
    </row>
    <row r="37" spans="1:2">
      <c r="A37" s="236">
        <v>25</v>
      </c>
      <c r="B37" s="240" t="s">
        <v>379</v>
      </c>
    </row>
    <row r="38" spans="1:2">
      <c r="A38" s="236">
        <v>26</v>
      </c>
      <c r="B38" s="24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scale="46" orientation="portrait" horizontalDpi="300" verticalDpi="300" r:id="rId1"/>
  <headerFooter>
    <oddFooter>&amp;C_x000D_&amp;1#&amp;"Aptos"&amp;10&amp;K000000 C4 - EXTERNAL CONFIDENTIAL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D56"/>
  <sheetViews>
    <sheetView zoomScale="80" zoomScaleNormal="80" workbookViewId="0">
      <pane xSplit="1" ySplit="5" topLeftCell="B41" activePane="bottomRight" state="frozen"/>
      <selection activeCell="B42" sqref="B42"/>
      <selection pane="topRight" activeCell="B42" sqref="B42"/>
      <selection pane="bottomLeft" activeCell="B42" sqref="B42"/>
      <selection pane="bottomRight" activeCell="F9" sqref="F9"/>
    </sheetView>
  </sheetViews>
  <sheetFormatPr defaultColWidth="9.21875" defaultRowHeight="13.2"/>
  <cols>
    <col min="1" max="1" width="9.5546875" style="4" bestFit="1" customWidth="1"/>
    <col min="2" max="2" width="132.44140625" style="4" customWidth="1"/>
    <col min="3" max="3" width="18.44140625" style="4" customWidth="1"/>
    <col min="4" max="4" width="11.77734375" style="4" customWidth="1"/>
    <col min="5" max="16384" width="9.21875" style="4"/>
  </cols>
  <sheetData>
    <row r="1" spans="1:4">
      <c r="A1" s="2" t="s">
        <v>30</v>
      </c>
      <c r="B1" s="3" t="str">
        <f>'Info '!C2</f>
        <v xml:space="preserve">PASHA Bank Georgia JSC </v>
      </c>
    </row>
    <row r="2" spans="1:4" s="2" customFormat="1" ht="15.75" customHeight="1">
      <c r="A2" s="2" t="s">
        <v>31</v>
      </c>
      <c r="B2" s="253">
        <f>'1. key ratios '!B2</f>
        <v>46112</v>
      </c>
    </row>
    <row r="3" spans="1:4" s="2" customFormat="1" ht="15.75" customHeight="1"/>
    <row r="4" spans="1:4" ht="13.8" thickBot="1">
      <c r="A4" s="4" t="s">
        <v>143</v>
      </c>
      <c r="B4" s="84" t="s">
        <v>142</v>
      </c>
    </row>
    <row r="5" spans="1:4">
      <c r="A5" s="45" t="s">
        <v>6</v>
      </c>
      <c r="B5" s="46"/>
      <c r="C5" s="47" t="s">
        <v>35</v>
      </c>
    </row>
    <row r="6" spans="1:4">
      <c r="A6" s="48">
        <v>1</v>
      </c>
      <c r="B6" s="49" t="s">
        <v>141</v>
      </c>
      <c r="C6" s="50">
        <f>SUM(C7:C11)</f>
        <v>129419898.97</v>
      </c>
      <c r="D6" s="544"/>
    </row>
    <row r="7" spans="1:4">
      <c r="A7" s="48">
        <v>2</v>
      </c>
      <c r="B7" s="51" t="s">
        <v>140</v>
      </c>
      <c r="C7" s="52">
        <v>136800000</v>
      </c>
      <c r="D7" s="544"/>
    </row>
    <row r="8" spans="1:4">
      <c r="A8" s="48">
        <v>3</v>
      </c>
      <c r="B8" s="53" t="s">
        <v>139</v>
      </c>
      <c r="C8" s="52"/>
      <c r="D8" s="544"/>
    </row>
    <row r="9" spans="1:4">
      <c r="A9" s="48">
        <v>4</v>
      </c>
      <c r="B9" s="53" t="s">
        <v>138</v>
      </c>
      <c r="C9" s="52"/>
      <c r="D9" s="544"/>
    </row>
    <row r="10" spans="1:4">
      <c r="A10" s="48">
        <v>5</v>
      </c>
      <c r="B10" s="53" t="s">
        <v>137</v>
      </c>
      <c r="C10" s="52"/>
      <c r="D10" s="544"/>
    </row>
    <row r="11" spans="1:4">
      <c r="A11" s="48">
        <v>6</v>
      </c>
      <c r="B11" s="54" t="s">
        <v>136</v>
      </c>
      <c r="C11" s="52">
        <v>-7380101.0300000003</v>
      </c>
      <c r="D11" s="544"/>
    </row>
    <row r="12" spans="1:4" s="23" customFormat="1">
      <c r="A12" s="48">
        <v>7</v>
      </c>
      <c r="B12" s="49" t="s">
        <v>135</v>
      </c>
      <c r="C12" s="55">
        <f>SUM(C13:C28)</f>
        <v>5422910.7300000004</v>
      </c>
      <c r="D12" s="544"/>
    </row>
    <row r="13" spans="1:4" s="23" customFormat="1">
      <c r="A13" s="48">
        <v>8</v>
      </c>
      <c r="B13" s="56" t="s">
        <v>134</v>
      </c>
      <c r="C13" s="57"/>
      <c r="D13" s="544"/>
    </row>
    <row r="14" spans="1:4" s="23" customFormat="1" ht="26.4">
      <c r="A14" s="48">
        <v>9</v>
      </c>
      <c r="B14" s="58" t="s">
        <v>133</v>
      </c>
      <c r="C14" s="57"/>
      <c r="D14" s="544"/>
    </row>
    <row r="15" spans="1:4" s="23" customFormat="1">
      <c r="A15" s="48">
        <v>10</v>
      </c>
      <c r="B15" s="59" t="s">
        <v>132</v>
      </c>
      <c r="C15" s="57">
        <v>3179177.82</v>
      </c>
      <c r="D15" s="544"/>
    </row>
    <row r="16" spans="1:4" s="23" customFormat="1">
      <c r="A16" s="48">
        <v>11</v>
      </c>
      <c r="B16" s="60" t="s">
        <v>131</v>
      </c>
      <c r="C16" s="57"/>
      <c r="D16" s="544"/>
    </row>
    <row r="17" spans="1:4" s="23" customFormat="1">
      <c r="A17" s="48">
        <v>12</v>
      </c>
      <c r="B17" s="59" t="s">
        <v>130</v>
      </c>
      <c r="C17" s="57"/>
      <c r="D17" s="544"/>
    </row>
    <row r="18" spans="1:4" s="23" customFormat="1">
      <c r="A18" s="48">
        <v>13</v>
      </c>
      <c r="B18" s="59" t="s">
        <v>129</v>
      </c>
      <c r="C18" s="57"/>
      <c r="D18" s="544"/>
    </row>
    <row r="19" spans="1:4" s="23" customFormat="1">
      <c r="A19" s="48">
        <v>14</v>
      </c>
      <c r="B19" s="59" t="s">
        <v>128</v>
      </c>
      <c r="C19" s="57"/>
      <c r="D19" s="544"/>
    </row>
    <row r="20" spans="1:4" s="23" customFormat="1">
      <c r="A20" s="48">
        <v>15</v>
      </c>
      <c r="B20" s="59" t="s">
        <v>127</v>
      </c>
      <c r="C20" s="57">
        <v>2243732.91</v>
      </c>
      <c r="D20" s="544"/>
    </row>
    <row r="21" spans="1:4" s="23" customFormat="1" ht="26.4">
      <c r="A21" s="48">
        <v>16</v>
      </c>
      <c r="B21" s="58" t="s">
        <v>126</v>
      </c>
      <c r="C21" s="57"/>
      <c r="D21" s="544"/>
    </row>
    <row r="22" spans="1:4" s="23" customFormat="1">
      <c r="A22" s="48">
        <v>17</v>
      </c>
      <c r="B22" s="61" t="s">
        <v>125</v>
      </c>
      <c r="C22" s="57"/>
      <c r="D22" s="544"/>
    </row>
    <row r="23" spans="1:4" s="23" customFormat="1">
      <c r="A23" s="48">
        <v>18</v>
      </c>
      <c r="B23" s="61" t="s">
        <v>517</v>
      </c>
      <c r="C23" s="301"/>
      <c r="D23" s="544"/>
    </row>
    <row r="24" spans="1:4" s="23" customFormat="1">
      <c r="A24" s="48">
        <v>19</v>
      </c>
      <c r="B24" s="58" t="s">
        <v>124</v>
      </c>
      <c r="C24" s="57"/>
      <c r="D24" s="544"/>
    </row>
    <row r="25" spans="1:4" s="23" customFormat="1" ht="26.4">
      <c r="A25" s="48">
        <v>20</v>
      </c>
      <c r="B25" s="58" t="s">
        <v>101</v>
      </c>
      <c r="C25" s="57"/>
      <c r="D25" s="544"/>
    </row>
    <row r="26" spans="1:4" s="23" customFormat="1">
      <c r="A26" s="48">
        <v>21</v>
      </c>
      <c r="B26" s="60" t="s">
        <v>123</v>
      </c>
      <c r="C26" s="57"/>
      <c r="D26" s="544"/>
    </row>
    <row r="27" spans="1:4" s="23" customFormat="1">
      <c r="A27" s="48">
        <v>22</v>
      </c>
      <c r="B27" s="60" t="s">
        <v>122</v>
      </c>
      <c r="C27" s="57"/>
      <c r="D27" s="544"/>
    </row>
    <row r="28" spans="1:4" s="23" customFormat="1">
      <c r="A28" s="48">
        <v>23</v>
      </c>
      <c r="B28" s="60" t="s">
        <v>121</v>
      </c>
      <c r="C28" s="57"/>
      <c r="D28" s="544"/>
    </row>
    <row r="29" spans="1:4" s="23" customFormat="1">
      <c r="A29" s="48">
        <v>24</v>
      </c>
      <c r="B29" s="62" t="s">
        <v>120</v>
      </c>
      <c r="C29" s="55">
        <f>C6-C12</f>
        <v>123996988.23999999</v>
      </c>
      <c r="D29" s="544"/>
    </row>
    <row r="30" spans="1:4" s="23" customFormat="1">
      <c r="A30" s="63"/>
      <c r="B30" s="64"/>
      <c r="C30" s="57"/>
      <c r="D30" s="544"/>
    </row>
    <row r="31" spans="1:4" s="23" customFormat="1">
      <c r="A31" s="63">
        <v>25</v>
      </c>
      <c r="B31" s="62" t="s">
        <v>119</v>
      </c>
      <c r="C31" s="55">
        <f>C32+C35</f>
        <v>13499000</v>
      </c>
      <c r="D31" s="544"/>
    </row>
    <row r="32" spans="1:4" s="23" customFormat="1">
      <c r="A32" s="63">
        <v>26</v>
      </c>
      <c r="B32" s="53" t="s">
        <v>118</v>
      </c>
      <c r="C32" s="65">
        <f>C33+C34</f>
        <v>0</v>
      </c>
      <c r="D32" s="544"/>
    </row>
    <row r="33" spans="1:4" s="23" customFormat="1">
      <c r="A33" s="63">
        <v>27</v>
      </c>
      <c r="B33" s="66" t="s">
        <v>179</v>
      </c>
      <c r="C33" s="57"/>
      <c r="D33" s="544"/>
    </row>
    <row r="34" spans="1:4" s="23" customFormat="1">
      <c r="A34" s="63">
        <v>28</v>
      </c>
      <c r="B34" s="66" t="s">
        <v>117</v>
      </c>
      <c r="C34" s="57"/>
      <c r="D34" s="544"/>
    </row>
    <row r="35" spans="1:4" s="23" customFormat="1">
      <c r="A35" s="63">
        <v>29</v>
      </c>
      <c r="B35" s="53" t="s">
        <v>116</v>
      </c>
      <c r="C35" s="57">
        <v>13499000</v>
      </c>
      <c r="D35" s="544"/>
    </row>
    <row r="36" spans="1:4" s="23" customFormat="1">
      <c r="A36" s="63">
        <v>30</v>
      </c>
      <c r="B36" s="62" t="s">
        <v>115</v>
      </c>
      <c r="C36" s="55">
        <f>SUM(C37:C41)</f>
        <v>0</v>
      </c>
      <c r="D36" s="544"/>
    </row>
    <row r="37" spans="1:4" s="23" customFormat="1">
      <c r="A37" s="63">
        <v>31</v>
      </c>
      <c r="B37" s="58" t="s">
        <v>114</v>
      </c>
      <c r="C37" s="57"/>
      <c r="D37" s="544"/>
    </row>
    <row r="38" spans="1:4" s="23" customFormat="1">
      <c r="A38" s="63">
        <v>32</v>
      </c>
      <c r="B38" s="59" t="s">
        <v>113</v>
      </c>
      <c r="C38" s="57"/>
      <c r="D38" s="544"/>
    </row>
    <row r="39" spans="1:4" s="23" customFormat="1">
      <c r="A39" s="63">
        <v>33</v>
      </c>
      <c r="B39" s="58" t="s">
        <v>112</v>
      </c>
      <c r="C39" s="57"/>
      <c r="D39" s="544"/>
    </row>
    <row r="40" spans="1:4" s="23" customFormat="1" ht="26.4">
      <c r="A40" s="63">
        <v>34</v>
      </c>
      <c r="B40" s="58" t="s">
        <v>101</v>
      </c>
      <c r="C40" s="57"/>
      <c r="D40" s="544"/>
    </row>
    <row r="41" spans="1:4" s="23" customFormat="1">
      <c r="A41" s="63">
        <v>35</v>
      </c>
      <c r="B41" s="60" t="s">
        <v>111</v>
      </c>
      <c r="C41" s="57"/>
      <c r="D41" s="544"/>
    </row>
    <row r="42" spans="1:4" s="23" customFormat="1">
      <c r="A42" s="63">
        <v>36</v>
      </c>
      <c r="B42" s="62" t="s">
        <v>110</v>
      </c>
      <c r="C42" s="55">
        <f>C31-C36</f>
        <v>13499000</v>
      </c>
      <c r="D42" s="544"/>
    </row>
    <row r="43" spans="1:4" s="23" customFormat="1">
      <c r="A43" s="63"/>
      <c r="B43" s="64"/>
      <c r="C43" s="57"/>
      <c r="D43" s="544"/>
    </row>
    <row r="44" spans="1:4" s="23" customFormat="1">
      <c r="A44" s="63">
        <v>37</v>
      </c>
      <c r="B44" s="67" t="s">
        <v>109</v>
      </c>
      <c r="C44" s="55">
        <f>SUM(C45:C47)</f>
        <v>27539882.136500001</v>
      </c>
      <c r="D44" s="544"/>
    </row>
    <row r="45" spans="1:4" s="23" customFormat="1">
      <c r="A45" s="63">
        <v>38</v>
      </c>
      <c r="B45" s="53" t="s">
        <v>108</v>
      </c>
      <c r="C45" s="57">
        <v>27539882.136500001</v>
      </c>
      <c r="D45" s="544"/>
    </row>
    <row r="46" spans="1:4" s="23" customFormat="1">
      <c r="A46" s="63">
        <v>39</v>
      </c>
      <c r="B46" s="53" t="s">
        <v>107</v>
      </c>
      <c r="C46" s="57"/>
      <c r="D46" s="544"/>
    </row>
    <row r="47" spans="1:4" s="23" customFormat="1">
      <c r="A47" s="63">
        <v>40</v>
      </c>
      <c r="B47" s="53" t="s">
        <v>106</v>
      </c>
      <c r="C47" s="57"/>
      <c r="D47" s="544"/>
    </row>
    <row r="48" spans="1:4" s="23" customFormat="1">
      <c r="A48" s="63">
        <v>41</v>
      </c>
      <c r="B48" s="67" t="s">
        <v>105</v>
      </c>
      <c r="C48" s="55">
        <f>SUM(C49:C52)</f>
        <v>0</v>
      </c>
      <c r="D48" s="544"/>
    </row>
    <row r="49" spans="1:4" s="23" customFormat="1">
      <c r="A49" s="63">
        <v>42</v>
      </c>
      <c r="B49" s="58" t="s">
        <v>104</v>
      </c>
      <c r="C49" s="57"/>
      <c r="D49" s="544"/>
    </row>
    <row r="50" spans="1:4" s="23" customFormat="1">
      <c r="A50" s="63">
        <v>43</v>
      </c>
      <c r="B50" s="59" t="s">
        <v>103</v>
      </c>
      <c r="C50" s="57"/>
      <c r="D50" s="544"/>
    </row>
    <row r="51" spans="1:4" s="23" customFormat="1">
      <c r="A51" s="63">
        <v>44</v>
      </c>
      <c r="B51" s="58" t="s">
        <v>102</v>
      </c>
      <c r="C51" s="57"/>
      <c r="D51" s="544"/>
    </row>
    <row r="52" spans="1:4" s="23" customFormat="1" ht="26.4">
      <c r="A52" s="63">
        <v>45</v>
      </c>
      <c r="B52" s="58" t="s">
        <v>101</v>
      </c>
      <c r="C52" s="57"/>
      <c r="D52" s="544"/>
    </row>
    <row r="53" spans="1:4" s="23" customFormat="1" ht="13.8" thickBot="1">
      <c r="A53" s="63">
        <v>46</v>
      </c>
      <c r="B53" s="68" t="s">
        <v>100</v>
      </c>
      <c r="C53" s="69">
        <f>C44-C48</f>
        <v>27539882.136500001</v>
      </c>
      <c r="D53" s="544"/>
    </row>
    <row r="56" spans="1:4">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paperSize="9" scale="54" orientation="portrait" horizontalDpi="300" verticalDpi="300" r:id="rId1"/>
  <headerFooter>
    <oddFooter>&amp;C_x000D_&amp;1#&amp;"Aptos"&amp;10&amp;K000000 C4 - EXTERNAL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3"/>
  <sheetViews>
    <sheetView zoomScale="80" zoomScaleNormal="80" workbookViewId="0">
      <selection activeCell="I21" sqref="I21"/>
    </sheetView>
  </sheetViews>
  <sheetFormatPr defaultColWidth="9.21875" defaultRowHeight="13.8"/>
  <cols>
    <col min="1" max="1" width="9.44140625" style="127" bestFit="1" customWidth="1"/>
    <col min="2" max="2" width="59" style="127" customWidth="1"/>
    <col min="3" max="3" width="16.77734375" style="127" bestFit="1" customWidth="1"/>
    <col min="4" max="4" width="15.6640625" style="127" customWidth="1"/>
    <col min="5" max="5" width="9.21875" style="127"/>
    <col min="6" max="6" width="9.21875" style="546"/>
    <col min="7" max="16384" width="9.21875" style="127"/>
  </cols>
  <sheetData>
    <row r="1" spans="1:6">
      <c r="A1" s="125" t="s">
        <v>30</v>
      </c>
      <c r="B1" s="3" t="str">
        <f>'Info '!C2</f>
        <v xml:space="preserve">PASHA Bank Georgia JSC </v>
      </c>
    </row>
    <row r="2" spans="1:6" s="125" customFormat="1" ht="15.75" customHeight="1">
      <c r="A2" s="125" t="s">
        <v>31</v>
      </c>
      <c r="B2" s="253">
        <f>'1. key ratios '!B2</f>
        <v>46112</v>
      </c>
      <c r="F2" s="547"/>
    </row>
    <row r="3" spans="1:6" s="125" customFormat="1" ht="15.75" customHeight="1">
      <c r="F3" s="547"/>
    </row>
    <row r="4" spans="1:6" ht="14.4" thickBot="1">
      <c r="A4" s="127" t="s">
        <v>268</v>
      </c>
      <c r="B4" s="202" t="s">
        <v>269</v>
      </c>
    </row>
    <row r="5" spans="1:6" s="132" customFormat="1" ht="12.75" customHeight="1">
      <c r="A5" s="234"/>
      <c r="B5" s="235" t="s">
        <v>272</v>
      </c>
      <c r="C5" s="195" t="s">
        <v>270</v>
      </c>
      <c r="D5" s="196" t="s">
        <v>271</v>
      </c>
      <c r="F5" s="548"/>
    </row>
    <row r="6" spans="1:6" s="203" customFormat="1">
      <c r="A6" s="197">
        <v>1</v>
      </c>
      <c r="B6" s="227" t="s">
        <v>273</v>
      </c>
      <c r="C6" s="227"/>
      <c r="D6" s="198"/>
      <c r="F6" s="549"/>
    </row>
    <row r="7" spans="1:6" s="203" customFormat="1">
      <c r="A7" s="199" t="s">
        <v>259</v>
      </c>
      <c r="B7" s="228" t="s">
        <v>274</v>
      </c>
      <c r="C7" s="220">
        <v>4.4999999999999998E-2</v>
      </c>
      <c r="D7" s="645">
        <f>C7*'5. RWA '!$C$13</f>
        <v>29930357.754852969</v>
      </c>
      <c r="E7" s="545"/>
      <c r="F7" s="549"/>
    </row>
    <row r="8" spans="1:6" s="203" customFormat="1">
      <c r="A8" s="199" t="s">
        <v>260</v>
      </c>
      <c r="B8" s="228" t="s">
        <v>275</v>
      </c>
      <c r="C8" s="221">
        <v>0.06</v>
      </c>
      <c r="D8" s="645">
        <f>C8*'5. RWA '!$C$13</f>
        <v>39907143.673137292</v>
      </c>
      <c r="E8" s="545"/>
      <c r="F8" s="549"/>
    </row>
    <row r="9" spans="1:6" s="203" customFormat="1">
      <c r="A9" s="199" t="s">
        <v>261</v>
      </c>
      <c r="B9" s="228" t="s">
        <v>276</v>
      </c>
      <c r="C9" s="221">
        <v>0.08</v>
      </c>
      <c r="D9" s="645">
        <f>C9*'5. RWA '!$C$13</f>
        <v>53209524.897516392</v>
      </c>
      <c r="E9" s="545"/>
      <c r="F9" s="549"/>
    </row>
    <row r="10" spans="1:6" s="203" customFormat="1">
      <c r="A10" s="197" t="s">
        <v>262</v>
      </c>
      <c r="B10" s="227" t="s">
        <v>277</v>
      </c>
      <c r="C10" s="222"/>
      <c r="D10" s="229"/>
      <c r="E10" s="545"/>
      <c r="F10" s="549"/>
    </row>
    <row r="11" spans="1:6" s="204" customFormat="1">
      <c r="A11" s="200" t="s">
        <v>263</v>
      </c>
      <c r="B11" s="219" t="s">
        <v>747</v>
      </c>
      <c r="C11" s="223">
        <v>2.5000000000000001E-2</v>
      </c>
      <c r="D11" s="645">
        <f>C11*'5. RWA '!$C$13</f>
        <v>16627976.530473873</v>
      </c>
      <c r="E11" s="545"/>
      <c r="F11" s="549"/>
    </row>
    <row r="12" spans="1:6" s="204" customFormat="1">
      <c r="A12" s="200" t="s">
        <v>264</v>
      </c>
      <c r="B12" s="219" t="s">
        <v>278</v>
      </c>
      <c r="C12" s="223">
        <v>7.4999999999999997E-3</v>
      </c>
      <c r="D12" s="645">
        <f>C12*'5. RWA '!$C$13</f>
        <v>4988392.9591421615</v>
      </c>
      <c r="E12" s="545"/>
      <c r="F12" s="549"/>
    </row>
    <row r="13" spans="1:6" s="204" customFormat="1">
      <c r="A13" s="200" t="s">
        <v>265</v>
      </c>
      <c r="B13" s="219" t="s">
        <v>279</v>
      </c>
      <c r="C13" s="223"/>
      <c r="D13" s="645">
        <f>C13*'5. RWA '!$C$13</f>
        <v>0</v>
      </c>
      <c r="E13" s="545"/>
      <c r="F13" s="549"/>
    </row>
    <row r="14" spans="1:6" s="204" customFormat="1">
      <c r="A14" s="197" t="s">
        <v>266</v>
      </c>
      <c r="B14" s="227" t="s">
        <v>326</v>
      </c>
      <c r="C14" s="224"/>
      <c r="D14" s="230"/>
      <c r="E14" s="545"/>
      <c r="F14" s="549"/>
    </row>
    <row r="15" spans="1:6" s="204" customFormat="1">
      <c r="A15" s="200">
        <v>3.1</v>
      </c>
      <c r="B15" s="219" t="s">
        <v>284</v>
      </c>
      <c r="C15" s="223">
        <v>7.7728926354576122E-2</v>
      </c>
      <c r="D15" s="645">
        <f>C15*'5. RWA '!$C$13</f>
        <v>51698990.526512951</v>
      </c>
      <c r="E15" s="545"/>
      <c r="F15" s="549"/>
    </row>
    <row r="16" spans="1:6" s="204" customFormat="1">
      <c r="A16" s="200">
        <v>3.2</v>
      </c>
      <c r="B16" s="219" t="s">
        <v>285</v>
      </c>
      <c r="C16" s="223">
        <v>9.636178253151495E-2</v>
      </c>
      <c r="D16" s="645">
        <f>C16*'5. RWA '!$C$13</f>
        <v>64092058.334746316</v>
      </c>
      <c r="E16" s="545"/>
      <c r="F16" s="549"/>
    </row>
    <row r="17" spans="1:6" s="203" customFormat="1">
      <c r="A17" s="200">
        <v>3.3</v>
      </c>
      <c r="B17" s="219" t="s">
        <v>286</v>
      </c>
      <c r="C17" s="223">
        <v>0.12087869855380287</v>
      </c>
      <c r="D17" s="645">
        <f>C17*'5. RWA '!$C$13</f>
        <v>80398726.503474414</v>
      </c>
      <c r="E17" s="545"/>
      <c r="F17" s="549"/>
    </row>
    <row r="18" spans="1:6" s="132" customFormat="1" ht="12.75" customHeight="1">
      <c r="A18" s="232"/>
      <c r="B18" s="233" t="s">
        <v>325</v>
      </c>
      <c r="C18" s="225" t="s">
        <v>270</v>
      </c>
      <c r="D18" s="231" t="s">
        <v>271</v>
      </c>
      <c r="E18" s="545"/>
      <c r="F18" s="549"/>
    </row>
    <row r="19" spans="1:6" s="203" customFormat="1">
      <c r="A19" s="201">
        <v>4</v>
      </c>
      <c r="B19" s="219" t="s">
        <v>280</v>
      </c>
      <c r="C19" s="223">
        <f>C7+C11+C12+C13+C15</f>
        <v>0.15522892635457614</v>
      </c>
      <c r="D19" s="645">
        <f>C19*'5. RWA '!$C$13</f>
        <v>103245717.77098197</v>
      </c>
      <c r="E19" s="545"/>
      <c r="F19" s="549"/>
    </row>
    <row r="20" spans="1:6" s="203" customFormat="1">
      <c r="A20" s="201">
        <v>5</v>
      </c>
      <c r="B20" s="219" t="s">
        <v>90</v>
      </c>
      <c r="C20" s="223">
        <f>C8+C11+C12+C13+C16</f>
        <v>0.18886178253151495</v>
      </c>
      <c r="D20" s="645">
        <f>C20*'5. RWA '!$C$13</f>
        <v>125615571.49749964</v>
      </c>
      <c r="E20" s="545"/>
      <c r="F20" s="549"/>
    </row>
    <row r="21" spans="1:6" s="203" customFormat="1" ht="14.4" thickBot="1">
      <c r="A21" s="205" t="s">
        <v>267</v>
      </c>
      <c r="B21" s="206" t="s">
        <v>281</v>
      </c>
      <c r="C21" s="226">
        <f>C9+C11+C12+C13+C17</f>
        <v>0.23337869855380289</v>
      </c>
      <c r="D21" s="646">
        <f>C21*'5. RWA '!$C$13</f>
        <v>155224620.89060685</v>
      </c>
      <c r="E21" s="545"/>
      <c r="F21" s="549"/>
    </row>
    <row r="22" spans="1:6">
      <c r="F22" s="549"/>
    </row>
    <row r="23" spans="1:6">
      <c r="B23" s="165"/>
    </row>
  </sheetData>
  <conditionalFormatting sqref="C21">
    <cfRule type="cellIs" dxfId="19" priority="1" operator="lessThan">
      <formula>#REF!</formula>
    </cfRule>
  </conditionalFormatting>
  <pageMargins left="0.7" right="0.7" top="0.75" bottom="0.75" header="0.3" footer="0.3"/>
  <pageSetup paperSize="9" scale="86" orientation="portrait" horizontalDpi="300" verticalDpi="300" r:id="rId1"/>
  <headerFooter>
    <oddFooter>&amp;C_x000D_&amp;1#&amp;"Aptos"&amp;10&amp;K000000 C4 - EXTERNAL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26"/>
  <sheetViews>
    <sheetView showGridLines="0" zoomScale="90" zoomScaleNormal="90" workbookViewId="0">
      <selection activeCell="C23" sqref="C23"/>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08" t="str">
        <f>'9.1. Capital Requirements'!A1</f>
        <v>Bank:</v>
      </c>
      <c r="B1" s="409" t="str">
        <f>'1. key ratios '!B1</f>
        <v xml:space="preserve">PASHA Bank Georgia JSC </v>
      </c>
    </row>
    <row r="2" spans="1:3">
      <c r="A2" s="408" t="str">
        <f>'9.1. Capital Requirements'!A2</f>
        <v>Date:</v>
      </c>
      <c r="B2" s="410">
        <f>'1. key ratios '!B2</f>
        <v>46112</v>
      </c>
    </row>
    <row r="3" spans="1:3">
      <c r="A3" s="411" t="s">
        <v>675</v>
      </c>
      <c r="B3" s="412" t="s">
        <v>676</v>
      </c>
    </row>
    <row r="4" spans="1:3" ht="15" thickBot="1"/>
    <row r="5" spans="1:3">
      <c r="A5" s="413"/>
      <c r="B5" s="414" t="s">
        <v>677</v>
      </c>
      <c r="C5" s="601"/>
    </row>
    <row r="6" spans="1:3">
      <c r="A6" s="415" t="s">
        <v>697</v>
      </c>
      <c r="B6" s="416">
        <f>SUM(B7,B11)</f>
        <v>165035870.37650001</v>
      </c>
      <c r="C6" s="602"/>
    </row>
    <row r="7" spans="1:3" ht="15.6">
      <c r="A7" s="415" t="s">
        <v>683</v>
      </c>
      <c r="B7" s="416">
        <f>SUM(B8:B10)</f>
        <v>165035870.37650001</v>
      </c>
      <c r="C7" s="602"/>
    </row>
    <row r="8" spans="1:3">
      <c r="A8" s="417" t="s">
        <v>678</v>
      </c>
      <c r="B8" s="418">
        <f>'9.Capital'!C29</f>
        <v>123996988.23999999</v>
      </c>
      <c r="C8" s="602"/>
    </row>
    <row r="9" spans="1:3">
      <c r="A9" s="417" t="s">
        <v>679</v>
      </c>
      <c r="B9" s="418">
        <f>'9.Capital'!C42</f>
        <v>13499000</v>
      </c>
      <c r="C9" s="602"/>
    </row>
    <row r="10" spans="1:3">
      <c r="A10" s="417" t="s">
        <v>680</v>
      </c>
      <c r="B10" s="418">
        <f>'9.Capital'!C53</f>
        <v>27539882.136500001</v>
      </c>
      <c r="C10" s="602"/>
    </row>
    <row r="11" spans="1:3">
      <c r="A11" s="415" t="s">
        <v>684</v>
      </c>
      <c r="B11" s="416">
        <f>SUM(B12:B13)</f>
        <v>0</v>
      </c>
      <c r="C11" s="602"/>
    </row>
    <row r="12" spans="1:3" ht="15.6">
      <c r="A12" s="417" t="s">
        <v>703</v>
      </c>
      <c r="B12" s="418"/>
      <c r="C12" s="602"/>
    </row>
    <row r="13" spans="1:3" ht="15.6">
      <c r="A13" s="417" t="s">
        <v>685</v>
      </c>
      <c r="B13" s="418"/>
      <c r="C13" s="602"/>
    </row>
    <row r="14" spans="1:3">
      <c r="A14" s="415" t="s">
        <v>686</v>
      </c>
      <c r="B14" s="416">
        <f>SUM(B15:B16)</f>
        <v>165035870.37650001</v>
      </c>
      <c r="C14" s="602"/>
    </row>
    <row r="15" spans="1:3">
      <c r="A15" s="419" t="s">
        <v>687</v>
      </c>
      <c r="B15" s="418"/>
      <c r="C15" s="602"/>
    </row>
    <row r="16" spans="1:3">
      <c r="A16" s="419" t="s">
        <v>688</v>
      </c>
      <c r="B16" s="418">
        <f>B7</f>
        <v>165035870.37650001</v>
      </c>
      <c r="C16" s="602"/>
    </row>
    <row r="17" spans="1:5">
      <c r="A17" s="415" t="s">
        <v>691</v>
      </c>
      <c r="B17" s="416"/>
      <c r="C17" s="602"/>
    </row>
    <row r="18" spans="1:5">
      <c r="A18" s="419" t="s">
        <v>689</v>
      </c>
      <c r="B18" s="418">
        <f>'5. RWA '!C13</f>
        <v>665119061.21895492</v>
      </c>
      <c r="C18" s="602"/>
    </row>
    <row r="19" spans="1:5">
      <c r="A19" s="419" t="s">
        <v>690</v>
      </c>
      <c r="B19" s="418">
        <f>'15.1 LR'!C32</f>
        <v>705657563.71998119</v>
      </c>
      <c r="C19" s="602"/>
    </row>
    <row r="20" spans="1:5">
      <c r="A20" s="415" t="s">
        <v>705</v>
      </c>
      <c r="B20" s="416"/>
      <c r="C20" s="602"/>
    </row>
    <row r="21" spans="1:5">
      <c r="A21" s="420" t="s">
        <v>692</v>
      </c>
      <c r="B21" s="421">
        <f>IFERROR(B6/B18,0)</f>
        <v>0.24812981614756455</v>
      </c>
      <c r="C21" s="602"/>
    </row>
    <row r="22" spans="1:5">
      <c r="A22" s="420" t="s">
        <v>709</v>
      </c>
      <c r="B22" s="421">
        <f>IFERROR(B6/B19,0)</f>
        <v>0.23387529428082413</v>
      </c>
      <c r="C22" s="717"/>
    </row>
    <row r="23" spans="1:5" ht="15" thickBot="1">
      <c r="A23" s="422" t="s">
        <v>693</v>
      </c>
      <c r="B23" s="423">
        <f>IFERROR(B6/B14,0)</f>
        <v>1</v>
      </c>
      <c r="C23" s="602"/>
    </row>
    <row r="24" spans="1:5" ht="16.5" customHeight="1">
      <c r="A24" s="424" t="s">
        <v>681</v>
      </c>
      <c r="B24" s="425"/>
      <c r="C24" s="602"/>
      <c r="D24" s="425"/>
      <c r="E24" s="425"/>
    </row>
    <row r="25" spans="1:5" ht="25.5" customHeight="1">
      <c r="A25" s="424" t="s">
        <v>702</v>
      </c>
      <c r="C25" s="602"/>
    </row>
    <row r="26" spans="1:5" ht="42.45" customHeight="1">
      <c r="A26" s="424" t="s">
        <v>704</v>
      </c>
      <c r="B26" s="127"/>
      <c r="C26" s="602"/>
    </row>
  </sheetData>
  <pageMargins left="0.7" right="0.7" top="0.75" bottom="0.75" header="0.3" footer="0.3"/>
  <pageSetup paperSize="9" scale="55" orientation="portrait" horizontalDpi="300" verticalDpi="300" r:id="rId1"/>
  <headerFooter>
    <oddFooter>&amp;C_x000D_&amp;1#&amp;"Aptos"&amp;10&amp;K000000 C4 - EXTERNAL CONFIDENTIAL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42" sqref="B42"/>
    </sheetView>
  </sheetViews>
  <sheetFormatPr defaultRowHeight="14.4"/>
  <cols>
    <col min="1" max="1" width="56.77734375" customWidth="1"/>
    <col min="2" max="2" width="28.109375" bestFit="1" customWidth="1"/>
    <col min="3" max="3" width="28.21875" customWidth="1"/>
    <col min="4" max="6" width="28.109375" customWidth="1"/>
  </cols>
  <sheetData>
    <row r="1" spans="1:7">
      <c r="A1" s="408" t="s">
        <v>30</v>
      </c>
      <c r="B1" s="410" t="str">
        <f>'1. key ratios '!B1</f>
        <v xml:space="preserve">PASHA Bank Georgia JSC </v>
      </c>
      <c r="C1" s="127"/>
    </row>
    <row r="2" spans="1:7">
      <c r="A2" s="408" t="s">
        <v>31</v>
      </c>
      <c r="B2" s="410">
        <f>'1. key ratios '!B2</f>
        <v>46112</v>
      </c>
      <c r="C2" s="127"/>
    </row>
    <row r="3" spans="1:7">
      <c r="A3" s="411" t="s">
        <v>682</v>
      </c>
      <c r="B3" s="412" t="s">
        <v>676</v>
      </c>
      <c r="C3" s="127"/>
    </row>
    <row r="5" spans="1:7">
      <c r="A5" s="426"/>
    </row>
    <row r="6" spans="1:7" ht="15" thickBot="1">
      <c r="A6" s="427"/>
      <c r="B6" s="427"/>
      <c r="C6" s="427"/>
      <c r="D6" s="427"/>
      <c r="E6" s="427"/>
      <c r="F6" s="427"/>
    </row>
    <row r="7" spans="1:7">
      <c r="A7" s="760"/>
      <c r="B7" s="762" t="s">
        <v>708</v>
      </c>
      <c r="C7" s="762"/>
      <c r="D7" s="762"/>
      <c r="E7" s="762"/>
      <c r="F7" s="763" t="s">
        <v>64</v>
      </c>
    </row>
    <row r="8" spans="1:7">
      <c r="A8" s="761"/>
      <c r="B8" s="428" t="s">
        <v>694</v>
      </c>
      <c r="C8" s="428" t="s">
        <v>695</v>
      </c>
      <c r="D8" s="428" t="s">
        <v>696</v>
      </c>
      <c r="E8" s="428" t="s">
        <v>706</v>
      </c>
      <c r="F8" s="764"/>
    </row>
    <row r="9" spans="1:7">
      <c r="A9" s="429" t="s">
        <v>697</v>
      </c>
      <c r="B9" s="430">
        <f>B13+B17</f>
        <v>0</v>
      </c>
      <c r="C9" s="430">
        <f t="shared" ref="C9:E9" si="0">C13+C17</f>
        <v>0</v>
      </c>
      <c r="D9" s="430">
        <f t="shared" si="0"/>
        <v>0</v>
      </c>
      <c r="E9" s="430">
        <f t="shared" si="0"/>
        <v>0</v>
      </c>
      <c r="F9" s="431">
        <f>F13+F17</f>
        <v>0</v>
      </c>
      <c r="G9" s="599"/>
    </row>
    <row r="10" spans="1:7">
      <c r="A10" s="432" t="s">
        <v>699</v>
      </c>
      <c r="B10" s="433">
        <f t="shared" ref="B10:E12" si="1">B14+B18</f>
        <v>0</v>
      </c>
      <c r="C10" s="433">
        <f t="shared" si="1"/>
        <v>0</v>
      </c>
      <c r="D10" s="433">
        <f t="shared" si="1"/>
        <v>0</v>
      </c>
      <c r="E10" s="433">
        <f t="shared" si="1"/>
        <v>0</v>
      </c>
      <c r="F10" s="431">
        <f>SUM(B10:E10)</f>
        <v>0</v>
      </c>
      <c r="G10" s="599"/>
    </row>
    <row r="11" spans="1:7">
      <c r="A11" s="432" t="s">
        <v>707</v>
      </c>
      <c r="B11" s="433">
        <f t="shared" si="1"/>
        <v>0</v>
      </c>
      <c r="C11" s="433">
        <f t="shared" si="1"/>
        <v>0</v>
      </c>
      <c r="D11" s="433">
        <f t="shared" si="1"/>
        <v>0</v>
      </c>
      <c r="E11" s="433">
        <f t="shared" si="1"/>
        <v>0</v>
      </c>
      <c r="F11" s="431">
        <f t="shared" ref="F11:F12" si="2">SUM(B11:E11)</f>
        <v>0</v>
      </c>
      <c r="G11" s="599"/>
    </row>
    <row r="12" spans="1:7">
      <c r="A12" s="434" t="s">
        <v>698</v>
      </c>
      <c r="B12" s="433">
        <f t="shared" si="1"/>
        <v>0</v>
      </c>
      <c r="C12" s="433">
        <f t="shared" si="1"/>
        <v>0</v>
      </c>
      <c r="D12" s="433">
        <f t="shared" si="1"/>
        <v>0</v>
      </c>
      <c r="E12" s="433">
        <f t="shared" si="1"/>
        <v>0</v>
      </c>
      <c r="F12" s="431">
        <f t="shared" si="2"/>
        <v>0</v>
      </c>
      <c r="G12" s="599"/>
    </row>
    <row r="13" spans="1:7">
      <c r="A13" s="435" t="s">
        <v>688</v>
      </c>
      <c r="B13" s="436"/>
      <c r="C13" s="436"/>
      <c r="D13" s="436"/>
      <c r="E13" s="436"/>
      <c r="F13" s="437"/>
      <c r="G13" s="599"/>
    </row>
    <row r="14" spans="1:7">
      <c r="A14" s="432" t="s">
        <v>699</v>
      </c>
      <c r="B14" s="438"/>
      <c r="C14" s="438"/>
      <c r="D14" s="438"/>
      <c r="E14" s="438"/>
      <c r="F14" s="439"/>
      <c r="G14" s="599"/>
    </row>
    <row r="15" spans="1:7">
      <c r="A15" s="432" t="s">
        <v>707</v>
      </c>
      <c r="B15" s="438"/>
      <c r="C15" s="438"/>
      <c r="D15" s="438"/>
      <c r="E15" s="438"/>
      <c r="F15" s="439"/>
      <c r="G15" s="599"/>
    </row>
    <row r="16" spans="1:7">
      <c r="A16" s="434" t="s">
        <v>698</v>
      </c>
      <c r="B16" s="438"/>
      <c r="C16" s="438"/>
      <c r="D16" s="438"/>
      <c r="E16" s="438"/>
      <c r="F16" s="439"/>
      <c r="G16" s="599"/>
    </row>
    <row r="17" spans="1:7">
      <c r="A17" s="435" t="s">
        <v>684</v>
      </c>
      <c r="B17" s="436"/>
      <c r="C17" s="436"/>
      <c r="D17" s="436"/>
      <c r="E17" s="436"/>
      <c r="F17" s="439"/>
      <c r="G17" s="599"/>
    </row>
    <row r="18" spans="1:7">
      <c r="A18" s="432" t="s">
        <v>699</v>
      </c>
      <c r="B18" s="438"/>
      <c r="C18" s="438"/>
      <c r="D18" s="438"/>
      <c r="E18" s="438"/>
      <c r="F18" s="439"/>
      <c r="G18" s="599"/>
    </row>
    <row r="19" spans="1:7">
      <c r="A19" s="432" t="s">
        <v>707</v>
      </c>
      <c r="B19" s="438"/>
      <c r="C19" s="438"/>
      <c r="D19" s="438"/>
      <c r="E19" s="438"/>
      <c r="F19" s="439"/>
      <c r="G19" s="599"/>
    </row>
    <row r="20" spans="1:7" ht="15" thickBot="1">
      <c r="A20" s="434" t="s">
        <v>698</v>
      </c>
      <c r="B20" s="440"/>
      <c r="C20" s="440"/>
      <c r="D20" s="440"/>
      <c r="E20" s="440"/>
      <c r="F20" s="441"/>
      <c r="G20" s="599"/>
    </row>
  </sheetData>
  <mergeCells count="3">
    <mergeCell ref="A7:A8"/>
    <mergeCell ref="B7:E7"/>
    <mergeCell ref="F7:F8"/>
  </mergeCells>
  <pageMargins left="0.7" right="0.7" top="0.75" bottom="0.75" header="0.3" footer="0.3"/>
  <pageSetup paperSize="9" scale="44" orientation="portrait" horizontalDpi="300" verticalDpi="300" r:id="rId1"/>
  <headerFooter>
    <oddFooter>&amp;C_x000D_&amp;1#&amp;"Aptos"&amp;10&amp;K000000 C4 - EXTERNAL CONFIDENTIAL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42" sqref="B42"/>
      <selection pane="topRight" activeCell="B42" sqref="B42"/>
      <selection pane="bottomLeft" activeCell="B42" sqref="B42"/>
      <selection pane="bottomRight" activeCell="E9" sqref="E9"/>
    </sheetView>
  </sheetViews>
  <sheetFormatPr defaultColWidth="9.21875" defaultRowHeight="13.8"/>
  <cols>
    <col min="1" max="1" width="10.77734375" style="4" customWidth="1"/>
    <col min="2" max="2" width="91.77734375" style="4" customWidth="1"/>
    <col min="3" max="3" width="53.21875" style="4" customWidth="1"/>
    <col min="4" max="4" width="32.21875" style="4" customWidth="1"/>
    <col min="5" max="5" width="12.6640625" style="5" customWidth="1"/>
    <col min="6" max="16384" width="9.21875" style="5"/>
  </cols>
  <sheetData>
    <row r="1" spans="1:6">
      <c r="A1" s="2" t="s">
        <v>30</v>
      </c>
      <c r="B1" s="3" t="str">
        <f>'Info '!C2</f>
        <v xml:space="preserve">PASHA Bank Georgia JSC </v>
      </c>
      <c r="E1" s="4"/>
      <c r="F1" s="4"/>
    </row>
    <row r="2" spans="1:6" s="2" customFormat="1" ht="15.75" customHeight="1">
      <c r="A2" s="2" t="s">
        <v>31</v>
      </c>
      <c r="B2" s="253">
        <f>'1. key ratios '!B2</f>
        <v>46112</v>
      </c>
    </row>
    <row r="3" spans="1:6" s="2" customFormat="1" ht="15.75" customHeight="1">
      <c r="A3" s="70"/>
    </row>
    <row r="4" spans="1:6" s="2" customFormat="1" ht="15.75" customHeight="1" thickBot="1">
      <c r="A4" s="2" t="s">
        <v>47</v>
      </c>
      <c r="B4" s="121" t="s">
        <v>165</v>
      </c>
      <c r="D4" s="14" t="s">
        <v>35</v>
      </c>
    </row>
    <row r="5" spans="1:6" ht="26.4">
      <c r="A5" s="71" t="s">
        <v>6</v>
      </c>
      <c r="B5" s="139" t="s">
        <v>205</v>
      </c>
      <c r="C5" s="72" t="s">
        <v>624</v>
      </c>
      <c r="D5" s="73" t="s">
        <v>49</v>
      </c>
    </row>
    <row r="6" spans="1:6" ht="14.4">
      <c r="A6" s="302">
        <v>1</v>
      </c>
      <c r="B6" s="303" t="s">
        <v>525</v>
      </c>
      <c r="C6" s="550">
        <f>SUM(C7:C9)</f>
        <v>110713357.3037</v>
      </c>
      <c r="D6" s="74"/>
      <c r="E6" s="75"/>
      <c r="F6" s="75"/>
    </row>
    <row r="7" spans="1:6" ht="14.4">
      <c r="A7" s="302">
        <v>1.1000000000000001</v>
      </c>
      <c r="B7" s="304" t="s">
        <v>526</v>
      </c>
      <c r="C7" s="551">
        <v>2634717.5414</v>
      </c>
      <c r="D7" s="76"/>
      <c r="E7" s="75"/>
      <c r="F7" s="75"/>
    </row>
    <row r="8" spans="1:6" ht="14.4">
      <c r="A8" s="302">
        <v>1.2</v>
      </c>
      <c r="B8" s="304" t="s">
        <v>527</v>
      </c>
      <c r="C8" s="551">
        <v>31754937.185200002</v>
      </c>
      <c r="D8" s="76"/>
      <c r="E8" s="75"/>
      <c r="F8" s="75"/>
    </row>
    <row r="9" spans="1:6" ht="14.4">
      <c r="A9" s="302">
        <v>1.3</v>
      </c>
      <c r="B9" s="304" t="s">
        <v>528</v>
      </c>
      <c r="C9" s="551">
        <v>76323702.577100009</v>
      </c>
      <c r="D9" s="76"/>
      <c r="E9" s="75"/>
      <c r="F9" s="75"/>
    </row>
    <row r="10" spans="1:6" ht="14.4">
      <c r="A10" s="302">
        <v>2</v>
      </c>
      <c r="B10" s="305" t="s">
        <v>529</v>
      </c>
      <c r="C10" s="552">
        <f>C11</f>
        <v>2402357.3711000001</v>
      </c>
      <c r="D10" s="76"/>
      <c r="E10" s="75"/>
      <c r="F10" s="75"/>
    </row>
    <row r="11" spans="1:6" ht="14.4">
      <c r="A11" s="302">
        <v>2.1</v>
      </c>
      <c r="B11" s="306" t="s">
        <v>530</v>
      </c>
      <c r="C11" s="553">
        <v>2402357.3711000001</v>
      </c>
      <c r="D11" s="345"/>
      <c r="E11" s="75"/>
      <c r="F11" s="75"/>
    </row>
    <row r="12" spans="1:6" ht="14.4">
      <c r="A12" s="302">
        <v>3</v>
      </c>
      <c r="B12" s="307" t="s">
        <v>531</v>
      </c>
      <c r="C12" s="553"/>
      <c r="D12" s="345"/>
      <c r="E12" s="75"/>
      <c r="F12" s="75"/>
    </row>
    <row r="13" spans="1:6" ht="14.4">
      <c r="A13" s="302">
        <v>4</v>
      </c>
      <c r="B13" s="308" t="s">
        <v>532</v>
      </c>
      <c r="C13" s="553"/>
      <c r="D13" s="345"/>
      <c r="E13" s="75"/>
      <c r="F13" s="75"/>
    </row>
    <row r="14" spans="1:6" ht="14.4">
      <c r="A14" s="302">
        <v>5</v>
      </c>
      <c r="B14" s="309" t="s">
        <v>533</v>
      </c>
      <c r="C14" s="553">
        <f>SUM(C15:C17)</f>
        <v>0</v>
      </c>
      <c r="D14" s="345"/>
      <c r="E14" s="75"/>
      <c r="F14" s="75"/>
    </row>
    <row r="15" spans="1:6" ht="14.4">
      <c r="A15" s="302">
        <v>5.0999999999999996</v>
      </c>
      <c r="B15" s="310" t="s">
        <v>534</v>
      </c>
      <c r="C15" s="551"/>
      <c r="D15" s="345"/>
      <c r="E15" s="75"/>
      <c r="F15" s="75"/>
    </row>
    <row r="16" spans="1:6" ht="14.4">
      <c r="A16" s="302">
        <v>5.2</v>
      </c>
      <c r="B16" s="310" t="s">
        <v>535</v>
      </c>
      <c r="C16" s="551"/>
      <c r="D16" s="76"/>
      <c r="E16" s="75"/>
      <c r="F16" s="75"/>
    </row>
    <row r="17" spans="1:6" ht="14.4">
      <c r="A17" s="302">
        <v>5.3</v>
      </c>
      <c r="B17" s="311" t="s">
        <v>536</v>
      </c>
      <c r="C17" s="551"/>
      <c r="D17" s="76"/>
      <c r="E17" s="75"/>
      <c r="F17" s="75"/>
    </row>
    <row r="18" spans="1:6" ht="14.4">
      <c r="A18" s="302">
        <v>6</v>
      </c>
      <c r="B18" s="307" t="s">
        <v>537</v>
      </c>
      <c r="C18" s="552">
        <f>SUM(C19:C20)</f>
        <v>531937659.14129996</v>
      </c>
      <c r="D18" s="76"/>
      <c r="E18" s="75"/>
      <c r="F18" s="75"/>
    </row>
    <row r="19" spans="1:6" ht="14.4">
      <c r="A19" s="302">
        <v>6.1</v>
      </c>
      <c r="B19" s="310" t="s">
        <v>535</v>
      </c>
      <c r="C19" s="553">
        <v>114659026.10439999</v>
      </c>
      <c r="D19" s="76"/>
      <c r="E19" s="75"/>
      <c r="F19" s="75"/>
    </row>
    <row r="20" spans="1:6" ht="14.4">
      <c r="A20" s="302">
        <v>6.2</v>
      </c>
      <c r="B20" s="311" t="s">
        <v>536</v>
      </c>
      <c r="C20" s="553">
        <v>417278633.03689998</v>
      </c>
      <c r="D20" s="76"/>
      <c r="E20" s="75"/>
      <c r="F20" s="75"/>
    </row>
    <row r="21" spans="1:6" ht="14.4">
      <c r="A21" s="302">
        <v>7</v>
      </c>
      <c r="B21" s="305" t="s">
        <v>538</v>
      </c>
      <c r="C21" s="553"/>
      <c r="D21" s="76"/>
      <c r="E21" s="75"/>
      <c r="F21" s="75"/>
    </row>
    <row r="22" spans="1:6" ht="14.4">
      <c r="A22" s="302">
        <v>8</v>
      </c>
      <c r="B22" s="312" t="s">
        <v>539</v>
      </c>
      <c r="C22" s="551"/>
      <c r="D22" s="76"/>
      <c r="E22" s="75"/>
      <c r="F22" s="75"/>
    </row>
    <row r="23" spans="1:6" ht="14.4">
      <c r="A23" s="302">
        <v>9</v>
      </c>
      <c r="B23" s="308" t="s">
        <v>540</v>
      </c>
      <c r="C23" s="552">
        <f>SUM(C24:C25)</f>
        <v>4352788.33</v>
      </c>
      <c r="D23" s="346"/>
      <c r="E23" s="75"/>
      <c r="F23" s="75"/>
    </row>
    <row r="24" spans="1:6" ht="14.4">
      <c r="A24" s="302">
        <v>9.1</v>
      </c>
      <c r="B24" s="310" t="s">
        <v>541</v>
      </c>
      <c r="C24" s="554">
        <v>4352788.33</v>
      </c>
      <c r="D24" s="77"/>
      <c r="E24" s="75"/>
      <c r="F24" s="75"/>
    </row>
    <row r="25" spans="1:6" ht="14.4">
      <c r="A25" s="302">
        <v>9.1999999999999993</v>
      </c>
      <c r="B25" s="310" t="s">
        <v>542</v>
      </c>
      <c r="C25" s="555">
        <v>0</v>
      </c>
      <c r="D25" s="344"/>
      <c r="E25" s="75"/>
      <c r="F25" s="75"/>
    </row>
    <row r="26" spans="1:6" ht="14.4">
      <c r="A26" s="302">
        <v>10</v>
      </c>
      <c r="B26" s="308" t="s">
        <v>543</v>
      </c>
      <c r="C26" s="556">
        <f>SUM(C27:C28)</f>
        <v>3179177.82</v>
      </c>
      <c r="D26" s="407" t="s">
        <v>665</v>
      </c>
      <c r="E26" s="75"/>
      <c r="F26" s="75"/>
    </row>
    <row r="27" spans="1:6" ht="14.4">
      <c r="A27" s="302">
        <v>10.1</v>
      </c>
      <c r="B27" s="310" t="s">
        <v>544</v>
      </c>
      <c r="C27" s="551"/>
      <c r="D27" s="76"/>
      <c r="E27" s="75"/>
      <c r="F27" s="75"/>
    </row>
    <row r="28" spans="1:6" ht="14.4">
      <c r="A28" s="302">
        <v>10.199999999999999</v>
      </c>
      <c r="B28" s="310" t="s">
        <v>545</v>
      </c>
      <c r="C28" s="551">
        <v>3179177.82</v>
      </c>
      <c r="D28" s="76"/>
      <c r="E28" s="75"/>
      <c r="F28" s="75"/>
    </row>
    <row r="29" spans="1:6" ht="14.4">
      <c r="A29" s="302">
        <v>11</v>
      </c>
      <c r="B29" s="308" t="s">
        <v>546</v>
      </c>
      <c r="C29" s="552">
        <f>SUM(C30:C31)</f>
        <v>2243732.91</v>
      </c>
      <c r="D29" s="407" t="s">
        <v>776</v>
      </c>
      <c r="E29" s="75"/>
      <c r="F29" s="75"/>
    </row>
    <row r="30" spans="1:6" ht="14.4">
      <c r="A30" s="302">
        <v>11.1</v>
      </c>
      <c r="B30" s="310" t="s">
        <v>547</v>
      </c>
      <c r="C30" s="551"/>
      <c r="D30" s="76"/>
      <c r="E30" s="75"/>
      <c r="F30" s="75"/>
    </row>
    <row r="31" spans="1:6" ht="14.4">
      <c r="A31" s="302">
        <v>11.2</v>
      </c>
      <c r="B31" s="310" t="s">
        <v>548</v>
      </c>
      <c r="C31" s="551">
        <v>2243732.91</v>
      </c>
      <c r="D31" s="76"/>
      <c r="E31" s="75"/>
      <c r="F31" s="75"/>
    </row>
    <row r="32" spans="1:6" ht="14.4">
      <c r="A32" s="302">
        <v>13</v>
      </c>
      <c r="B32" s="308" t="s">
        <v>549</v>
      </c>
      <c r="C32" s="552">
        <v>14217401.7498</v>
      </c>
      <c r="D32" s="76"/>
      <c r="E32" s="75"/>
      <c r="F32" s="75"/>
    </row>
    <row r="33" spans="1:6" ht="14.4">
      <c r="A33" s="302">
        <v>13.1</v>
      </c>
      <c r="B33" s="313" t="s">
        <v>550</v>
      </c>
      <c r="C33" s="551">
        <v>11874297.84</v>
      </c>
      <c r="D33" s="76"/>
      <c r="E33" s="75"/>
      <c r="F33" s="75"/>
    </row>
    <row r="34" spans="1:6" ht="14.4">
      <c r="A34" s="302">
        <v>13.2</v>
      </c>
      <c r="B34" s="313" t="s">
        <v>551</v>
      </c>
      <c r="C34" s="554"/>
      <c r="D34" s="77"/>
      <c r="E34" s="75"/>
      <c r="F34" s="75"/>
    </row>
    <row r="35" spans="1:6" ht="14.4">
      <c r="A35" s="302">
        <v>14</v>
      </c>
      <c r="B35" s="314" t="s">
        <v>552</v>
      </c>
      <c r="C35" s="557">
        <f>SUM(C6,C10,C12,C13,C14,C18,C21,C22,C23,C26,C29,C32)</f>
        <v>669046474.62590003</v>
      </c>
      <c r="D35" s="77"/>
      <c r="E35" s="75"/>
      <c r="F35" s="75"/>
    </row>
    <row r="36" spans="1:6" ht="14.4">
      <c r="A36" s="302"/>
      <c r="B36" s="315" t="s">
        <v>553</v>
      </c>
      <c r="C36" s="558"/>
      <c r="D36" s="78"/>
      <c r="E36" s="75"/>
      <c r="F36" s="75"/>
    </row>
    <row r="37" spans="1:6" ht="14.4">
      <c r="A37" s="302">
        <v>15</v>
      </c>
      <c r="B37" s="316" t="s">
        <v>554</v>
      </c>
      <c r="C37" s="555">
        <f>C38</f>
        <v>190805.30929999999</v>
      </c>
      <c r="D37" s="344"/>
      <c r="E37" s="75"/>
      <c r="F37" s="75"/>
    </row>
    <row r="38" spans="1:6" ht="14.4">
      <c r="A38" s="317">
        <v>15.1</v>
      </c>
      <c r="B38" s="318" t="s">
        <v>530</v>
      </c>
      <c r="C38" s="551">
        <v>190805.30929999999</v>
      </c>
      <c r="D38" s="76"/>
      <c r="E38" s="75"/>
      <c r="F38" s="75"/>
    </row>
    <row r="39" spans="1:6" ht="14.4">
      <c r="A39" s="317">
        <v>16</v>
      </c>
      <c r="B39" s="305" t="s">
        <v>555</v>
      </c>
      <c r="C39" s="551"/>
      <c r="D39" s="76"/>
      <c r="E39" s="75"/>
      <c r="F39" s="75"/>
    </row>
    <row r="40" spans="1:6" ht="14.4">
      <c r="A40" s="317">
        <v>17</v>
      </c>
      <c r="B40" s="305" t="s">
        <v>556</v>
      </c>
      <c r="C40" s="552">
        <f>SUM(C41:C44)</f>
        <v>481542142.46069992</v>
      </c>
      <c r="D40" s="76"/>
      <c r="E40" s="75"/>
      <c r="F40" s="75"/>
    </row>
    <row r="41" spans="1:6" ht="14.4">
      <c r="A41" s="317">
        <v>17.100000000000001</v>
      </c>
      <c r="B41" s="319" t="s">
        <v>557</v>
      </c>
      <c r="C41" s="551">
        <v>426731032.92139995</v>
      </c>
      <c r="D41" s="76"/>
      <c r="E41" s="75"/>
      <c r="F41" s="75"/>
    </row>
    <row r="42" spans="1:6" ht="14.4">
      <c r="A42" s="317">
        <v>17.2</v>
      </c>
      <c r="B42" s="320" t="s">
        <v>558</v>
      </c>
      <c r="C42" s="551">
        <v>51331099.986200005</v>
      </c>
      <c r="D42" s="76"/>
      <c r="E42" s="75"/>
      <c r="F42" s="75"/>
    </row>
    <row r="43" spans="1:6" ht="14.4">
      <c r="A43" s="317">
        <v>17.3</v>
      </c>
      <c r="B43" s="335" t="s">
        <v>559</v>
      </c>
      <c r="C43" s="554"/>
      <c r="D43" s="77"/>
      <c r="E43" s="75"/>
      <c r="F43" s="75"/>
    </row>
    <row r="44" spans="1:6" ht="14.4">
      <c r="A44" s="317">
        <v>17.399999999999999</v>
      </c>
      <c r="B44" s="336" t="s">
        <v>560</v>
      </c>
      <c r="C44" s="559">
        <v>3480009.5530999997</v>
      </c>
      <c r="D44" s="337"/>
      <c r="E44" s="75"/>
      <c r="F44" s="75"/>
    </row>
    <row r="45" spans="1:6" ht="14.4">
      <c r="A45" s="317">
        <v>18</v>
      </c>
      <c r="B45" s="325" t="s">
        <v>561</v>
      </c>
      <c r="C45" s="560">
        <v>295888.89679999999</v>
      </c>
      <c r="D45" s="343"/>
      <c r="E45" s="75"/>
      <c r="F45" s="75"/>
    </row>
    <row r="46" spans="1:6" ht="14.4">
      <c r="A46" s="317">
        <v>19</v>
      </c>
      <c r="B46" s="325" t="s">
        <v>562</v>
      </c>
      <c r="C46" s="561">
        <f>SUM(C47:C48)</f>
        <v>0</v>
      </c>
      <c r="D46" s="338"/>
      <c r="E46" s="75"/>
      <c r="F46" s="75"/>
    </row>
    <row r="47" spans="1:6" ht="14.4">
      <c r="A47" s="317">
        <v>19.100000000000001</v>
      </c>
      <c r="B47" s="339" t="s">
        <v>563</v>
      </c>
      <c r="C47" s="561"/>
      <c r="D47" s="338"/>
      <c r="E47" s="75"/>
      <c r="F47" s="75"/>
    </row>
    <row r="48" spans="1:6" ht="14.4">
      <c r="A48" s="317">
        <v>19.2</v>
      </c>
      <c r="B48" s="339" t="s">
        <v>564</v>
      </c>
      <c r="C48" s="561"/>
      <c r="D48" s="338"/>
      <c r="E48" s="75"/>
      <c r="F48" s="75"/>
    </row>
    <row r="49" spans="1:6" ht="14.4">
      <c r="A49" s="317">
        <v>20</v>
      </c>
      <c r="B49" s="321" t="s">
        <v>565</v>
      </c>
      <c r="C49" s="562">
        <v>33018455.823399998</v>
      </c>
      <c r="D49" s="407" t="s">
        <v>777</v>
      </c>
      <c r="E49" s="75"/>
      <c r="F49" s="75"/>
    </row>
    <row r="50" spans="1:6" ht="14.4">
      <c r="A50" s="317">
        <v>21</v>
      </c>
      <c r="B50" s="340" t="s">
        <v>566</v>
      </c>
      <c r="C50" s="562">
        <v>9925372.6597000007</v>
      </c>
      <c r="D50" s="338"/>
      <c r="E50" s="75"/>
      <c r="F50" s="75"/>
    </row>
    <row r="51" spans="1:6" ht="14.4">
      <c r="A51" s="317">
        <v>21.1</v>
      </c>
      <c r="B51" s="320" t="s">
        <v>567</v>
      </c>
      <c r="C51" s="561"/>
      <c r="D51" s="338"/>
      <c r="E51" s="75"/>
      <c r="F51" s="75"/>
    </row>
    <row r="52" spans="1:6" ht="14.4">
      <c r="A52" s="317">
        <v>22</v>
      </c>
      <c r="B52" s="322" t="s">
        <v>568</v>
      </c>
      <c r="C52" s="562">
        <f>SUM(C37,C39,C40,C45,C46,C49,C50)</f>
        <v>524972665.1498999</v>
      </c>
      <c r="D52" s="338"/>
      <c r="E52" s="75"/>
      <c r="F52" s="75"/>
    </row>
    <row r="53" spans="1:6" ht="14.4">
      <c r="A53" s="317"/>
      <c r="B53" s="323" t="s">
        <v>569</v>
      </c>
      <c r="C53" s="561"/>
      <c r="D53" s="338"/>
      <c r="E53" s="75"/>
      <c r="F53" s="75"/>
    </row>
    <row r="54" spans="1:6" ht="14.4">
      <c r="A54" s="317">
        <v>23</v>
      </c>
      <c r="B54" s="321" t="s">
        <v>570</v>
      </c>
      <c r="C54" s="562">
        <v>136800000</v>
      </c>
      <c r="D54" s="407" t="s">
        <v>778</v>
      </c>
      <c r="E54" s="75"/>
      <c r="F54" s="75"/>
    </row>
    <row r="55" spans="1:6" ht="14.4">
      <c r="A55" s="317">
        <v>24</v>
      </c>
      <c r="B55" s="321" t="s">
        <v>571</v>
      </c>
      <c r="C55" s="561"/>
      <c r="D55" s="338"/>
      <c r="E55" s="75"/>
      <c r="F55" s="75"/>
    </row>
    <row r="56" spans="1:6" ht="14.4">
      <c r="A56" s="317">
        <v>25</v>
      </c>
      <c r="B56" s="325" t="s">
        <v>572</v>
      </c>
      <c r="C56" s="561"/>
      <c r="D56" s="338"/>
      <c r="E56" s="75"/>
      <c r="F56" s="75"/>
    </row>
    <row r="57" spans="1:6" ht="14.4">
      <c r="A57" s="317">
        <v>26</v>
      </c>
      <c r="B57" s="325" t="s">
        <v>573</v>
      </c>
      <c r="C57" s="561"/>
      <c r="D57" s="338"/>
      <c r="E57" s="75"/>
      <c r="F57" s="75"/>
    </row>
    <row r="58" spans="1:6" ht="14.4">
      <c r="A58" s="317">
        <v>27</v>
      </c>
      <c r="B58" s="325" t="s">
        <v>574</v>
      </c>
      <c r="C58" s="562">
        <f>SUM(C59:C60)</f>
        <v>14653910.5</v>
      </c>
      <c r="D58" s="338"/>
      <c r="E58" s="75"/>
      <c r="F58" s="75"/>
    </row>
    <row r="59" spans="1:6" ht="14.4">
      <c r="A59" s="317">
        <v>27.1</v>
      </c>
      <c r="B59" s="336" t="s">
        <v>575</v>
      </c>
      <c r="C59" s="561">
        <v>1154910.5</v>
      </c>
      <c r="D59" s="338"/>
      <c r="E59" s="75"/>
      <c r="F59" s="75"/>
    </row>
    <row r="60" spans="1:6" ht="14.4">
      <c r="A60" s="317">
        <v>27.2</v>
      </c>
      <c r="B60" s="336" t="s">
        <v>576</v>
      </c>
      <c r="C60" s="561">
        <v>13499000</v>
      </c>
      <c r="D60" s="338"/>
      <c r="E60" s="75"/>
      <c r="F60" s="75"/>
    </row>
    <row r="61" spans="1:6" ht="14.4">
      <c r="A61" s="317">
        <v>28</v>
      </c>
      <c r="B61" s="324" t="s">
        <v>577</v>
      </c>
      <c r="C61" s="561"/>
      <c r="D61" s="338"/>
      <c r="E61" s="75"/>
      <c r="F61" s="75"/>
    </row>
    <row r="62" spans="1:6" ht="14.4">
      <c r="A62" s="317">
        <v>29</v>
      </c>
      <c r="B62" s="325" t="s">
        <v>578</v>
      </c>
      <c r="C62" s="561">
        <f>SUM(C63:C65)</f>
        <v>0</v>
      </c>
      <c r="D62" s="338"/>
      <c r="E62" s="75"/>
      <c r="F62" s="75"/>
    </row>
    <row r="63" spans="1:6" ht="14.4">
      <c r="A63" s="317">
        <v>29.1</v>
      </c>
      <c r="B63" s="341" t="s">
        <v>579</v>
      </c>
      <c r="C63" s="561"/>
      <c r="D63" s="338"/>
      <c r="E63" s="75"/>
      <c r="F63" s="75"/>
    </row>
    <row r="64" spans="1:6" ht="14.4">
      <c r="A64" s="317">
        <v>29.2</v>
      </c>
      <c r="B64" s="339" t="s">
        <v>580</v>
      </c>
      <c r="C64" s="561"/>
      <c r="D64" s="338"/>
      <c r="E64" s="75"/>
      <c r="F64" s="75"/>
    </row>
    <row r="65" spans="1:6" ht="14.4">
      <c r="A65" s="317">
        <v>29.3</v>
      </c>
      <c r="B65" s="339" t="s">
        <v>581</v>
      </c>
      <c r="C65" s="561"/>
      <c r="D65" s="338"/>
      <c r="E65" s="75"/>
      <c r="F65" s="75"/>
    </row>
    <row r="66" spans="1:6" ht="14.4">
      <c r="A66" s="317">
        <v>30</v>
      </c>
      <c r="B66" s="325" t="s">
        <v>582</v>
      </c>
      <c r="C66" s="562">
        <v>-7380101.0300000003</v>
      </c>
      <c r="D66" s="407" t="s">
        <v>779</v>
      </c>
      <c r="E66" s="75"/>
      <c r="F66" s="75"/>
    </row>
    <row r="67" spans="1:6" ht="14.4">
      <c r="A67" s="317">
        <v>31</v>
      </c>
      <c r="B67" s="342" t="s">
        <v>583</v>
      </c>
      <c r="C67" s="562">
        <f>SUM(C54,C55,C56,C57,C58,C61,C62,C66)</f>
        <v>144073809.47</v>
      </c>
      <c r="D67" s="338"/>
      <c r="E67" s="75"/>
      <c r="F67" s="75"/>
    </row>
    <row r="68" spans="1:6" ht="14.4">
      <c r="A68" s="317">
        <v>32</v>
      </c>
      <c r="B68" s="325" t="s">
        <v>584</v>
      </c>
      <c r="C68" s="562">
        <f>SUM(C52,C67)</f>
        <v>669046474.61989987</v>
      </c>
      <c r="D68" s="338"/>
      <c r="E68" s="75"/>
      <c r="F68" s="75"/>
    </row>
  </sheetData>
  <pageMargins left="0.7" right="0.7" top="0.75" bottom="0.75" header="0.3" footer="0.3"/>
  <pageSetup paperSize="9" scale="46" orientation="portrait" horizontalDpi="300" verticalDpi="300" r:id="rId1"/>
  <headerFooter>
    <oddFooter>&amp;C_x000D_&amp;1#&amp;"Aptos"&amp;10&amp;K000000 C4 - EXTERNAL CONFIDENTIAL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39"/>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S29" sqref="S29"/>
    </sheetView>
  </sheetViews>
  <sheetFormatPr defaultColWidth="9.218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21875" style="4" bestFit="1" customWidth="1"/>
    <col min="9" max="9" width="13" style="4" bestFit="1" customWidth="1"/>
    <col min="10" max="10" width="13.21875" style="4" bestFit="1" customWidth="1"/>
    <col min="11" max="11" width="13" style="4" bestFit="1" customWidth="1"/>
    <col min="12" max="16" width="13" style="13" bestFit="1" customWidth="1"/>
    <col min="17" max="17" width="14.77734375" style="13" customWidth="1"/>
    <col min="18" max="18" width="13" style="13" bestFit="1" customWidth="1"/>
    <col min="19" max="19" width="34.77734375" style="13" customWidth="1"/>
    <col min="20" max="16384" width="9.21875" style="13"/>
  </cols>
  <sheetData>
    <row r="1" spans="1:19">
      <c r="A1" s="2" t="s">
        <v>30</v>
      </c>
      <c r="B1" s="3" t="str">
        <f>'Info '!C2</f>
        <v xml:space="preserve">PASHA Bank Georgia JSC </v>
      </c>
    </row>
    <row r="2" spans="1:19">
      <c r="A2" s="2" t="s">
        <v>31</v>
      </c>
      <c r="B2" s="253">
        <f>'1. key ratios '!B2</f>
        <v>46112</v>
      </c>
    </row>
    <row r="4" spans="1:19" ht="27" thickBot="1">
      <c r="A4" s="4" t="s">
        <v>146</v>
      </c>
      <c r="B4" s="157" t="s">
        <v>238</v>
      </c>
    </row>
    <row r="5" spans="1:19" s="146" customFormat="1" ht="13.8">
      <c r="A5" s="141"/>
      <c r="B5" s="142"/>
      <c r="C5" s="143" t="s">
        <v>0</v>
      </c>
      <c r="D5" s="143" t="s">
        <v>1</v>
      </c>
      <c r="E5" s="143" t="s">
        <v>2</v>
      </c>
      <c r="F5" s="143" t="s">
        <v>3</v>
      </c>
      <c r="G5" s="143" t="s">
        <v>4</v>
      </c>
      <c r="H5" s="143" t="s">
        <v>5</v>
      </c>
      <c r="I5" s="143" t="s">
        <v>8</v>
      </c>
      <c r="J5" s="143" t="s">
        <v>9</v>
      </c>
      <c r="K5" s="143" t="s">
        <v>10</v>
      </c>
      <c r="L5" s="143" t="s">
        <v>11</v>
      </c>
      <c r="M5" s="143" t="s">
        <v>12</v>
      </c>
      <c r="N5" s="143" t="s">
        <v>13</v>
      </c>
      <c r="O5" s="143" t="s">
        <v>222</v>
      </c>
      <c r="P5" s="143" t="s">
        <v>223</v>
      </c>
      <c r="Q5" s="143" t="s">
        <v>224</v>
      </c>
      <c r="R5" s="144" t="s">
        <v>225</v>
      </c>
      <c r="S5" s="145" t="s">
        <v>226</v>
      </c>
    </row>
    <row r="6" spans="1:19" s="146" customFormat="1" ht="99" customHeight="1">
      <c r="A6" s="147"/>
      <c r="B6" s="769" t="s">
        <v>227</v>
      </c>
      <c r="C6" s="765">
        <v>0</v>
      </c>
      <c r="D6" s="766"/>
      <c r="E6" s="765">
        <v>0.2</v>
      </c>
      <c r="F6" s="766"/>
      <c r="G6" s="765">
        <v>0.35</v>
      </c>
      <c r="H6" s="766"/>
      <c r="I6" s="765">
        <v>0.5</v>
      </c>
      <c r="J6" s="766"/>
      <c r="K6" s="765">
        <v>0.75</v>
      </c>
      <c r="L6" s="766"/>
      <c r="M6" s="765">
        <v>1</v>
      </c>
      <c r="N6" s="766"/>
      <c r="O6" s="765">
        <v>1.5</v>
      </c>
      <c r="P6" s="766"/>
      <c r="Q6" s="765">
        <v>2.5</v>
      </c>
      <c r="R6" s="766"/>
      <c r="S6" s="767" t="s">
        <v>145</v>
      </c>
    </row>
    <row r="7" spans="1:19" s="146" customFormat="1" ht="30.75" customHeight="1">
      <c r="A7" s="147"/>
      <c r="B7" s="770"/>
      <c r="C7" s="138" t="s">
        <v>148</v>
      </c>
      <c r="D7" s="138" t="s">
        <v>147</v>
      </c>
      <c r="E7" s="138" t="s">
        <v>148</v>
      </c>
      <c r="F7" s="138" t="s">
        <v>147</v>
      </c>
      <c r="G7" s="138" t="s">
        <v>148</v>
      </c>
      <c r="H7" s="138" t="s">
        <v>147</v>
      </c>
      <c r="I7" s="138" t="s">
        <v>148</v>
      </c>
      <c r="J7" s="138" t="s">
        <v>147</v>
      </c>
      <c r="K7" s="138" t="s">
        <v>148</v>
      </c>
      <c r="L7" s="138" t="s">
        <v>147</v>
      </c>
      <c r="M7" s="138" t="s">
        <v>148</v>
      </c>
      <c r="N7" s="138" t="s">
        <v>147</v>
      </c>
      <c r="O7" s="138" t="s">
        <v>148</v>
      </c>
      <c r="P7" s="138" t="s">
        <v>147</v>
      </c>
      <c r="Q7" s="138" t="s">
        <v>148</v>
      </c>
      <c r="R7" s="138" t="s">
        <v>147</v>
      </c>
      <c r="S7" s="768"/>
    </row>
    <row r="8" spans="1:19">
      <c r="A8" s="79">
        <v>1</v>
      </c>
      <c r="B8" s="1" t="s">
        <v>51</v>
      </c>
      <c r="C8" s="80">
        <v>10049329.57</v>
      </c>
      <c r="D8" s="80"/>
      <c r="E8" s="80">
        <v>0</v>
      </c>
      <c r="F8" s="80"/>
      <c r="G8" s="80">
        <v>0</v>
      </c>
      <c r="H8" s="80"/>
      <c r="I8" s="80">
        <v>0</v>
      </c>
      <c r="J8" s="80"/>
      <c r="K8" s="80">
        <v>0</v>
      </c>
      <c r="L8" s="80"/>
      <c r="M8" s="80">
        <v>27052007.615200002</v>
      </c>
      <c r="N8" s="80"/>
      <c r="O8" s="80">
        <v>0</v>
      </c>
      <c r="P8" s="80"/>
      <c r="Q8" s="80">
        <v>0</v>
      </c>
      <c r="R8" s="80"/>
      <c r="S8" s="158">
        <f>$C$6*SUM(C8:D8)+$E$6*SUM(E8:F8)+$G$6*SUM(G8:H8)+$I$6*SUM(I8:J8)+$K$6*SUM(K8:L8)+$M$6*SUM(M8:N8)+$O$6*SUM(O8:P8)+$Q$6*SUM(Q8:R8)</f>
        <v>27052007.615200002</v>
      </c>
    </row>
    <row r="9" spans="1:19">
      <c r="A9" s="79">
        <v>2</v>
      </c>
      <c r="B9" s="1" t="s">
        <v>52</v>
      </c>
      <c r="C9" s="80">
        <v>0</v>
      </c>
      <c r="D9" s="80"/>
      <c r="E9" s="80">
        <v>0</v>
      </c>
      <c r="F9" s="80"/>
      <c r="G9" s="80">
        <v>0</v>
      </c>
      <c r="H9" s="80"/>
      <c r="I9" s="80">
        <v>0</v>
      </c>
      <c r="J9" s="80"/>
      <c r="K9" s="80">
        <v>0</v>
      </c>
      <c r="L9" s="80"/>
      <c r="M9" s="80">
        <v>0</v>
      </c>
      <c r="N9" s="80"/>
      <c r="O9" s="80">
        <v>0</v>
      </c>
      <c r="P9" s="80"/>
      <c r="Q9" s="80">
        <v>0</v>
      </c>
      <c r="R9" s="80"/>
      <c r="S9" s="158">
        <f t="shared" ref="S9:S21" si="0">$C$6*SUM(C9:D9)+$E$6*SUM(E9:F9)+$G$6*SUM(G9:H9)+$I$6*SUM(I9:J9)+$K$6*SUM(K9:L9)+$M$6*SUM(M9:N9)+$O$6*SUM(O9:P9)+$Q$6*SUM(Q9:R9)</f>
        <v>0</v>
      </c>
    </row>
    <row r="10" spans="1:19">
      <c r="A10" s="79">
        <v>3</v>
      </c>
      <c r="B10" s="1" t="s">
        <v>152</v>
      </c>
      <c r="C10" s="80">
        <v>0</v>
      </c>
      <c r="D10" s="80"/>
      <c r="E10" s="80">
        <v>0</v>
      </c>
      <c r="F10" s="80"/>
      <c r="G10" s="80">
        <v>0</v>
      </c>
      <c r="H10" s="80"/>
      <c r="I10" s="80">
        <v>0</v>
      </c>
      <c r="J10" s="80"/>
      <c r="K10" s="80">
        <v>0</v>
      </c>
      <c r="L10" s="80"/>
      <c r="M10" s="80">
        <v>0</v>
      </c>
      <c r="N10" s="80"/>
      <c r="O10" s="80">
        <v>0</v>
      </c>
      <c r="P10" s="80"/>
      <c r="Q10" s="80">
        <v>0</v>
      </c>
      <c r="R10" s="80"/>
      <c r="S10" s="158">
        <f t="shared" si="0"/>
        <v>0</v>
      </c>
    </row>
    <row r="11" spans="1:19">
      <c r="A11" s="79">
        <v>4</v>
      </c>
      <c r="B11" s="1" t="s">
        <v>53</v>
      </c>
      <c r="C11" s="80">
        <v>0</v>
      </c>
      <c r="D11" s="80"/>
      <c r="E11" s="80">
        <v>0</v>
      </c>
      <c r="F11" s="80"/>
      <c r="G11" s="80">
        <v>0</v>
      </c>
      <c r="H11" s="80"/>
      <c r="I11" s="80">
        <v>0</v>
      </c>
      <c r="J11" s="80"/>
      <c r="K11" s="80">
        <v>0</v>
      </c>
      <c r="L11" s="80"/>
      <c r="M11" s="80">
        <v>0</v>
      </c>
      <c r="N11" s="80"/>
      <c r="O11" s="80">
        <v>0</v>
      </c>
      <c r="P11" s="80"/>
      <c r="Q11" s="80">
        <v>0</v>
      </c>
      <c r="R11" s="80"/>
      <c r="S11" s="158">
        <f t="shared" si="0"/>
        <v>0</v>
      </c>
    </row>
    <row r="12" spans="1:19">
      <c r="A12" s="79">
        <v>5</v>
      </c>
      <c r="B12" s="1" t="s">
        <v>54</v>
      </c>
      <c r="C12" s="80">
        <v>0</v>
      </c>
      <c r="D12" s="80"/>
      <c r="E12" s="80">
        <v>0</v>
      </c>
      <c r="F12" s="80"/>
      <c r="G12" s="80">
        <v>0</v>
      </c>
      <c r="H12" s="80"/>
      <c r="I12" s="80">
        <v>0</v>
      </c>
      <c r="J12" s="80"/>
      <c r="K12" s="80">
        <v>0</v>
      </c>
      <c r="L12" s="80"/>
      <c r="M12" s="80">
        <v>0</v>
      </c>
      <c r="N12" s="80"/>
      <c r="O12" s="80">
        <v>0</v>
      </c>
      <c r="P12" s="80"/>
      <c r="Q12" s="80">
        <v>0</v>
      </c>
      <c r="R12" s="80"/>
      <c r="S12" s="158">
        <f t="shared" si="0"/>
        <v>0</v>
      </c>
    </row>
    <row r="13" spans="1:19">
      <c r="A13" s="79">
        <v>6</v>
      </c>
      <c r="B13" s="1" t="s">
        <v>55</v>
      </c>
      <c r="C13" s="80">
        <v>0</v>
      </c>
      <c r="D13" s="80"/>
      <c r="E13" s="80">
        <v>52060512.737199999</v>
      </c>
      <c r="F13" s="80"/>
      <c r="G13" s="80">
        <v>0</v>
      </c>
      <c r="H13" s="80"/>
      <c r="I13" s="80">
        <v>23398432.3484</v>
      </c>
      <c r="J13" s="80"/>
      <c r="K13" s="80">
        <v>0</v>
      </c>
      <c r="L13" s="80"/>
      <c r="M13" s="80">
        <v>11062227.8904</v>
      </c>
      <c r="N13" s="80">
        <v>697791.4656</v>
      </c>
      <c r="O13" s="80">
        <v>1720968.1824</v>
      </c>
      <c r="P13" s="80"/>
      <c r="Q13" s="80">
        <v>0</v>
      </c>
      <c r="R13" s="80"/>
      <c r="S13" s="158">
        <f t="shared" si="0"/>
        <v>36452790.351239994</v>
      </c>
    </row>
    <row r="14" spans="1:19">
      <c r="A14" s="79">
        <v>7</v>
      </c>
      <c r="B14" s="1" t="s">
        <v>56</v>
      </c>
      <c r="C14" s="80">
        <v>0</v>
      </c>
      <c r="D14" s="80"/>
      <c r="E14" s="80">
        <v>0</v>
      </c>
      <c r="F14" s="80"/>
      <c r="G14" s="80">
        <v>0</v>
      </c>
      <c r="H14" s="80"/>
      <c r="I14" s="80">
        <v>0</v>
      </c>
      <c r="J14" s="80"/>
      <c r="K14" s="80">
        <v>0</v>
      </c>
      <c r="L14" s="80"/>
      <c r="M14" s="80">
        <v>500133626.94150001</v>
      </c>
      <c r="N14" s="80">
        <v>36101530.048100002</v>
      </c>
      <c r="O14" s="80">
        <v>0</v>
      </c>
      <c r="P14" s="80"/>
      <c r="Q14" s="80">
        <v>0</v>
      </c>
      <c r="R14" s="80"/>
      <c r="S14" s="158">
        <f t="shared" si="0"/>
        <v>536235156.9896</v>
      </c>
    </row>
    <row r="15" spans="1:19">
      <c r="A15" s="79">
        <v>8</v>
      </c>
      <c r="B15" s="1" t="s">
        <v>57</v>
      </c>
      <c r="C15" s="80">
        <v>0</v>
      </c>
      <c r="D15" s="80"/>
      <c r="E15" s="80">
        <v>0</v>
      </c>
      <c r="F15" s="80"/>
      <c r="G15" s="80">
        <v>0</v>
      </c>
      <c r="H15" s="80"/>
      <c r="I15" s="80">
        <v>0</v>
      </c>
      <c r="J15" s="80"/>
      <c r="K15" s="80">
        <v>0</v>
      </c>
      <c r="L15" s="80"/>
      <c r="M15" s="80">
        <v>0</v>
      </c>
      <c r="N15" s="80">
        <v>0</v>
      </c>
      <c r="O15" s="80">
        <v>0</v>
      </c>
      <c r="P15" s="80"/>
      <c r="Q15" s="80">
        <v>0</v>
      </c>
      <c r="R15" s="80"/>
      <c r="S15" s="158">
        <f t="shared" si="0"/>
        <v>0</v>
      </c>
    </row>
    <row r="16" spans="1:19">
      <c r="A16" s="79">
        <v>9</v>
      </c>
      <c r="B16" s="1" t="s">
        <v>58</v>
      </c>
      <c r="C16" s="80">
        <v>0</v>
      </c>
      <c r="D16" s="80"/>
      <c r="E16" s="80">
        <v>0</v>
      </c>
      <c r="F16" s="80"/>
      <c r="G16" s="80">
        <v>0</v>
      </c>
      <c r="H16" s="80"/>
      <c r="I16" s="80">
        <v>0</v>
      </c>
      <c r="J16" s="80"/>
      <c r="K16" s="80">
        <v>0</v>
      </c>
      <c r="L16" s="80"/>
      <c r="M16" s="80">
        <v>0</v>
      </c>
      <c r="N16" s="80"/>
      <c r="O16" s="80">
        <v>0</v>
      </c>
      <c r="P16" s="80"/>
      <c r="Q16" s="80">
        <v>0</v>
      </c>
      <c r="R16" s="80"/>
      <c r="S16" s="158">
        <f t="shared" si="0"/>
        <v>0</v>
      </c>
    </row>
    <row r="17" spans="1:19">
      <c r="A17" s="79">
        <v>10</v>
      </c>
      <c r="B17" s="1" t="s">
        <v>59</v>
      </c>
      <c r="C17" s="80">
        <v>0</v>
      </c>
      <c r="D17" s="80"/>
      <c r="E17" s="80">
        <v>0</v>
      </c>
      <c r="F17" s="80"/>
      <c r="G17" s="80">
        <v>0</v>
      </c>
      <c r="H17" s="80"/>
      <c r="I17" s="80">
        <v>0</v>
      </c>
      <c r="J17" s="80"/>
      <c r="K17" s="80">
        <v>0</v>
      </c>
      <c r="L17" s="80"/>
      <c r="M17" s="80">
        <v>4748931.8870999999</v>
      </c>
      <c r="N17" s="80"/>
      <c r="O17" s="80">
        <v>10743859.024899999</v>
      </c>
      <c r="P17" s="80"/>
      <c r="Q17" s="80">
        <v>0</v>
      </c>
      <c r="R17" s="80"/>
      <c r="S17" s="158">
        <f t="shared" si="0"/>
        <v>20864720.424449999</v>
      </c>
    </row>
    <row r="18" spans="1:19">
      <c r="A18" s="79">
        <v>11</v>
      </c>
      <c r="B18" s="1" t="s">
        <v>60</v>
      </c>
      <c r="C18" s="80">
        <v>0</v>
      </c>
      <c r="D18" s="80"/>
      <c r="E18" s="80">
        <v>0</v>
      </c>
      <c r="F18" s="80"/>
      <c r="G18" s="80">
        <v>0</v>
      </c>
      <c r="H18" s="80"/>
      <c r="I18" s="80">
        <v>0</v>
      </c>
      <c r="J18" s="80"/>
      <c r="K18" s="80">
        <v>0</v>
      </c>
      <c r="L18" s="80"/>
      <c r="M18" s="80">
        <v>0</v>
      </c>
      <c r="N18" s="80"/>
      <c r="O18" s="80">
        <v>0</v>
      </c>
      <c r="P18" s="80"/>
      <c r="Q18" s="80">
        <v>0</v>
      </c>
      <c r="R18" s="80"/>
      <c r="S18" s="158">
        <f t="shared" si="0"/>
        <v>0</v>
      </c>
    </row>
    <row r="19" spans="1:19">
      <c r="A19" s="79">
        <v>12</v>
      </c>
      <c r="B19" s="1" t="s">
        <v>61</v>
      </c>
      <c r="C19" s="80">
        <v>0</v>
      </c>
      <c r="D19" s="80"/>
      <c r="E19" s="80">
        <v>0</v>
      </c>
      <c r="F19" s="80"/>
      <c r="G19" s="80">
        <v>0</v>
      </c>
      <c r="H19" s="80"/>
      <c r="I19" s="80">
        <v>0</v>
      </c>
      <c r="J19" s="80"/>
      <c r="K19" s="80">
        <v>0</v>
      </c>
      <c r="L19" s="80"/>
      <c r="M19" s="80">
        <v>0</v>
      </c>
      <c r="N19" s="80"/>
      <c r="O19" s="80">
        <v>0</v>
      </c>
      <c r="P19" s="80"/>
      <c r="Q19" s="80">
        <v>0</v>
      </c>
      <c r="R19" s="80"/>
      <c r="S19" s="158">
        <f t="shared" si="0"/>
        <v>0</v>
      </c>
    </row>
    <row r="20" spans="1:19">
      <c r="A20" s="79">
        <v>13</v>
      </c>
      <c r="B20" s="1" t="s">
        <v>144</v>
      </c>
      <c r="C20" s="80">
        <v>0</v>
      </c>
      <c r="D20" s="80"/>
      <c r="E20" s="80">
        <v>0</v>
      </c>
      <c r="F20" s="80"/>
      <c r="G20" s="80">
        <v>0</v>
      </c>
      <c r="H20" s="80"/>
      <c r="I20" s="80">
        <v>0</v>
      </c>
      <c r="J20" s="80"/>
      <c r="K20" s="80">
        <v>0</v>
      </c>
      <c r="L20" s="80"/>
      <c r="M20" s="80">
        <v>0</v>
      </c>
      <c r="N20" s="80"/>
      <c r="O20" s="80">
        <v>0</v>
      </c>
      <c r="P20" s="80"/>
      <c r="Q20" s="80">
        <v>0</v>
      </c>
      <c r="R20" s="80"/>
      <c r="S20" s="158">
        <f t="shared" si="0"/>
        <v>0</v>
      </c>
    </row>
    <row r="21" spans="1:19">
      <c r="A21" s="79">
        <v>14</v>
      </c>
      <c r="B21" s="1" t="s">
        <v>63</v>
      </c>
      <c r="C21" s="80">
        <v>2634717.5414</v>
      </c>
      <c r="D21" s="80"/>
      <c r="E21" s="80">
        <v>0</v>
      </c>
      <c r="F21" s="80"/>
      <c r="G21" s="80">
        <v>0</v>
      </c>
      <c r="H21" s="80"/>
      <c r="I21" s="80">
        <v>0</v>
      </c>
      <c r="J21" s="80"/>
      <c r="K21" s="80">
        <v>0</v>
      </c>
      <c r="L21" s="80"/>
      <c r="M21" s="80">
        <v>20018950.169399999</v>
      </c>
      <c r="N21" s="80"/>
      <c r="O21" s="80">
        <v>0</v>
      </c>
      <c r="P21" s="80"/>
      <c r="Q21" s="80">
        <v>0</v>
      </c>
      <c r="R21" s="80"/>
      <c r="S21" s="158">
        <f t="shared" si="0"/>
        <v>20018950.169399999</v>
      </c>
    </row>
    <row r="22" spans="1:19" ht="13.8" thickBot="1">
      <c r="A22" s="81"/>
      <c r="B22" s="82" t="s">
        <v>64</v>
      </c>
      <c r="C22" s="83">
        <f>SUM(C8:C21)</f>
        <v>12684047.111400001</v>
      </c>
      <c r="D22" s="83">
        <f t="shared" ref="D22:J22" si="1">SUM(D8:D21)</f>
        <v>0</v>
      </c>
      <c r="E22" s="83">
        <f t="shared" si="1"/>
        <v>52060512.737199999</v>
      </c>
      <c r="F22" s="83">
        <f t="shared" si="1"/>
        <v>0</v>
      </c>
      <c r="G22" s="83">
        <f t="shared" si="1"/>
        <v>0</v>
      </c>
      <c r="H22" s="83">
        <f t="shared" si="1"/>
        <v>0</v>
      </c>
      <c r="I22" s="83">
        <f t="shared" si="1"/>
        <v>23398432.3484</v>
      </c>
      <c r="J22" s="83">
        <f t="shared" si="1"/>
        <v>0</v>
      </c>
      <c r="K22" s="83">
        <f t="shared" ref="K22:S22" si="2">SUM(K8:K21)</f>
        <v>0</v>
      </c>
      <c r="L22" s="83">
        <f t="shared" si="2"/>
        <v>0</v>
      </c>
      <c r="M22" s="83">
        <f t="shared" si="2"/>
        <v>563015744.5036</v>
      </c>
      <c r="N22" s="83">
        <f t="shared" si="2"/>
        <v>36799321.513700001</v>
      </c>
      <c r="O22" s="83">
        <f t="shared" si="2"/>
        <v>12464827.207299998</v>
      </c>
      <c r="P22" s="83">
        <f t="shared" si="2"/>
        <v>0</v>
      </c>
      <c r="Q22" s="83">
        <f t="shared" si="2"/>
        <v>0</v>
      </c>
      <c r="R22" s="83">
        <f t="shared" si="2"/>
        <v>0</v>
      </c>
      <c r="S22" s="159">
        <f t="shared" si="2"/>
        <v>640623625.54989004</v>
      </c>
    </row>
    <row r="24" spans="1:19">
      <c r="C24" s="544"/>
      <c r="D24" s="544"/>
      <c r="E24" s="544"/>
      <c r="F24" s="544"/>
      <c r="G24" s="544"/>
      <c r="H24" s="544"/>
      <c r="I24" s="544"/>
      <c r="J24" s="544"/>
      <c r="K24" s="544"/>
      <c r="L24" s="544"/>
      <c r="M24" s="544"/>
      <c r="N24" s="544"/>
      <c r="O24" s="544"/>
      <c r="P24" s="544"/>
      <c r="Q24" s="544"/>
      <c r="R24" s="544"/>
      <c r="S24" s="544"/>
    </row>
    <row r="25" spans="1:19">
      <c r="C25" s="544"/>
      <c r="D25" s="544"/>
      <c r="E25" s="544"/>
      <c r="F25" s="544"/>
      <c r="G25" s="544"/>
      <c r="H25" s="544"/>
      <c r="I25" s="544"/>
      <c r="J25" s="544"/>
      <c r="K25" s="544"/>
      <c r="L25" s="544"/>
      <c r="M25" s="544"/>
      <c r="N25" s="544"/>
      <c r="O25" s="544"/>
      <c r="P25" s="544"/>
      <c r="Q25" s="544"/>
      <c r="R25" s="544"/>
      <c r="S25" s="544"/>
    </row>
    <row r="26" spans="1:19">
      <c r="C26" s="544"/>
      <c r="D26" s="544"/>
      <c r="E26" s="544"/>
      <c r="F26" s="544"/>
      <c r="G26" s="544"/>
      <c r="H26" s="544"/>
      <c r="I26" s="544"/>
      <c r="J26" s="544"/>
      <c r="K26" s="544"/>
      <c r="L26" s="544"/>
      <c r="M26" s="544"/>
      <c r="N26" s="544"/>
      <c r="O26" s="544"/>
      <c r="P26" s="544"/>
      <c r="Q26" s="544"/>
      <c r="R26" s="544"/>
      <c r="S26" s="544"/>
    </row>
    <row r="27" spans="1:19">
      <c r="C27" s="544"/>
      <c r="D27" s="544"/>
      <c r="E27" s="544"/>
      <c r="F27" s="544"/>
      <c r="G27" s="544"/>
      <c r="H27" s="544"/>
      <c r="I27" s="544"/>
      <c r="J27" s="544"/>
      <c r="K27" s="544"/>
      <c r="L27" s="544"/>
      <c r="M27" s="544"/>
      <c r="N27" s="544"/>
      <c r="O27" s="544"/>
      <c r="P27" s="544"/>
      <c r="Q27" s="544"/>
      <c r="R27" s="544"/>
      <c r="S27" s="544"/>
    </row>
    <row r="28" spans="1:19">
      <c r="C28" s="544"/>
      <c r="D28" s="544"/>
      <c r="E28" s="544"/>
      <c r="F28" s="544"/>
      <c r="G28" s="544"/>
      <c r="H28" s="544"/>
      <c r="I28" s="544"/>
      <c r="J28" s="544"/>
      <c r="K28" s="544"/>
      <c r="L28" s="544"/>
      <c r="M28" s="544"/>
      <c r="N28" s="544"/>
      <c r="O28" s="544"/>
      <c r="P28" s="544"/>
      <c r="Q28" s="544"/>
      <c r="R28" s="544"/>
      <c r="S28" s="544"/>
    </row>
    <row r="29" spans="1:19">
      <c r="C29" s="544"/>
      <c r="D29" s="544"/>
      <c r="E29" s="544"/>
      <c r="F29" s="544"/>
      <c r="G29" s="544"/>
      <c r="H29" s="544"/>
      <c r="I29" s="544"/>
      <c r="J29" s="544"/>
      <c r="K29" s="544"/>
      <c r="L29" s="544"/>
      <c r="M29" s="544"/>
      <c r="N29" s="544"/>
      <c r="O29" s="544"/>
      <c r="P29" s="544"/>
      <c r="Q29" s="544"/>
      <c r="R29" s="544"/>
      <c r="S29" s="544"/>
    </row>
    <row r="30" spans="1:19">
      <c r="C30" s="544"/>
      <c r="D30" s="544"/>
      <c r="E30" s="544"/>
      <c r="F30" s="544"/>
      <c r="G30" s="544"/>
      <c r="H30" s="544"/>
      <c r="I30" s="544"/>
      <c r="J30" s="544"/>
      <c r="K30" s="544"/>
      <c r="L30" s="544"/>
      <c r="M30" s="544"/>
      <c r="N30" s="544"/>
      <c r="O30" s="544"/>
      <c r="P30" s="544"/>
      <c r="Q30" s="544"/>
      <c r="R30" s="544"/>
      <c r="S30" s="544"/>
    </row>
    <row r="31" spans="1:19">
      <c r="C31" s="544"/>
      <c r="D31" s="544"/>
      <c r="E31" s="544"/>
      <c r="F31" s="544"/>
      <c r="G31" s="544"/>
      <c r="H31" s="544"/>
      <c r="I31" s="544"/>
      <c r="J31" s="544"/>
      <c r="K31" s="544"/>
      <c r="L31" s="544"/>
      <c r="M31" s="544"/>
      <c r="N31" s="544"/>
      <c r="O31" s="544"/>
      <c r="P31" s="544"/>
      <c r="Q31" s="544"/>
      <c r="R31" s="544"/>
      <c r="S31" s="544"/>
    </row>
    <row r="32" spans="1:19">
      <c r="C32" s="544"/>
      <c r="D32" s="544"/>
      <c r="E32" s="544"/>
      <c r="F32" s="544"/>
      <c r="G32" s="544"/>
      <c r="H32" s="544"/>
      <c r="I32" s="544"/>
      <c r="J32" s="544"/>
      <c r="K32" s="544"/>
      <c r="L32" s="544"/>
      <c r="M32" s="544"/>
      <c r="N32" s="544"/>
      <c r="O32" s="544"/>
      <c r="P32" s="544"/>
      <c r="Q32" s="544"/>
      <c r="R32" s="544"/>
      <c r="S32" s="544"/>
    </row>
    <row r="33" spans="3:19">
      <c r="C33" s="544"/>
      <c r="D33" s="544"/>
      <c r="E33" s="544"/>
      <c r="F33" s="544"/>
      <c r="G33" s="544"/>
      <c r="H33" s="544"/>
      <c r="I33" s="544"/>
      <c r="J33" s="544"/>
      <c r="K33" s="544"/>
      <c r="L33" s="544"/>
      <c r="M33" s="544"/>
      <c r="N33" s="544"/>
      <c r="O33" s="544"/>
      <c r="P33" s="544"/>
      <c r="Q33" s="544"/>
      <c r="R33" s="544"/>
      <c r="S33" s="544"/>
    </row>
    <row r="34" spans="3:19">
      <c r="C34" s="544"/>
      <c r="D34" s="544"/>
      <c r="E34" s="544"/>
      <c r="F34" s="544"/>
      <c r="G34" s="544"/>
      <c r="H34" s="544"/>
      <c r="I34" s="544"/>
      <c r="J34" s="544"/>
      <c r="K34" s="544"/>
      <c r="L34" s="544"/>
      <c r="M34" s="544"/>
      <c r="N34" s="544"/>
      <c r="O34" s="544"/>
      <c r="P34" s="544"/>
      <c r="Q34" s="544"/>
      <c r="R34" s="544"/>
      <c r="S34" s="544"/>
    </row>
    <row r="35" spans="3:19">
      <c r="C35" s="544"/>
      <c r="D35" s="544"/>
      <c r="E35" s="544"/>
      <c r="F35" s="544"/>
      <c r="G35" s="544"/>
      <c r="H35" s="544"/>
      <c r="I35" s="544"/>
      <c r="J35" s="544"/>
      <c r="K35" s="544"/>
      <c r="L35" s="544"/>
      <c r="M35" s="544"/>
      <c r="N35" s="544"/>
      <c r="O35" s="544"/>
      <c r="P35" s="544"/>
      <c r="Q35" s="544"/>
      <c r="R35" s="544"/>
      <c r="S35" s="544"/>
    </row>
    <row r="36" spans="3:19">
      <c r="C36" s="544"/>
      <c r="D36" s="544"/>
      <c r="E36" s="544"/>
      <c r="F36" s="544"/>
      <c r="G36" s="544"/>
      <c r="H36" s="544"/>
      <c r="I36" s="544"/>
      <c r="J36" s="544"/>
      <c r="K36" s="544"/>
      <c r="L36" s="544"/>
      <c r="M36" s="544"/>
      <c r="N36" s="544"/>
      <c r="O36" s="544"/>
      <c r="P36" s="544"/>
      <c r="Q36" s="544"/>
      <c r="R36" s="544"/>
      <c r="S36" s="544"/>
    </row>
    <row r="37" spans="3:19">
      <c r="C37" s="544"/>
      <c r="D37" s="544"/>
      <c r="E37" s="544"/>
      <c r="F37" s="544"/>
      <c r="G37" s="544"/>
      <c r="H37" s="544"/>
      <c r="I37" s="544"/>
      <c r="J37" s="544"/>
      <c r="K37" s="544"/>
      <c r="L37" s="544"/>
      <c r="M37" s="544"/>
      <c r="N37" s="544"/>
      <c r="O37" s="544"/>
      <c r="P37" s="544"/>
      <c r="Q37" s="544"/>
      <c r="R37" s="544"/>
      <c r="S37" s="544"/>
    </row>
    <row r="38" spans="3:19">
      <c r="C38" s="544"/>
      <c r="D38" s="544"/>
      <c r="E38" s="544"/>
      <c r="F38" s="544"/>
      <c r="G38" s="544"/>
      <c r="H38" s="544"/>
      <c r="I38" s="544"/>
      <c r="J38" s="544"/>
      <c r="K38" s="544"/>
      <c r="L38" s="544"/>
      <c r="M38" s="544"/>
      <c r="N38" s="544"/>
      <c r="O38" s="544"/>
      <c r="P38" s="544"/>
      <c r="Q38" s="544"/>
      <c r="R38" s="544"/>
      <c r="S38" s="544"/>
    </row>
    <row r="39" spans="3:19">
      <c r="C39" s="543"/>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scale="24" orientation="portrait" horizontalDpi="300" verticalDpi="300" r:id="rId1"/>
  <headerFooter>
    <oddFooter>&amp;C_x000D_&amp;1#&amp;"Aptos"&amp;10&amp;K000000 C4 - EXTERNAL CONFIDENTIAL</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42" sqref="B42"/>
      <selection pane="topRight" activeCell="B42" sqref="B42"/>
      <selection pane="bottomLeft" activeCell="B42" sqref="B42"/>
      <selection pane="bottomRight" activeCell="P29" sqref="P29"/>
    </sheetView>
  </sheetViews>
  <sheetFormatPr defaultColWidth="9.21875" defaultRowHeight="13.2"/>
  <cols>
    <col min="1" max="1" width="10.55468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13"/>
  </cols>
  <sheetData>
    <row r="1" spans="1:22">
      <c r="A1" s="2" t="s">
        <v>30</v>
      </c>
      <c r="B1" s="3" t="str">
        <f>'Info '!C2</f>
        <v xml:space="preserve">PASHA Bank Georgia JSC </v>
      </c>
    </row>
    <row r="2" spans="1:22">
      <c r="A2" s="2" t="s">
        <v>31</v>
      </c>
      <c r="B2" s="253">
        <f>'1. key ratios '!B2</f>
        <v>46112</v>
      </c>
    </row>
    <row r="4" spans="1:22" ht="13.8" thickBot="1">
      <c r="A4" s="4" t="s">
        <v>230</v>
      </c>
      <c r="B4" s="84" t="s">
        <v>50</v>
      </c>
      <c r="V4" s="14" t="s">
        <v>35</v>
      </c>
    </row>
    <row r="5" spans="1:22" ht="12.75" customHeight="1">
      <c r="A5" s="85"/>
      <c r="B5" s="86"/>
      <c r="C5" s="771" t="s">
        <v>156</v>
      </c>
      <c r="D5" s="772"/>
      <c r="E5" s="772"/>
      <c r="F5" s="772"/>
      <c r="G5" s="772"/>
      <c r="H5" s="772"/>
      <c r="I5" s="772"/>
      <c r="J5" s="772"/>
      <c r="K5" s="772"/>
      <c r="L5" s="773"/>
      <c r="M5" s="774" t="s">
        <v>157</v>
      </c>
      <c r="N5" s="775"/>
      <c r="O5" s="775"/>
      <c r="P5" s="775"/>
      <c r="Q5" s="775"/>
      <c r="R5" s="775"/>
      <c r="S5" s="776"/>
      <c r="T5" s="779" t="s">
        <v>228</v>
      </c>
      <c r="U5" s="779" t="s">
        <v>229</v>
      </c>
      <c r="V5" s="777" t="s">
        <v>76</v>
      </c>
    </row>
    <row r="6" spans="1:22" s="44" customFormat="1" ht="105.6">
      <c r="A6" s="42"/>
      <c r="B6" s="87"/>
      <c r="C6" s="88" t="s">
        <v>65</v>
      </c>
      <c r="D6" s="122" t="s">
        <v>66</v>
      </c>
      <c r="E6" s="100" t="s">
        <v>159</v>
      </c>
      <c r="F6" s="100" t="s">
        <v>160</v>
      </c>
      <c r="G6" s="122" t="s">
        <v>163</v>
      </c>
      <c r="H6" s="122" t="s">
        <v>158</v>
      </c>
      <c r="I6" s="122" t="s">
        <v>67</v>
      </c>
      <c r="J6" s="122" t="s">
        <v>68</v>
      </c>
      <c r="K6" s="89" t="s">
        <v>69</v>
      </c>
      <c r="L6" s="90" t="s">
        <v>70</v>
      </c>
      <c r="M6" s="88" t="s">
        <v>161</v>
      </c>
      <c r="N6" s="89" t="s">
        <v>71</v>
      </c>
      <c r="O6" s="89" t="s">
        <v>72</v>
      </c>
      <c r="P6" s="89" t="s">
        <v>73</v>
      </c>
      <c r="Q6" s="89" t="s">
        <v>74</v>
      </c>
      <c r="R6" s="89" t="s">
        <v>75</v>
      </c>
      <c r="S6" s="140" t="s">
        <v>162</v>
      </c>
      <c r="T6" s="780"/>
      <c r="U6" s="780"/>
      <c r="V6" s="778"/>
    </row>
    <row r="7" spans="1:22" s="661" customFormat="1" ht="16.2" customHeight="1">
      <c r="A7" s="91">
        <v>1</v>
      </c>
      <c r="B7" s="1" t="s">
        <v>51</v>
      </c>
      <c r="C7" s="656"/>
      <c r="D7" s="657"/>
      <c r="E7" s="657"/>
      <c r="F7" s="657"/>
      <c r="G7" s="657"/>
      <c r="H7" s="657"/>
      <c r="I7" s="657"/>
      <c r="J7" s="657"/>
      <c r="K7" s="657"/>
      <c r="L7" s="658"/>
      <c r="M7" s="656"/>
      <c r="N7" s="657"/>
      <c r="O7" s="657"/>
      <c r="P7" s="657"/>
      <c r="Q7" s="657"/>
      <c r="R7" s="657"/>
      <c r="S7" s="658"/>
      <c r="T7" s="659"/>
      <c r="U7" s="659"/>
      <c r="V7" s="660">
        <f>SUM(C7:S7)</f>
        <v>0</v>
      </c>
    </row>
    <row r="8" spans="1:22" s="661" customFormat="1" ht="16.2" customHeight="1">
      <c r="A8" s="91">
        <v>2</v>
      </c>
      <c r="B8" s="1" t="s">
        <v>52</v>
      </c>
      <c r="C8" s="656"/>
      <c r="D8" s="657"/>
      <c r="E8" s="657"/>
      <c r="F8" s="657"/>
      <c r="G8" s="657"/>
      <c r="H8" s="657"/>
      <c r="I8" s="657"/>
      <c r="J8" s="657"/>
      <c r="K8" s="657"/>
      <c r="L8" s="658"/>
      <c r="M8" s="656"/>
      <c r="N8" s="657"/>
      <c r="O8" s="657"/>
      <c r="P8" s="657"/>
      <c r="Q8" s="657"/>
      <c r="R8" s="657"/>
      <c r="S8" s="658"/>
      <c r="T8" s="659"/>
      <c r="U8" s="659"/>
      <c r="V8" s="660">
        <f t="shared" ref="V8:V20" si="0">SUM(C8:S8)</f>
        <v>0</v>
      </c>
    </row>
    <row r="9" spans="1:22" s="661" customFormat="1" ht="16.2" customHeight="1">
      <c r="A9" s="91">
        <v>3</v>
      </c>
      <c r="B9" s="1" t="s">
        <v>153</v>
      </c>
      <c r="C9" s="656"/>
      <c r="D9" s="657"/>
      <c r="E9" s="657"/>
      <c r="F9" s="657"/>
      <c r="G9" s="657"/>
      <c r="H9" s="657"/>
      <c r="I9" s="657"/>
      <c r="J9" s="657"/>
      <c r="K9" s="657"/>
      <c r="L9" s="658"/>
      <c r="M9" s="656"/>
      <c r="N9" s="657"/>
      <c r="O9" s="657"/>
      <c r="P9" s="657"/>
      <c r="Q9" s="657"/>
      <c r="R9" s="657"/>
      <c r="S9" s="658"/>
      <c r="T9" s="659"/>
      <c r="U9" s="659"/>
      <c r="V9" s="660">
        <f t="shared" si="0"/>
        <v>0</v>
      </c>
    </row>
    <row r="10" spans="1:22" s="661" customFormat="1" ht="16.2" customHeight="1">
      <c r="A10" s="91">
        <v>4</v>
      </c>
      <c r="B10" s="1" t="s">
        <v>53</v>
      </c>
      <c r="C10" s="656"/>
      <c r="D10" s="657"/>
      <c r="E10" s="657"/>
      <c r="F10" s="657"/>
      <c r="G10" s="657"/>
      <c r="H10" s="657"/>
      <c r="I10" s="657"/>
      <c r="J10" s="657"/>
      <c r="K10" s="657"/>
      <c r="L10" s="658"/>
      <c r="M10" s="656"/>
      <c r="N10" s="657"/>
      <c r="O10" s="657"/>
      <c r="P10" s="657"/>
      <c r="Q10" s="657"/>
      <c r="R10" s="657"/>
      <c r="S10" s="658"/>
      <c r="T10" s="659"/>
      <c r="U10" s="659"/>
      <c r="V10" s="660">
        <f t="shared" si="0"/>
        <v>0</v>
      </c>
    </row>
    <row r="11" spans="1:22" s="661" customFormat="1" ht="16.2" customHeight="1">
      <c r="A11" s="91">
        <v>5</v>
      </c>
      <c r="B11" s="1" t="s">
        <v>54</v>
      </c>
      <c r="C11" s="656"/>
      <c r="D11" s="657"/>
      <c r="E11" s="657"/>
      <c r="F11" s="657"/>
      <c r="G11" s="657"/>
      <c r="H11" s="657"/>
      <c r="I11" s="657"/>
      <c r="J11" s="657"/>
      <c r="K11" s="657"/>
      <c r="L11" s="658"/>
      <c r="M11" s="656"/>
      <c r="N11" s="657"/>
      <c r="O11" s="657"/>
      <c r="P11" s="657"/>
      <c r="Q11" s="657"/>
      <c r="R11" s="657"/>
      <c r="S11" s="658"/>
      <c r="T11" s="659"/>
      <c r="U11" s="659"/>
      <c r="V11" s="660">
        <f t="shared" si="0"/>
        <v>0</v>
      </c>
    </row>
    <row r="12" spans="1:22" s="661" customFormat="1" ht="16.2" customHeight="1">
      <c r="A12" s="91">
        <v>6</v>
      </c>
      <c r="B12" s="1" t="s">
        <v>55</v>
      </c>
      <c r="C12" s="656"/>
      <c r="D12" s="657"/>
      <c r="E12" s="657"/>
      <c r="F12" s="657"/>
      <c r="G12" s="657"/>
      <c r="H12" s="657"/>
      <c r="I12" s="657"/>
      <c r="J12" s="657"/>
      <c r="K12" s="657"/>
      <c r="L12" s="658"/>
      <c r="M12" s="656"/>
      <c r="N12" s="657"/>
      <c r="O12" s="657"/>
      <c r="P12" s="657"/>
      <c r="Q12" s="657"/>
      <c r="R12" s="657"/>
      <c r="S12" s="658"/>
      <c r="T12" s="659"/>
      <c r="U12" s="659"/>
      <c r="V12" s="660">
        <f t="shared" si="0"/>
        <v>0</v>
      </c>
    </row>
    <row r="13" spans="1:22" s="661" customFormat="1" ht="16.2" customHeight="1">
      <c r="A13" s="91">
        <v>7</v>
      </c>
      <c r="B13" s="1" t="s">
        <v>56</v>
      </c>
      <c r="C13" s="656"/>
      <c r="D13" s="657">
        <v>56559344.155299999</v>
      </c>
      <c r="E13" s="657"/>
      <c r="F13" s="657"/>
      <c r="G13" s="657"/>
      <c r="H13" s="657"/>
      <c r="I13" s="657"/>
      <c r="J13" s="657"/>
      <c r="K13" s="657"/>
      <c r="L13" s="658"/>
      <c r="M13" s="656"/>
      <c r="N13" s="657"/>
      <c r="O13" s="657"/>
      <c r="P13" s="657"/>
      <c r="Q13" s="657"/>
      <c r="R13" s="657"/>
      <c r="S13" s="658"/>
      <c r="T13" s="659">
        <v>55320435.870499998</v>
      </c>
      <c r="U13" s="659">
        <v>1238908.2848</v>
      </c>
      <c r="V13" s="660">
        <f t="shared" si="0"/>
        <v>56559344.155299999</v>
      </c>
    </row>
    <row r="14" spans="1:22" s="661" customFormat="1" ht="16.2" customHeight="1">
      <c r="A14" s="91">
        <v>8</v>
      </c>
      <c r="B14" s="1" t="s">
        <v>57</v>
      </c>
      <c r="C14" s="656"/>
      <c r="D14" s="657"/>
      <c r="E14" s="657"/>
      <c r="F14" s="657"/>
      <c r="G14" s="657"/>
      <c r="H14" s="657"/>
      <c r="I14" s="657"/>
      <c r="J14" s="657"/>
      <c r="K14" s="657"/>
      <c r="L14" s="658"/>
      <c r="M14" s="656"/>
      <c r="N14" s="657"/>
      <c r="O14" s="657"/>
      <c r="P14" s="657"/>
      <c r="Q14" s="657"/>
      <c r="R14" s="657"/>
      <c r="S14" s="658"/>
      <c r="T14" s="659"/>
      <c r="U14" s="659"/>
      <c r="V14" s="660">
        <f t="shared" si="0"/>
        <v>0</v>
      </c>
    </row>
    <row r="15" spans="1:22" s="661" customFormat="1" ht="16.2" customHeight="1">
      <c r="A15" s="91">
        <v>9</v>
      </c>
      <c r="B15" s="1" t="s">
        <v>58</v>
      </c>
      <c r="C15" s="656"/>
      <c r="D15" s="657"/>
      <c r="E15" s="657"/>
      <c r="F15" s="657"/>
      <c r="G15" s="657"/>
      <c r="H15" s="657"/>
      <c r="I15" s="657"/>
      <c r="J15" s="657"/>
      <c r="K15" s="657"/>
      <c r="L15" s="658"/>
      <c r="M15" s="656"/>
      <c r="N15" s="657"/>
      <c r="O15" s="657"/>
      <c r="P15" s="657"/>
      <c r="Q15" s="657"/>
      <c r="R15" s="657"/>
      <c r="S15" s="658"/>
      <c r="T15" s="659"/>
      <c r="U15" s="659"/>
      <c r="V15" s="660">
        <f t="shared" si="0"/>
        <v>0</v>
      </c>
    </row>
    <row r="16" spans="1:22" s="661" customFormat="1" ht="16.2" customHeight="1">
      <c r="A16" s="91">
        <v>10</v>
      </c>
      <c r="B16" s="1" t="s">
        <v>59</v>
      </c>
      <c r="C16" s="656"/>
      <c r="D16" s="657"/>
      <c r="E16" s="657"/>
      <c r="F16" s="657"/>
      <c r="G16" s="657"/>
      <c r="H16" s="657"/>
      <c r="I16" s="657"/>
      <c r="J16" s="657"/>
      <c r="K16" s="657"/>
      <c r="L16" s="658"/>
      <c r="M16" s="656"/>
      <c r="N16" s="657"/>
      <c r="O16" s="657"/>
      <c r="P16" s="657"/>
      <c r="Q16" s="657"/>
      <c r="R16" s="657"/>
      <c r="S16" s="658"/>
      <c r="T16" s="659"/>
      <c r="U16" s="659"/>
      <c r="V16" s="660">
        <f t="shared" si="0"/>
        <v>0</v>
      </c>
    </row>
    <row r="17" spans="1:22" s="661" customFormat="1" ht="16.2" customHeight="1">
      <c r="A17" s="91">
        <v>11</v>
      </c>
      <c r="B17" s="1" t="s">
        <v>60</v>
      </c>
      <c r="C17" s="656"/>
      <c r="D17" s="657"/>
      <c r="E17" s="657"/>
      <c r="F17" s="657"/>
      <c r="G17" s="657"/>
      <c r="H17" s="657"/>
      <c r="I17" s="657"/>
      <c r="J17" s="657"/>
      <c r="K17" s="657"/>
      <c r="L17" s="658"/>
      <c r="M17" s="656"/>
      <c r="N17" s="657"/>
      <c r="O17" s="657"/>
      <c r="P17" s="657"/>
      <c r="Q17" s="657"/>
      <c r="R17" s="657"/>
      <c r="S17" s="658"/>
      <c r="T17" s="659"/>
      <c r="U17" s="659"/>
      <c r="V17" s="660">
        <f t="shared" si="0"/>
        <v>0</v>
      </c>
    </row>
    <row r="18" spans="1:22" s="661" customFormat="1" ht="16.2" customHeight="1">
      <c r="A18" s="91">
        <v>12</v>
      </c>
      <c r="B18" s="1" t="s">
        <v>61</v>
      </c>
      <c r="C18" s="656"/>
      <c r="D18" s="657"/>
      <c r="E18" s="657"/>
      <c r="F18" s="657"/>
      <c r="G18" s="657"/>
      <c r="H18" s="657"/>
      <c r="I18" s="657"/>
      <c r="J18" s="657"/>
      <c r="K18" s="657"/>
      <c r="L18" s="658"/>
      <c r="M18" s="656"/>
      <c r="N18" s="657"/>
      <c r="O18" s="657"/>
      <c r="P18" s="657"/>
      <c r="Q18" s="657"/>
      <c r="R18" s="657"/>
      <c r="S18" s="658"/>
      <c r="T18" s="659"/>
      <c r="U18" s="659"/>
      <c r="V18" s="660">
        <f t="shared" si="0"/>
        <v>0</v>
      </c>
    </row>
    <row r="19" spans="1:22" s="661" customFormat="1" ht="16.2" customHeight="1">
      <c r="A19" s="91">
        <v>13</v>
      </c>
      <c r="B19" s="1" t="s">
        <v>62</v>
      </c>
      <c r="C19" s="656"/>
      <c r="D19" s="657"/>
      <c r="E19" s="657"/>
      <c r="F19" s="657"/>
      <c r="G19" s="657"/>
      <c r="H19" s="657"/>
      <c r="I19" s="657"/>
      <c r="J19" s="657"/>
      <c r="K19" s="657"/>
      <c r="L19" s="658"/>
      <c r="M19" s="656"/>
      <c r="N19" s="657"/>
      <c r="O19" s="657"/>
      <c r="P19" s="657"/>
      <c r="Q19" s="657"/>
      <c r="R19" s="657"/>
      <c r="S19" s="658"/>
      <c r="T19" s="659"/>
      <c r="U19" s="659"/>
      <c r="V19" s="660">
        <f t="shared" si="0"/>
        <v>0</v>
      </c>
    </row>
    <row r="20" spans="1:22" s="661" customFormat="1" ht="16.2" customHeight="1">
      <c r="A20" s="91">
        <v>14</v>
      </c>
      <c r="B20" s="1" t="s">
        <v>63</v>
      </c>
      <c r="C20" s="656"/>
      <c r="D20" s="657"/>
      <c r="E20" s="657"/>
      <c r="F20" s="657"/>
      <c r="G20" s="657"/>
      <c r="H20" s="657"/>
      <c r="I20" s="657"/>
      <c r="J20" s="657"/>
      <c r="K20" s="657"/>
      <c r="L20" s="658"/>
      <c r="M20" s="656"/>
      <c r="N20" s="657"/>
      <c r="O20" s="657"/>
      <c r="P20" s="657"/>
      <c r="Q20" s="657"/>
      <c r="R20" s="657"/>
      <c r="S20" s="658"/>
      <c r="T20" s="659"/>
      <c r="U20" s="659"/>
      <c r="V20" s="660">
        <f t="shared" si="0"/>
        <v>0</v>
      </c>
    </row>
    <row r="21" spans="1:22" s="661" customFormat="1" ht="16.2" customHeight="1" thickBot="1">
      <c r="A21" s="81"/>
      <c r="B21" s="662" t="s">
        <v>64</v>
      </c>
      <c r="C21" s="663">
        <f>SUM(C7:C20)</f>
        <v>0</v>
      </c>
      <c r="D21" s="664">
        <f t="shared" ref="D21:V21" si="1">SUM(D7:D20)</f>
        <v>56559344.155299999</v>
      </c>
      <c r="E21" s="664">
        <f t="shared" si="1"/>
        <v>0</v>
      </c>
      <c r="F21" s="664">
        <f t="shared" si="1"/>
        <v>0</v>
      </c>
      <c r="G21" s="664">
        <f t="shared" si="1"/>
        <v>0</v>
      </c>
      <c r="H21" s="664">
        <f t="shared" si="1"/>
        <v>0</v>
      </c>
      <c r="I21" s="664">
        <f t="shared" si="1"/>
        <v>0</v>
      </c>
      <c r="J21" s="664">
        <f t="shared" si="1"/>
        <v>0</v>
      </c>
      <c r="K21" s="664">
        <f t="shared" si="1"/>
        <v>0</v>
      </c>
      <c r="L21" s="665">
        <f t="shared" si="1"/>
        <v>0</v>
      </c>
      <c r="M21" s="663">
        <f t="shared" si="1"/>
        <v>0</v>
      </c>
      <c r="N21" s="664">
        <f t="shared" si="1"/>
        <v>0</v>
      </c>
      <c r="O21" s="664">
        <f t="shared" si="1"/>
        <v>0</v>
      </c>
      <c r="P21" s="664">
        <f t="shared" si="1"/>
        <v>0</v>
      </c>
      <c r="Q21" s="664">
        <f t="shared" si="1"/>
        <v>0</v>
      </c>
      <c r="R21" s="664">
        <f t="shared" si="1"/>
        <v>0</v>
      </c>
      <c r="S21" s="665">
        <f>SUM(S7:S20)</f>
        <v>0</v>
      </c>
      <c r="T21" s="665">
        <f>SUM(T7:T20)</f>
        <v>55320435.870499998</v>
      </c>
      <c r="U21" s="665">
        <f t="shared" ref="U21" si="2">SUM(U7:U20)</f>
        <v>1238908.2848</v>
      </c>
      <c r="V21" s="666">
        <f t="shared" si="1"/>
        <v>56559344.155299999</v>
      </c>
    </row>
    <row r="23" spans="1:22">
      <c r="C23" s="544"/>
      <c r="D23" s="544"/>
      <c r="E23" s="544"/>
      <c r="F23" s="544"/>
      <c r="G23" s="544"/>
      <c r="H23" s="544"/>
      <c r="I23" s="544"/>
      <c r="J23" s="544"/>
      <c r="K23" s="544"/>
      <c r="L23" s="544"/>
      <c r="M23" s="544"/>
      <c r="N23" s="544"/>
      <c r="O23" s="544"/>
      <c r="P23" s="544"/>
      <c r="Q23" s="544"/>
      <c r="R23" s="544"/>
      <c r="S23" s="544"/>
      <c r="T23" s="544"/>
      <c r="U23" s="544"/>
      <c r="V23" s="544"/>
    </row>
    <row r="24" spans="1:22">
      <c r="C24" s="21"/>
      <c r="D24" s="21"/>
      <c r="E24" s="21"/>
    </row>
    <row r="25" spans="1:22">
      <c r="A25" s="41"/>
      <c r="B25" s="41"/>
      <c r="D25" s="21"/>
      <c r="E25" s="21"/>
    </row>
    <row r="26" spans="1:22">
      <c r="A26" s="41"/>
      <c r="B26" s="22"/>
      <c r="D26" s="21"/>
      <c r="E26" s="21"/>
    </row>
    <row r="27" spans="1:22">
      <c r="A27" s="41"/>
      <c r="B27" s="41"/>
      <c r="D27" s="21"/>
      <c r="E27" s="21"/>
    </row>
    <row r="28" spans="1:22">
      <c r="A28" s="41"/>
      <c r="B28" s="22"/>
      <c r="D28" s="21"/>
      <c r="E28" s="21"/>
    </row>
  </sheetData>
  <mergeCells count="5">
    <mergeCell ref="C5:L5"/>
    <mergeCell ref="M5:S5"/>
    <mergeCell ref="V5:V6"/>
    <mergeCell ref="T5:T6"/>
    <mergeCell ref="U5:U6"/>
  </mergeCells>
  <pageMargins left="0.7" right="0.7" top="0.75" bottom="0.75" header="0.3" footer="0.3"/>
  <pageSetup paperSize="9" scale="16" orientation="portrait" horizontalDpi="300" verticalDpi="300" r:id="rId1"/>
  <headerFooter>
    <oddFooter>&amp;C_x000D_&amp;1#&amp;"Aptos"&amp;10&amp;K000000 C4 - EXTERNAL CONFIDENTIAL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N40"/>
  <sheetViews>
    <sheetView zoomScale="80" zoomScaleNormal="80" workbookViewId="0">
      <pane xSplit="1" ySplit="7" topLeftCell="B8" activePane="bottomRight" state="frozen"/>
      <selection activeCell="B42" sqref="B42"/>
      <selection pane="topRight" activeCell="B42" sqref="B42"/>
      <selection pane="bottomLeft" activeCell="B42" sqref="B42"/>
      <selection pane="bottomRight" activeCell="P15" sqref="P15"/>
    </sheetView>
  </sheetViews>
  <sheetFormatPr defaultColWidth="9.21875" defaultRowHeight="13.8"/>
  <cols>
    <col min="1" max="1" width="10.5546875" style="4" bestFit="1" customWidth="1"/>
    <col min="2" max="2" width="101.77734375" style="4" customWidth="1"/>
    <col min="3" max="3" width="13.77734375" style="127" customWidth="1"/>
    <col min="4" max="4" width="14.77734375" style="127" bestFit="1" customWidth="1"/>
    <col min="5" max="5" width="17.77734375" style="127" customWidth="1"/>
    <col min="6" max="6" width="15.77734375" style="127" customWidth="1"/>
    <col min="7" max="7" width="17.44140625" style="127" customWidth="1"/>
    <col min="8" max="8" width="15.21875" style="127" customWidth="1"/>
    <col min="9" max="16384" width="9.21875" style="13"/>
  </cols>
  <sheetData>
    <row r="1" spans="1:14">
      <c r="A1" s="2" t="s">
        <v>30</v>
      </c>
      <c r="B1" s="4" t="str">
        <f>'Info '!C2</f>
        <v xml:space="preserve">PASHA Bank Georgia JSC </v>
      </c>
      <c r="C1" s="3"/>
    </row>
    <row r="2" spans="1:14">
      <c r="A2" s="2" t="s">
        <v>31</v>
      </c>
      <c r="B2" s="253">
        <f>'1. key ratios '!B2</f>
        <v>46112</v>
      </c>
      <c r="C2" s="253"/>
    </row>
    <row r="4" spans="1:14" ht="14.4" thickBot="1">
      <c r="A4" s="2" t="s">
        <v>150</v>
      </c>
      <c r="B4" s="84" t="s">
        <v>239</v>
      </c>
    </row>
    <row r="5" spans="1:14">
      <c r="A5" s="85"/>
      <c r="B5" s="93"/>
      <c r="C5" s="148" t="s">
        <v>0</v>
      </c>
      <c r="D5" s="148" t="s">
        <v>1</v>
      </c>
      <c r="E5" s="148" t="s">
        <v>2</v>
      </c>
      <c r="F5" s="148" t="s">
        <v>3</v>
      </c>
      <c r="G5" s="149" t="s">
        <v>4</v>
      </c>
      <c r="H5" s="150" t="s">
        <v>5</v>
      </c>
      <c r="I5" s="94"/>
    </row>
    <row r="6" spans="1:14" s="94" customFormat="1" ht="12.75" customHeight="1">
      <c r="A6" s="95"/>
      <c r="B6" s="783" t="s">
        <v>149</v>
      </c>
      <c r="C6" s="769" t="s">
        <v>232</v>
      </c>
      <c r="D6" s="785" t="s">
        <v>231</v>
      </c>
      <c r="E6" s="786"/>
      <c r="F6" s="769" t="s">
        <v>236</v>
      </c>
      <c r="G6" s="769" t="s">
        <v>237</v>
      </c>
      <c r="H6" s="781" t="s">
        <v>235</v>
      </c>
    </row>
    <row r="7" spans="1:14" ht="41.4">
      <c r="A7" s="97"/>
      <c r="B7" s="784"/>
      <c r="C7" s="770"/>
      <c r="D7" s="151" t="s">
        <v>234</v>
      </c>
      <c r="E7" s="151" t="s">
        <v>233</v>
      </c>
      <c r="F7" s="770"/>
      <c r="G7" s="770"/>
      <c r="H7" s="782"/>
      <c r="I7" s="94"/>
    </row>
    <row r="8" spans="1:14">
      <c r="A8" s="95">
        <v>1</v>
      </c>
      <c r="B8" s="1" t="s">
        <v>51</v>
      </c>
      <c r="C8" s="152">
        <v>37101337.185200006</v>
      </c>
      <c r="D8" s="152"/>
      <c r="E8" s="152"/>
      <c r="F8" s="152">
        <v>27052007.615200002</v>
      </c>
      <c r="G8" s="153">
        <v>27052007.615200002</v>
      </c>
      <c r="H8" s="155">
        <f>G8/(C8+E8)</f>
        <v>0.7291383456117384</v>
      </c>
      <c r="I8" s="647"/>
      <c r="J8" s="647"/>
      <c r="K8" s="647"/>
      <c r="L8" s="647"/>
      <c r="M8" s="647"/>
      <c r="N8" s="647"/>
    </row>
    <row r="9" spans="1:14" ht="15" customHeight="1">
      <c r="A9" s="95">
        <v>2</v>
      </c>
      <c r="B9" s="1" t="s">
        <v>52</v>
      </c>
      <c r="C9" s="152">
        <v>0</v>
      </c>
      <c r="D9" s="152"/>
      <c r="E9" s="152"/>
      <c r="F9" s="152">
        <v>0</v>
      </c>
      <c r="G9" s="153">
        <v>0</v>
      </c>
      <c r="H9" s="155" t="e">
        <f t="shared" ref="H9:H21" si="0">G9/(C9+E9)</f>
        <v>#DIV/0!</v>
      </c>
      <c r="I9" s="647"/>
      <c r="J9" s="647"/>
      <c r="K9" s="647"/>
      <c r="L9" s="647"/>
      <c r="M9" s="647"/>
      <c r="N9" s="647"/>
    </row>
    <row r="10" spans="1:14">
      <c r="A10" s="95">
        <v>3</v>
      </c>
      <c r="B10" s="1" t="s">
        <v>153</v>
      </c>
      <c r="C10" s="152">
        <v>0</v>
      </c>
      <c r="D10" s="152"/>
      <c r="E10" s="152"/>
      <c r="F10" s="152">
        <v>0</v>
      </c>
      <c r="G10" s="153">
        <v>0</v>
      </c>
      <c r="H10" s="155" t="e">
        <f t="shared" si="0"/>
        <v>#DIV/0!</v>
      </c>
      <c r="I10" s="647"/>
      <c r="J10" s="647"/>
      <c r="K10" s="647"/>
      <c r="L10" s="647"/>
      <c r="M10" s="647"/>
      <c r="N10" s="647"/>
    </row>
    <row r="11" spans="1:14">
      <c r="A11" s="95">
        <v>4</v>
      </c>
      <c r="B11" s="1" t="s">
        <v>53</v>
      </c>
      <c r="C11" s="152">
        <v>0</v>
      </c>
      <c r="D11" s="152"/>
      <c r="E11" s="152"/>
      <c r="F11" s="152">
        <v>0</v>
      </c>
      <c r="G11" s="153">
        <v>0</v>
      </c>
      <c r="H11" s="155" t="e">
        <f t="shared" si="0"/>
        <v>#DIV/0!</v>
      </c>
      <c r="I11" s="647"/>
      <c r="J11" s="647"/>
      <c r="K11" s="647"/>
      <c r="L11" s="647"/>
      <c r="M11" s="647"/>
      <c r="N11" s="647"/>
    </row>
    <row r="12" spans="1:14">
      <c r="A12" s="95">
        <v>5</v>
      </c>
      <c r="B12" s="1" t="s">
        <v>54</v>
      </c>
      <c r="C12" s="152">
        <v>0</v>
      </c>
      <c r="D12" s="152"/>
      <c r="E12" s="152"/>
      <c r="F12" s="152">
        <v>0</v>
      </c>
      <c r="G12" s="153">
        <v>0</v>
      </c>
      <c r="H12" s="155" t="e">
        <f t="shared" si="0"/>
        <v>#DIV/0!</v>
      </c>
      <c r="I12" s="647"/>
      <c r="J12" s="647"/>
      <c r="K12" s="647"/>
      <c r="L12" s="647"/>
      <c r="M12" s="647"/>
      <c r="N12" s="647"/>
    </row>
    <row r="13" spans="1:14">
      <c r="A13" s="95">
        <v>6</v>
      </c>
      <c r="B13" s="1" t="s">
        <v>55</v>
      </c>
      <c r="C13" s="152">
        <v>88242141.158400014</v>
      </c>
      <c r="D13" s="152">
        <v>1395582.9313000001</v>
      </c>
      <c r="E13" s="152">
        <v>697791.4656</v>
      </c>
      <c r="F13" s="152">
        <v>36452790.351239994</v>
      </c>
      <c r="G13" s="153">
        <v>36452790.351239994</v>
      </c>
      <c r="H13" s="155">
        <f t="shared" si="0"/>
        <v>0.40985853345928197</v>
      </c>
      <c r="I13" s="647"/>
      <c r="J13" s="647"/>
      <c r="K13" s="647"/>
      <c r="L13" s="647"/>
      <c r="M13" s="647"/>
      <c r="N13" s="647"/>
    </row>
    <row r="14" spans="1:14">
      <c r="A14" s="95">
        <v>7</v>
      </c>
      <c r="B14" s="1" t="s">
        <v>56</v>
      </c>
      <c r="C14" s="152">
        <v>500133626.94150001</v>
      </c>
      <c r="D14" s="152">
        <v>99182971.672900006</v>
      </c>
      <c r="E14" s="152">
        <v>36101530.048100002</v>
      </c>
      <c r="F14" s="152">
        <v>536235156.9896</v>
      </c>
      <c r="G14" s="153">
        <v>479675812.83429998</v>
      </c>
      <c r="H14" s="155">
        <f t="shared" si="0"/>
        <v>0.89452511007890334</v>
      </c>
      <c r="I14" s="647"/>
      <c r="J14" s="647"/>
      <c r="K14" s="647"/>
      <c r="L14" s="647"/>
      <c r="M14" s="647"/>
      <c r="N14" s="647"/>
    </row>
    <row r="15" spans="1:14">
      <c r="A15" s="95">
        <v>8</v>
      </c>
      <c r="B15" s="1" t="s">
        <v>57</v>
      </c>
      <c r="C15" s="152">
        <v>0</v>
      </c>
      <c r="D15" s="152">
        <v>0</v>
      </c>
      <c r="E15" s="152">
        <v>0</v>
      </c>
      <c r="F15" s="152">
        <v>0</v>
      </c>
      <c r="G15" s="153">
        <v>0</v>
      </c>
      <c r="H15" s="155" t="e">
        <f t="shared" si="0"/>
        <v>#DIV/0!</v>
      </c>
      <c r="I15" s="647"/>
      <c r="J15" s="647"/>
      <c r="K15" s="647"/>
      <c r="L15" s="647"/>
      <c r="M15" s="647"/>
      <c r="N15" s="647"/>
    </row>
    <row r="16" spans="1:14">
      <c r="A16" s="95">
        <v>9</v>
      </c>
      <c r="B16" s="1" t="s">
        <v>58</v>
      </c>
      <c r="C16" s="152">
        <v>0</v>
      </c>
      <c r="D16" s="152">
        <v>0</v>
      </c>
      <c r="E16" s="152">
        <v>0</v>
      </c>
      <c r="F16" s="152">
        <v>0</v>
      </c>
      <c r="G16" s="153">
        <v>0</v>
      </c>
      <c r="H16" s="155" t="e">
        <f t="shared" si="0"/>
        <v>#DIV/0!</v>
      </c>
      <c r="I16" s="647"/>
      <c r="J16" s="647"/>
      <c r="K16" s="647"/>
      <c r="L16" s="647"/>
      <c r="M16" s="647"/>
      <c r="N16" s="647"/>
    </row>
    <row r="17" spans="1:14">
      <c r="A17" s="95">
        <v>10</v>
      </c>
      <c r="B17" s="1" t="s">
        <v>59</v>
      </c>
      <c r="C17" s="152">
        <v>15492790.911999999</v>
      </c>
      <c r="D17" s="152"/>
      <c r="E17" s="152"/>
      <c r="F17" s="152">
        <v>20864720.424449999</v>
      </c>
      <c r="G17" s="153">
        <v>20864720.424449999</v>
      </c>
      <c r="H17" s="155">
        <f t="shared" si="0"/>
        <v>1.3467373659764008</v>
      </c>
      <c r="I17" s="647"/>
      <c r="J17" s="647"/>
      <c r="K17" s="647"/>
      <c r="L17" s="647"/>
      <c r="M17" s="647"/>
      <c r="N17" s="647"/>
    </row>
    <row r="18" spans="1:14">
      <c r="A18" s="95">
        <v>11</v>
      </c>
      <c r="B18" s="1" t="s">
        <v>60</v>
      </c>
      <c r="C18" s="152">
        <v>0</v>
      </c>
      <c r="D18" s="152"/>
      <c r="E18" s="152"/>
      <c r="F18" s="152">
        <v>0</v>
      </c>
      <c r="G18" s="153">
        <v>0</v>
      </c>
      <c r="H18" s="155" t="e">
        <f t="shared" si="0"/>
        <v>#DIV/0!</v>
      </c>
      <c r="I18" s="647"/>
      <c r="J18" s="647"/>
      <c r="K18" s="647"/>
      <c r="L18" s="647"/>
      <c r="M18" s="647"/>
      <c r="N18" s="647"/>
    </row>
    <row r="19" spans="1:14">
      <c r="A19" s="95">
        <v>12</v>
      </c>
      <c r="B19" s="1" t="s">
        <v>61</v>
      </c>
      <c r="C19" s="152">
        <v>0</v>
      </c>
      <c r="D19" s="152"/>
      <c r="E19" s="152"/>
      <c r="F19" s="152">
        <v>0</v>
      </c>
      <c r="G19" s="153">
        <v>0</v>
      </c>
      <c r="H19" s="155" t="e">
        <f t="shared" si="0"/>
        <v>#DIV/0!</v>
      </c>
      <c r="I19" s="647"/>
      <c r="J19" s="647"/>
      <c r="K19" s="647"/>
      <c r="L19" s="647"/>
      <c r="M19" s="647"/>
      <c r="N19" s="647"/>
    </row>
    <row r="20" spans="1:14">
      <c r="A20" s="95">
        <v>13</v>
      </c>
      <c r="B20" s="1" t="s">
        <v>144</v>
      </c>
      <c r="C20" s="152">
        <v>0</v>
      </c>
      <c r="D20" s="152"/>
      <c r="E20" s="152"/>
      <c r="F20" s="152">
        <v>0</v>
      </c>
      <c r="G20" s="153">
        <v>0</v>
      </c>
      <c r="H20" s="155" t="e">
        <f t="shared" si="0"/>
        <v>#DIV/0!</v>
      </c>
      <c r="I20" s="647"/>
      <c r="J20" s="647"/>
      <c r="K20" s="647"/>
      <c r="L20" s="647"/>
      <c r="M20" s="647"/>
      <c r="N20" s="647"/>
    </row>
    <row r="21" spans="1:14">
      <c r="A21" s="95">
        <v>14</v>
      </c>
      <c r="B21" s="1" t="s">
        <v>63</v>
      </c>
      <c r="C21" s="152">
        <v>22653667.7108</v>
      </c>
      <c r="D21" s="152"/>
      <c r="E21" s="152"/>
      <c r="F21" s="152">
        <v>20018950.169399999</v>
      </c>
      <c r="G21" s="153">
        <v>20018950.169399999</v>
      </c>
      <c r="H21" s="155">
        <f t="shared" si="0"/>
        <v>0.88369576286563456</v>
      </c>
      <c r="I21" s="647"/>
      <c r="J21" s="647"/>
      <c r="K21" s="647"/>
      <c r="L21" s="647"/>
      <c r="M21" s="647"/>
      <c r="N21" s="647"/>
    </row>
    <row r="22" spans="1:14" ht="14.4" thickBot="1">
      <c r="A22" s="98"/>
      <c r="B22" s="99" t="s">
        <v>64</v>
      </c>
      <c r="C22" s="154">
        <f>SUM(C8:C21)</f>
        <v>663623563.90789998</v>
      </c>
      <c r="D22" s="154">
        <f>SUM(D8:D21)</f>
        <v>100578554.60420001</v>
      </c>
      <c r="E22" s="154">
        <f>SUM(E8:E21)</f>
        <v>36799321.513700001</v>
      </c>
      <c r="F22" s="154">
        <f>SUM(F8:F21)</f>
        <v>640623625.54989004</v>
      </c>
      <c r="G22" s="154">
        <f>SUM(G8:G21)</f>
        <v>584064281.39459002</v>
      </c>
      <c r="H22" s="156">
        <f>G22/(C22+E22)</f>
        <v>0.83387378332595297</v>
      </c>
      <c r="I22" s="647"/>
      <c r="J22" s="647"/>
      <c r="K22" s="647"/>
      <c r="L22" s="647"/>
      <c r="M22" s="647"/>
      <c r="N22" s="647"/>
    </row>
    <row r="24" spans="1:14">
      <c r="C24" s="563"/>
      <c r="D24" s="563"/>
      <c r="E24" s="563"/>
      <c r="F24" s="563"/>
      <c r="G24" s="563"/>
      <c r="H24" s="563"/>
    </row>
    <row r="25" spans="1:14">
      <c r="C25" s="563"/>
      <c r="D25" s="563"/>
      <c r="E25" s="563"/>
      <c r="F25" s="563"/>
      <c r="G25" s="563"/>
      <c r="H25" s="563"/>
    </row>
    <row r="26" spans="1:14">
      <c r="C26" s="563"/>
      <c r="D26" s="563"/>
      <c r="E26" s="563"/>
      <c r="F26" s="563"/>
      <c r="G26" s="563"/>
      <c r="H26" s="563"/>
    </row>
    <row r="27" spans="1:14">
      <c r="C27" s="563"/>
      <c r="D27" s="563"/>
      <c r="E27" s="563"/>
      <c r="F27" s="563"/>
      <c r="G27" s="563"/>
      <c r="H27" s="563"/>
    </row>
    <row r="28" spans="1:14">
      <c r="C28" s="563"/>
      <c r="D28" s="563"/>
      <c r="E28" s="563"/>
      <c r="F28" s="563"/>
      <c r="G28" s="563"/>
      <c r="H28" s="563"/>
    </row>
    <row r="29" spans="1:14">
      <c r="C29" s="563"/>
      <c r="D29" s="563"/>
      <c r="E29" s="563"/>
      <c r="F29" s="563"/>
      <c r="G29" s="563"/>
      <c r="H29" s="563"/>
    </row>
    <row r="30" spans="1:14">
      <c r="C30" s="563"/>
      <c r="D30" s="563"/>
      <c r="E30" s="563"/>
      <c r="F30" s="563"/>
      <c r="G30" s="563"/>
      <c r="H30" s="563"/>
    </row>
    <row r="31" spans="1:14">
      <c r="C31" s="563"/>
      <c r="D31" s="563"/>
      <c r="E31" s="563"/>
      <c r="F31" s="563"/>
      <c r="G31" s="563"/>
      <c r="H31" s="563"/>
    </row>
    <row r="32" spans="1:14">
      <c r="C32" s="563"/>
      <c r="D32" s="563"/>
      <c r="E32" s="563"/>
      <c r="F32" s="563"/>
      <c r="G32" s="563"/>
      <c r="H32" s="563"/>
    </row>
    <row r="33" spans="3:8">
      <c r="C33" s="563"/>
      <c r="D33" s="563"/>
      <c r="E33" s="563"/>
      <c r="F33" s="563"/>
      <c r="G33" s="563"/>
      <c r="H33" s="563"/>
    </row>
    <row r="34" spans="3:8">
      <c r="C34" s="563"/>
      <c r="D34" s="563"/>
      <c r="E34" s="563"/>
      <c r="F34" s="563"/>
      <c r="G34" s="563"/>
      <c r="H34" s="563"/>
    </row>
    <row r="35" spans="3:8">
      <c r="C35" s="563"/>
      <c r="D35" s="563"/>
      <c r="E35" s="563"/>
      <c r="F35" s="563"/>
      <c r="G35" s="563"/>
      <c r="H35" s="563"/>
    </row>
    <row r="36" spans="3:8">
      <c r="C36" s="563"/>
      <c r="D36" s="563"/>
      <c r="E36" s="563"/>
      <c r="F36" s="563"/>
      <c r="G36" s="563"/>
      <c r="H36" s="563"/>
    </row>
    <row r="37" spans="3:8">
      <c r="C37" s="563"/>
      <c r="D37" s="563"/>
      <c r="E37" s="563"/>
      <c r="F37" s="563"/>
      <c r="G37" s="563"/>
      <c r="H37" s="563"/>
    </row>
    <row r="38" spans="3:8">
      <c r="C38" s="563"/>
      <c r="D38" s="563"/>
      <c r="E38" s="563"/>
      <c r="F38" s="563"/>
      <c r="G38" s="563"/>
      <c r="H38" s="563"/>
    </row>
    <row r="39" spans="3:8">
      <c r="C39" s="563"/>
      <c r="D39" s="563"/>
      <c r="E39" s="563"/>
      <c r="F39" s="563"/>
      <c r="G39" s="563"/>
      <c r="H39" s="563"/>
    </row>
    <row r="40" spans="3:8">
      <c r="C40" s="563"/>
      <c r="D40" s="563"/>
      <c r="E40" s="563"/>
      <c r="F40" s="563"/>
      <c r="G40" s="563"/>
      <c r="H40" s="563"/>
    </row>
  </sheetData>
  <mergeCells count="6">
    <mergeCell ref="H6:H7"/>
    <mergeCell ref="B6:B7"/>
    <mergeCell ref="C6:C7"/>
    <mergeCell ref="D6:E6"/>
    <mergeCell ref="F6:F7"/>
    <mergeCell ref="G6:G7"/>
  </mergeCells>
  <pageMargins left="0.7" right="0.7" top="0.75" bottom="0.75" header="0.3" footer="0.3"/>
  <pageSetup paperSize="9" scale="42" orientation="portrait" horizontalDpi="300" verticalDpi="300" r:id="rId1"/>
  <headerFooter>
    <oddFooter>&amp;C_x000D_&amp;1#&amp;"Aptos"&amp;10&amp;K000000 C4 - EXTERNAL CONFIDENTIAL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47"/>
  <sheetViews>
    <sheetView zoomScale="80" zoomScaleNormal="80" workbookViewId="0">
      <pane xSplit="2" ySplit="6" topLeftCell="C7" activePane="bottomRight" state="frozen"/>
      <selection activeCell="B42" sqref="B42"/>
      <selection pane="topRight" activeCell="B42" sqref="B42"/>
      <selection pane="bottomLeft" activeCell="B42" sqref="B42"/>
      <selection pane="bottomRight" activeCell="F27" sqref="F27"/>
    </sheetView>
  </sheetViews>
  <sheetFormatPr defaultColWidth="9.21875" defaultRowHeight="13.8"/>
  <cols>
    <col min="1" max="1" width="10.5546875" style="127" bestFit="1" customWidth="1"/>
    <col min="2" max="2" width="104.21875" style="127" customWidth="1"/>
    <col min="3" max="11" width="14.6640625" style="127" customWidth="1"/>
    <col min="12" max="16384" width="9.21875" style="127"/>
  </cols>
  <sheetData>
    <row r="1" spans="1:11">
      <c r="A1" s="127" t="s">
        <v>30</v>
      </c>
      <c r="B1" s="3" t="str">
        <f>'Info '!C2</f>
        <v xml:space="preserve">PASHA Bank Georgia JSC </v>
      </c>
    </row>
    <row r="2" spans="1:11">
      <c r="A2" s="127" t="s">
        <v>31</v>
      </c>
      <c r="B2" s="253">
        <f>'1. key ratios '!B2</f>
        <v>46112</v>
      </c>
    </row>
    <row r="4" spans="1:11" ht="14.4" thickBot="1">
      <c r="A4" s="127" t="s">
        <v>146</v>
      </c>
      <c r="B4" s="192" t="s">
        <v>240</v>
      </c>
    </row>
    <row r="5" spans="1:11" ht="30" customHeight="1">
      <c r="A5" s="787"/>
      <c r="B5" s="788"/>
      <c r="C5" s="789" t="s">
        <v>292</v>
      </c>
      <c r="D5" s="789"/>
      <c r="E5" s="789"/>
      <c r="F5" s="789" t="s">
        <v>293</v>
      </c>
      <c r="G5" s="789"/>
      <c r="H5" s="789"/>
      <c r="I5" s="789" t="s">
        <v>294</v>
      </c>
      <c r="J5" s="789"/>
      <c r="K5" s="790"/>
    </row>
    <row r="6" spans="1:11">
      <c r="A6" s="166"/>
      <c r="B6" s="167"/>
      <c r="C6" s="15" t="s">
        <v>32</v>
      </c>
      <c r="D6" s="15" t="s">
        <v>33</v>
      </c>
      <c r="E6" s="15" t="s">
        <v>34</v>
      </c>
      <c r="F6" s="15" t="s">
        <v>32</v>
      </c>
      <c r="G6" s="15" t="s">
        <v>33</v>
      </c>
      <c r="H6" s="15" t="s">
        <v>34</v>
      </c>
      <c r="I6" s="15" t="s">
        <v>32</v>
      </c>
      <c r="J6" s="15" t="s">
        <v>33</v>
      </c>
      <c r="K6" s="15" t="s">
        <v>34</v>
      </c>
    </row>
    <row r="7" spans="1:11">
      <c r="A7" s="168" t="s">
        <v>243</v>
      </c>
      <c r="B7" s="169"/>
      <c r="C7" s="169"/>
      <c r="D7" s="169"/>
      <c r="E7" s="169"/>
      <c r="F7" s="169"/>
      <c r="G7" s="169"/>
      <c r="H7" s="169"/>
      <c r="I7" s="169"/>
      <c r="J7" s="169"/>
      <c r="K7" s="170"/>
    </row>
    <row r="8" spans="1:11">
      <c r="A8" s="171">
        <v>1</v>
      </c>
      <c r="B8" s="172" t="s">
        <v>241</v>
      </c>
      <c r="C8" s="605"/>
      <c r="D8" s="605"/>
      <c r="E8" s="605"/>
      <c r="F8" s="606">
        <v>98031518.302395508</v>
      </c>
      <c r="G8" s="606">
        <v>96733723.325324476</v>
      </c>
      <c r="H8" s="606">
        <v>194765241.62771997</v>
      </c>
      <c r="I8" s="606">
        <v>71987752.991999984</v>
      </c>
      <c r="J8" s="606">
        <v>33120588.493577767</v>
      </c>
      <c r="K8" s="607">
        <v>105108341.48557778</v>
      </c>
    </row>
    <row r="9" spans="1:11">
      <c r="A9" s="168" t="s">
        <v>244</v>
      </c>
      <c r="B9" s="169"/>
      <c r="C9" s="608"/>
      <c r="D9" s="608"/>
      <c r="E9" s="608"/>
      <c r="F9" s="608"/>
      <c r="G9" s="608"/>
      <c r="H9" s="608"/>
      <c r="I9" s="608"/>
      <c r="J9" s="608"/>
      <c r="K9" s="609"/>
    </row>
    <row r="10" spans="1:11">
      <c r="A10" s="174">
        <v>2</v>
      </c>
      <c r="B10" s="175" t="s">
        <v>252</v>
      </c>
      <c r="C10" s="610">
        <v>26277870.057155546</v>
      </c>
      <c r="D10" s="611">
        <v>54744399.817805573</v>
      </c>
      <c r="E10" s="611">
        <v>81022269.874961108</v>
      </c>
      <c r="F10" s="611">
        <v>8009860.8302705539</v>
      </c>
      <c r="G10" s="611">
        <v>10314204.557689561</v>
      </c>
      <c r="H10" s="611">
        <v>18324065.387960117</v>
      </c>
      <c r="I10" s="611">
        <v>1744097.3372166667</v>
      </c>
      <c r="J10" s="611">
        <v>2571870.1329082209</v>
      </c>
      <c r="K10" s="612">
        <v>4315967.4701248901</v>
      </c>
    </row>
    <row r="11" spans="1:11">
      <c r="A11" s="174">
        <v>3</v>
      </c>
      <c r="B11" s="175" t="s">
        <v>246</v>
      </c>
      <c r="C11" s="610">
        <v>189916453.66422218</v>
      </c>
      <c r="D11" s="611">
        <v>212952867.77713886</v>
      </c>
      <c r="E11" s="611">
        <v>402869321.44136125</v>
      </c>
      <c r="F11" s="611">
        <v>55377305.52761668</v>
      </c>
      <c r="G11" s="611">
        <v>41682484.382703744</v>
      </c>
      <c r="H11" s="611">
        <v>97059789.910320476</v>
      </c>
      <c r="I11" s="611">
        <v>49523765.286065556</v>
      </c>
      <c r="J11" s="611">
        <v>31212664.701674901</v>
      </c>
      <c r="K11" s="612">
        <v>80736429.987740457</v>
      </c>
    </row>
    <row r="12" spans="1:11">
      <c r="A12" s="174">
        <v>4</v>
      </c>
      <c r="B12" s="175" t="s">
        <v>247</v>
      </c>
      <c r="C12" s="610">
        <v>18055555.555555556</v>
      </c>
      <c r="D12" s="611">
        <v>0</v>
      </c>
      <c r="E12" s="611">
        <v>18055555.555555556</v>
      </c>
      <c r="F12" s="611">
        <v>0</v>
      </c>
      <c r="G12" s="611">
        <v>0</v>
      </c>
      <c r="H12" s="611">
        <v>0</v>
      </c>
      <c r="I12" s="611">
        <v>0</v>
      </c>
      <c r="J12" s="611">
        <v>0</v>
      </c>
      <c r="K12" s="612">
        <v>0</v>
      </c>
    </row>
    <row r="13" spans="1:11">
      <c r="A13" s="174">
        <v>5</v>
      </c>
      <c r="B13" s="175" t="s">
        <v>255</v>
      </c>
      <c r="C13" s="610">
        <v>30246235.998777788</v>
      </c>
      <c r="D13" s="611">
        <v>59854895.561104402</v>
      </c>
      <c r="E13" s="611">
        <v>90101131.559882224</v>
      </c>
      <c r="F13" s="611">
        <v>4041821.8388588899</v>
      </c>
      <c r="G13" s="611">
        <v>13962799.155154161</v>
      </c>
      <c r="H13" s="611">
        <v>18004620.994013052</v>
      </c>
      <c r="I13" s="611">
        <v>1885538.8656666677</v>
      </c>
      <c r="J13" s="611">
        <v>5156905.3095347797</v>
      </c>
      <c r="K13" s="612">
        <v>7042444.1752014384</v>
      </c>
    </row>
    <row r="14" spans="1:11">
      <c r="A14" s="174">
        <v>6</v>
      </c>
      <c r="B14" s="175" t="s">
        <v>287</v>
      </c>
      <c r="C14" s="610">
        <v>0</v>
      </c>
      <c r="D14" s="611">
        <v>0</v>
      </c>
      <c r="E14" s="611">
        <v>0</v>
      </c>
      <c r="F14" s="611">
        <v>0</v>
      </c>
      <c r="G14" s="611">
        <v>0</v>
      </c>
      <c r="H14" s="611">
        <v>0</v>
      </c>
      <c r="I14" s="611">
        <v>0</v>
      </c>
      <c r="J14" s="611">
        <v>0</v>
      </c>
      <c r="K14" s="612">
        <v>0</v>
      </c>
    </row>
    <row r="15" spans="1:11">
      <c r="A15" s="174">
        <v>7</v>
      </c>
      <c r="B15" s="175" t="s">
        <v>288</v>
      </c>
      <c r="C15" s="610">
        <v>10311298.470777778</v>
      </c>
      <c r="D15" s="611">
        <v>10177320.658195559</v>
      </c>
      <c r="E15" s="611">
        <v>20488619.12897332</v>
      </c>
      <c r="F15" s="611">
        <v>5836651.9898888897</v>
      </c>
      <c r="G15" s="611">
        <v>5124736.3986244462</v>
      </c>
      <c r="H15" s="611">
        <v>10961388.388513334</v>
      </c>
      <c r="I15" s="611">
        <v>5836651.9898888897</v>
      </c>
      <c r="J15" s="611">
        <v>5124736.3986244462</v>
      </c>
      <c r="K15" s="612">
        <v>10961388.388513334</v>
      </c>
    </row>
    <row r="16" spans="1:11">
      <c r="A16" s="174">
        <v>8</v>
      </c>
      <c r="B16" s="176" t="s">
        <v>248</v>
      </c>
      <c r="C16" s="613">
        <f t="shared" ref="C16:K16" si="0">SUM(C10:C15)</f>
        <v>274807413.74648881</v>
      </c>
      <c r="D16" s="613">
        <f t="shared" si="0"/>
        <v>337729483.81424439</v>
      </c>
      <c r="E16" s="613">
        <f t="shared" si="0"/>
        <v>612536897.56073344</v>
      </c>
      <c r="F16" s="613">
        <f t="shared" si="0"/>
        <v>73265640.186635017</v>
      </c>
      <c r="G16" s="613">
        <f t="shared" si="0"/>
        <v>71084224.494171917</v>
      </c>
      <c r="H16" s="613">
        <f t="shared" si="0"/>
        <v>144349864.68080699</v>
      </c>
      <c r="I16" s="613">
        <f t="shared" si="0"/>
        <v>58990053.478837781</v>
      </c>
      <c r="J16" s="613">
        <f t="shared" si="0"/>
        <v>44066176.542742342</v>
      </c>
      <c r="K16" s="613">
        <f t="shared" si="0"/>
        <v>103056230.0215801</v>
      </c>
    </row>
    <row r="17" spans="1:11">
      <c r="A17" s="168" t="s">
        <v>245</v>
      </c>
      <c r="B17" s="169"/>
      <c r="C17" s="608"/>
      <c r="D17" s="608"/>
      <c r="E17" s="608"/>
      <c r="F17" s="608"/>
      <c r="G17" s="608"/>
      <c r="H17" s="608"/>
      <c r="I17" s="608"/>
      <c r="J17" s="608"/>
      <c r="K17" s="609"/>
    </row>
    <row r="18" spans="1:11">
      <c r="A18" s="174">
        <v>9</v>
      </c>
      <c r="B18" s="175" t="s">
        <v>251</v>
      </c>
      <c r="C18" s="610">
        <v>0</v>
      </c>
      <c r="D18" s="611">
        <v>0</v>
      </c>
      <c r="E18" s="611">
        <v>0</v>
      </c>
      <c r="F18" s="611">
        <v>0</v>
      </c>
      <c r="G18" s="611">
        <v>0</v>
      </c>
      <c r="H18" s="611">
        <v>0</v>
      </c>
      <c r="I18" s="611">
        <v>0</v>
      </c>
      <c r="J18" s="611">
        <v>0</v>
      </c>
      <c r="K18" s="612">
        <v>0</v>
      </c>
    </row>
    <row r="19" spans="1:11">
      <c r="A19" s="174">
        <v>10</v>
      </c>
      <c r="B19" s="175" t="s">
        <v>289</v>
      </c>
      <c r="C19" s="610">
        <v>146431718.34534118</v>
      </c>
      <c r="D19" s="611">
        <v>330418327.92343986</v>
      </c>
      <c r="E19" s="611">
        <v>476850046.26878095</v>
      </c>
      <c r="F19" s="611">
        <v>1958676.904742222</v>
      </c>
      <c r="G19" s="611">
        <v>3834124.0849827807</v>
      </c>
      <c r="H19" s="611">
        <v>5792800.9897249993</v>
      </c>
      <c r="I19" s="611">
        <v>29635747.100915547</v>
      </c>
      <c r="J19" s="611">
        <v>71086648.891157195</v>
      </c>
      <c r="K19" s="612">
        <v>100722395.99207272</v>
      </c>
    </row>
    <row r="20" spans="1:11">
      <c r="A20" s="174">
        <v>11</v>
      </c>
      <c r="B20" s="175" t="s">
        <v>250</v>
      </c>
      <c r="C20" s="610">
        <v>34922099.639315538</v>
      </c>
      <c r="D20" s="611">
        <v>5582309.8761500046</v>
      </c>
      <c r="E20" s="611">
        <v>40504409.515465565</v>
      </c>
      <c r="F20" s="611">
        <v>800701.73699444428</v>
      </c>
      <c r="G20" s="611">
        <v>337710.48339666653</v>
      </c>
      <c r="H20" s="611">
        <v>1138412.220391111</v>
      </c>
      <c r="I20" s="611">
        <v>800701.73699444428</v>
      </c>
      <c r="J20" s="611">
        <v>337710.48339666653</v>
      </c>
      <c r="K20" s="612">
        <v>1138412.220391111</v>
      </c>
    </row>
    <row r="21" spans="1:11" ht="14.4" thickBot="1">
      <c r="A21" s="177">
        <v>12</v>
      </c>
      <c r="B21" s="178" t="s">
        <v>249</v>
      </c>
      <c r="C21" s="614">
        <f>SUM(C18:C20)</f>
        <v>181353817.98465672</v>
      </c>
      <c r="D21" s="614">
        <f t="shared" ref="D21:K21" si="1">SUM(D18:D20)</f>
        <v>336000637.79958987</v>
      </c>
      <c r="E21" s="614">
        <f t="shared" si="1"/>
        <v>517354455.7842465</v>
      </c>
      <c r="F21" s="614">
        <f t="shared" si="1"/>
        <v>2759378.6417366662</v>
      </c>
      <c r="G21" s="614">
        <f t="shared" si="1"/>
        <v>4171834.5683794473</v>
      </c>
      <c r="H21" s="614">
        <f t="shared" si="1"/>
        <v>6931213.2101161107</v>
      </c>
      <c r="I21" s="614">
        <f t="shared" si="1"/>
        <v>30436448.837909993</v>
      </c>
      <c r="J21" s="614">
        <f t="shared" si="1"/>
        <v>71424359.374553859</v>
      </c>
      <c r="K21" s="614">
        <f t="shared" si="1"/>
        <v>101860808.21246383</v>
      </c>
    </row>
    <row r="22" spans="1:11" ht="38.25" customHeight="1" thickBot="1">
      <c r="A22" s="179"/>
      <c r="B22" s="180"/>
      <c r="C22" s="180"/>
      <c r="D22" s="180"/>
      <c r="E22" s="180"/>
      <c r="F22" s="791" t="s">
        <v>291</v>
      </c>
      <c r="G22" s="789"/>
      <c r="H22" s="789"/>
      <c r="I22" s="791" t="s">
        <v>256</v>
      </c>
      <c r="J22" s="789"/>
      <c r="K22" s="790"/>
    </row>
    <row r="23" spans="1:11">
      <c r="A23" s="181">
        <v>13</v>
      </c>
      <c r="B23" s="182" t="s">
        <v>241</v>
      </c>
      <c r="C23" s="183"/>
      <c r="D23" s="183"/>
      <c r="E23" s="183"/>
      <c r="F23" s="564">
        <f>F8</f>
        <v>98031518.302395508</v>
      </c>
      <c r="G23" s="564">
        <f t="shared" ref="G23:H23" si="2">G8</f>
        <v>96733723.325324476</v>
      </c>
      <c r="H23" s="564">
        <f t="shared" si="2"/>
        <v>194765241.62771997</v>
      </c>
      <c r="I23" s="564">
        <f>I8</f>
        <v>71987752.991999984</v>
      </c>
      <c r="J23" s="564">
        <f t="shared" ref="J23:K23" si="3">J8</f>
        <v>33120588.493577767</v>
      </c>
      <c r="K23" s="565">
        <f t="shared" si="3"/>
        <v>105108341.48557778</v>
      </c>
    </row>
    <row r="24" spans="1:11" ht="14.4" thickBot="1">
      <c r="A24" s="184">
        <v>14</v>
      </c>
      <c r="B24" s="185" t="s">
        <v>253</v>
      </c>
      <c r="C24" s="186"/>
      <c r="D24" s="187"/>
      <c r="E24" s="188"/>
      <c r="F24" s="566">
        <f>MAX(F16-F21,F16*0.25)</f>
        <v>70506261.544898346</v>
      </c>
      <c r="G24" s="566">
        <f t="shared" ref="G24:H24" si="4">MAX(G16-G21,G16*0.25)</f>
        <v>66912389.925792471</v>
      </c>
      <c r="H24" s="566">
        <f t="shared" si="4"/>
        <v>137418651.47069088</v>
      </c>
      <c r="I24" s="566">
        <f>MAX(I16-I21,I16*0.25)</f>
        <v>28553604.640927788</v>
      </c>
      <c r="J24" s="566">
        <f t="shared" ref="J24:K24" si="5">MAX(J16-J21,J16*0.25)</f>
        <v>11016544.135685585</v>
      </c>
      <c r="K24" s="567">
        <f t="shared" si="5"/>
        <v>25764057.505395025</v>
      </c>
    </row>
    <row r="25" spans="1:11" ht="14.4" thickBot="1">
      <c r="A25" s="189">
        <v>15</v>
      </c>
      <c r="B25" s="190" t="s">
        <v>254</v>
      </c>
      <c r="C25" s="191"/>
      <c r="D25" s="191"/>
      <c r="E25" s="191"/>
      <c r="F25" s="568">
        <f>F23/F24</f>
        <v>1.3903945004936773</v>
      </c>
      <c r="G25" s="568">
        <f t="shared" ref="G25:H25" si="6">G23/G24</f>
        <v>1.4456773018062068</v>
      </c>
      <c r="H25" s="568">
        <f t="shared" si="6"/>
        <v>1.4173130033171675</v>
      </c>
      <c r="I25" s="568">
        <f>I23/I24</f>
        <v>2.5211441391471512</v>
      </c>
      <c r="J25" s="568">
        <f t="shared" ref="J25:K25" si="7">J23/J24</f>
        <v>3.0064408661779121</v>
      </c>
      <c r="K25" s="568">
        <f t="shared" si="7"/>
        <v>4.0796501662662399</v>
      </c>
    </row>
    <row r="27" spans="1:11" ht="27">
      <c r="B27" s="165" t="s">
        <v>290</v>
      </c>
    </row>
    <row r="28" spans="1:11">
      <c r="C28" s="546"/>
      <c r="D28" s="546"/>
      <c r="E28" s="546"/>
      <c r="F28" s="546"/>
      <c r="G28" s="546"/>
      <c r="H28" s="546"/>
      <c r="I28" s="546"/>
      <c r="J28" s="546"/>
      <c r="K28" s="546"/>
    </row>
    <row r="29" spans="1:11">
      <c r="C29" s="546"/>
      <c r="D29" s="546"/>
      <c r="E29" s="546"/>
      <c r="F29" s="546"/>
      <c r="G29" s="546"/>
      <c r="H29" s="546"/>
      <c r="I29" s="546"/>
      <c r="J29" s="546"/>
      <c r="K29" s="546"/>
    </row>
    <row r="30" spans="1:11">
      <c r="C30" s="546"/>
      <c r="D30" s="546"/>
      <c r="E30" s="546"/>
      <c r="F30" s="546"/>
      <c r="G30" s="546"/>
      <c r="H30" s="546"/>
      <c r="I30" s="546"/>
      <c r="J30" s="546"/>
      <c r="K30" s="546"/>
    </row>
    <row r="31" spans="1:11">
      <c r="C31" s="546"/>
      <c r="D31" s="546"/>
      <c r="E31" s="546"/>
      <c r="F31" s="546"/>
      <c r="G31" s="546"/>
      <c r="H31" s="546"/>
      <c r="I31" s="546"/>
      <c r="J31" s="546"/>
      <c r="K31" s="546"/>
    </row>
    <row r="32" spans="1:11">
      <c r="C32" s="546"/>
      <c r="D32" s="546"/>
      <c r="E32" s="546"/>
      <c r="F32" s="546"/>
      <c r="G32" s="546"/>
      <c r="H32" s="546"/>
      <c r="I32" s="546"/>
      <c r="J32" s="546"/>
      <c r="K32" s="546"/>
    </row>
    <row r="33" spans="3:11">
      <c r="C33" s="546"/>
      <c r="D33" s="546"/>
      <c r="E33" s="546"/>
      <c r="F33" s="546"/>
      <c r="G33" s="546"/>
      <c r="H33" s="546"/>
      <c r="I33" s="546"/>
      <c r="J33" s="546"/>
      <c r="K33" s="546"/>
    </row>
    <row r="34" spans="3:11">
      <c r="C34" s="546"/>
      <c r="D34" s="546"/>
      <c r="E34" s="546"/>
      <c r="F34" s="546"/>
      <c r="G34" s="546"/>
      <c r="H34" s="546"/>
      <c r="I34" s="546"/>
      <c r="J34" s="546"/>
      <c r="K34" s="546"/>
    </row>
    <row r="35" spans="3:11">
      <c r="C35" s="546"/>
      <c r="D35" s="546"/>
      <c r="E35" s="546"/>
      <c r="F35" s="546"/>
      <c r="G35" s="546"/>
      <c r="H35" s="546"/>
      <c r="I35" s="546"/>
      <c r="J35" s="546"/>
      <c r="K35" s="546"/>
    </row>
    <row r="36" spans="3:11">
      <c r="C36" s="546"/>
      <c r="D36" s="546"/>
      <c r="E36" s="546"/>
      <c r="F36" s="546"/>
      <c r="G36" s="546"/>
      <c r="H36" s="546"/>
      <c r="I36" s="546"/>
      <c r="J36" s="546"/>
      <c r="K36" s="546"/>
    </row>
    <row r="37" spans="3:11">
      <c r="C37" s="546"/>
      <c r="D37" s="546"/>
      <c r="E37" s="546"/>
      <c r="F37" s="546"/>
      <c r="G37" s="546"/>
      <c r="H37" s="546"/>
      <c r="I37" s="546"/>
      <c r="J37" s="546"/>
      <c r="K37" s="546"/>
    </row>
    <row r="38" spans="3:11">
      <c r="C38" s="546"/>
      <c r="D38" s="546"/>
      <c r="E38" s="546"/>
      <c r="F38" s="546"/>
      <c r="G38" s="546"/>
      <c r="H38" s="546"/>
      <c r="I38" s="546"/>
      <c r="J38" s="546"/>
      <c r="K38" s="546"/>
    </row>
    <row r="39" spans="3:11">
      <c r="C39" s="546"/>
      <c r="D39" s="546"/>
      <c r="E39" s="546"/>
      <c r="F39" s="546"/>
      <c r="G39" s="546"/>
      <c r="H39" s="546"/>
      <c r="I39" s="546"/>
      <c r="J39" s="546"/>
      <c r="K39" s="546"/>
    </row>
    <row r="40" spans="3:11">
      <c r="C40" s="546"/>
      <c r="D40" s="546"/>
      <c r="E40" s="546"/>
      <c r="F40" s="546"/>
      <c r="G40" s="546"/>
      <c r="H40" s="546"/>
      <c r="I40" s="546"/>
      <c r="J40" s="546"/>
      <c r="K40" s="546"/>
    </row>
    <row r="41" spans="3:11">
      <c r="C41" s="546"/>
      <c r="D41" s="546"/>
      <c r="E41" s="546"/>
      <c r="F41" s="546"/>
      <c r="G41" s="546"/>
      <c r="H41" s="546"/>
      <c r="I41" s="546"/>
      <c r="J41" s="546"/>
      <c r="K41" s="546"/>
    </row>
    <row r="42" spans="3:11">
      <c r="C42" s="546"/>
      <c r="D42" s="546"/>
      <c r="E42" s="546"/>
      <c r="F42" s="546"/>
      <c r="G42" s="546"/>
      <c r="H42" s="546"/>
      <c r="I42" s="546"/>
      <c r="J42" s="546"/>
      <c r="K42" s="546"/>
    </row>
    <row r="43" spans="3:11">
      <c r="C43" s="651"/>
      <c r="D43" s="651"/>
      <c r="E43" s="651"/>
      <c r="F43" s="546"/>
      <c r="G43" s="546"/>
      <c r="H43" s="546"/>
      <c r="I43" s="546"/>
      <c r="J43" s="546"/>
      <c r="K43" s="546"/>
    </row>
    <row r="44" spans="3:11">
      <c r="C44" s="651"/>
      <c r="D44" s="651"/>
      <c r="E44" s="651"/>
      <c r="F44" s="546"/>
      <c r="G44" s="546"/>
      <c r="H44" s="546"/>
      <c r="I44" s="546"/>
      <c r="J44" s="546"/>
      <c r="K44" s="546"/>
    </row>
    <row r="45" spans="3:11">
      <c r="C45" s="651"/>
      <c r="D45" s="651"/>
      <c r="E45" s="651"/>
      <c r="F45" s="652"/>
      <c r="G45" s="652"/>
      <c r="H45" s="652"/>
      <c r="I45" s="652"/>
      <c r="J45" s="652"/>
      <c r="K45" s="652"/>
    </row>
    <row r="46" spans="3:11">
      <c r="C46" s="546"/>
      <c r="D46" s="546"/>
      <c r="E46" s="546"/>
      <c r="F46" s="546"/>
      <c r="G46" s="546"/>
      <c r="H46" s="546"/>
      <c r="I46" s="546"/>
      <c r="J46" s="546"/>
      <c r="K46" s="546"/>
    </row>
    <row r="47" spans="3:11">
      <c r="C47" s="546"/>
      <c r="D47" s="546"/>
      <c r="E47" s="546"/>
      <c r="F47" s="546"/>
      <c r="G47" s="546"/>
      <c r="H47" s="546"/>
      <c r="I47" s="546"/>
      <c r="J47" s="546"/>
      <c r="K47" s="546"/>
    </row>
  </sheetData>
  <mergeCells count="6">
    <mergeCell ref="A5:B5"/>
    <mergeCell ref="C5:E5"/>
    <mergeCell ref="F5:H5"/>
    <mergeCell ref="I5:K5"/>
    <mergeCell ref="F22:H22"/>
    <mergeCell ref="I22:K22"/>
  </mergeCells>
  <pageMargins left="0.7" right="0.7" top="0.75" bottom="0.75" header="0.3" footer="0.3"/>
  <pageSetup paperSize="9" scale="35" orientation="portrait" horizontalDpi="300" verticalDpi="300" r:id="rId1"/>
  <headerFooter>
    <oddFooter>&amp;C_x000D_&amp;1#&amp;"Aptos"&amp;10&amp;K000000 C4 - EXTERNAL CONFIDENTIAL</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86"/>
  <sheetViews>
    <sheetView zoomScale="80" zoomScaleNormal="80" workbookViewId="0">
      <pane xSplit="1" ySplit="3" topLeftCell="C4" activePane="bottomRight" state="frozen"/>
      <selection activeCell="B42" sqref="B42"/>
      <selection pane="topRight" activeCell="B42" sqref="B42"/>
      <selection pane="bottomLeft" activeCell="B42" sqref="B42"/>
      <selection pane="bottomRight" activeCell="Q40" sqref="Q40"/>
    </sheetView>
  </sheetViews>
  <sheetFormatPr defaultColWidth="9.21875" defaultRowHeight="13.2"/>
  <cols>
    <col min="1" max="1" width="10.5546875" style="4" bestFit="1" customWidth="1"/>
    <col min="2" max="2" width="95" style="4" customWidth="1"/>
    <col min="3" max="3" width="13.44140625" style="4" customWidth="1"/>
    <col min="4" max="4" width="11.44140625" style="4" customWidth="1"/>
    <col min="5" max="5" width="18.21875" style="4" bestFit="1" customWidth="1"/>
    <col min="6" max="13" width="12.77734375" style="4" customWidth="1"/>
    <col min="14" max="14" width="31" style="4" bestFit="1" customWidth="1"/>
    <col min="15" max="15" width="10.109375" style="13" customWidth="1"/>
    <col min="16" max="16" width="9.21875" style="13"/>
    <col min="17" max="17" width="44.21875" style="13" customWidth="1"/>
    <col min="18" max="16384" width="9.21875" style="13"/>
  </cols>
  <sheetData>
    <row r="1" spans="1:17" ht="13.8">
      <c r="A1" s="409" t="s">
        <v>717</v>
      </c>
      <c r="B1" s="445" t="str">
        <f>'Info '!C2</f>
        <v xml:space="preserve">PASHA Bank Georgia JSC </v>
      </c>
      <c r="C1" s="445"/>
      <c r="D1" s="445"/>
      <c r="E1" s="445"/>
      <c r="F1" s="445"/>
      <c r="G1" s="445"/>
      <c r="H1" s="445"/>
      <c r="I1" s="445"/>
      <c r="J1" s="445"/>
      <c r="K1" s="445"/>
      <c r="L1" s="445"/>
      <c r="M1" s="445"/>
      <c r="N1" s="445"/>
      <c r="O1" s="146"/>
      <c r="P1" s="146"/>
      <c r="Q1" s="146"/>
    </row>
    <row r="2" spans="1:17" ht="14.25" customHeight="1">
      <c r="A2" s="445" t="s">
        <v>718</v>
      </c>
      <c r="B2" s="410">
        <f>'1. key ratios '!B2</f>
        <v>46112</v>
      </c>
      <c r="C2" s="445"/>
      <c r="D2" s="445"/>
      <c r="E2" s="445"/>
      <c r="F2" s="445"/>
      <c r="G2" s="445"/>
      <c r="H2" s="445"/>
      <c r="I2" s="445"/>
      <c r="J2" s="445"/>
      <c r="K2" s="445"/>
      <c r="L2" s="445"/>
      <c r="M2" s="445"/>
      <c r="N2" s="445"/>
      <c r="O2" s="146"/>
      <c r="P2" s="146"/>
      <c r="Q2" s="146"/>
    </row>
    <row r="3" spans="1:17" ht="14.25" customHeight="1">
      <c r="A3" s="445"/>
      <c r="B3" s="146"/>
      <c r="C3" s="146"/>
      <c r="D3" s="146"/>
      <c r="E3" s="146"/>
      <c r="F3" s="146"/>
      <c r="G3" s="146"/>
      <c r="H3" s="146"/>
      <c r="I3" s="146"/>
      <c r="J3" s="146"/>
      <c r="K3" s="146"/>
      <c r="L3" s="146"/>
      <c r="M3" s="146"/>
      <c r="N3" s="146"/>
      <c r="O3" s="146"/>
      <c r="P3" s="146"/>
      <c r="Q3" s="146"/>
    </row>
    <row r="4" spans="1:17" ht="14.4">
      <c r="A4" s="445"/>
      <c r="B4" s="469" t="s">
        <v>719</v>
      </c>
      <c r="C4" s="146"/>
      <c r="D4" s="146"/>
      <c r="E4" s="146"/>
      <c r="F4" s="146"/>
      <c r="G4" s="146"/>
      <c r="H4" s="146"/>
      <c r="I4" s="146"/>
      <c r="J4" s="146"/>
      <c r="K4" s="146"/>
      <c r="L4" s="146"/>
      <c r="M4" s="146"/>
      <c r="N4" s="146"/>
      <c r="O4" s="146"/>
      <c r="P4" s="146"/>
      <c r="Q4" s="146"/>
    </row>
    <row r="5" spans="1:17" ht="57.6">
      <c r="A5" s="445"/>
      <c r="B5" s="470" t="s">
        <v>720</v>
      </c>
      <c r="C5" s="471" t="s">
        <v>721</v>
      </c>
      <c r="D5" s="471" t="s">
        <v>722</v>
      </c>
      <c r="E5" s="471" t="s">
        <v>723</v>
      </c>
      <c r="F5" s="471" t="s">
        <v>724</v>
      </c>
      <c r="G5" s="471" t="s">
        <v>725</v>
      </c>
      <c r="H5" s="471" t="s">
        <v>726</v>
      </c>
      <c r="I5" s="472" t="s">
        <v>727</v>
      </c>
      <c r="J5" s="473">
        <v>0.02</v>
      </c>
      <c r="K5" s="473">
        <v>0.2</v>
      </c>
      <c r="L5" s="473">
        <v>0.35</v>
      </c>
      <c r="M5" s="473">
        <v>0.5</v>
      </c>
      <c r="N5" s="473">
        <v>0.75</v>
      </c>
      <c r="O5" s="473">
        <v>1</v>
      </c>
      <c r="P5" s="473">
        <v>1.5</v>
      </c>
      <c r="Q5" s="474" t="s">
        <v>728</v>
      </c>
    </row>
    <row r="6" spans="1:17" ht="14.4">
      <c r="A6" s="445"/>
      <c r="B6" s="475"/>
      <c r="C6" s="476">
        <f>IF(C7&gt;0,C7,IF(C8&gt;0,C8,IF(C9&gt;0,C9,0)))</f>
        <v>114272506</v>
      </c>
      <c r="D6" s="476">
        <f>IF(D7&gt;0,D7,IF(D8&gt;0,D8,IF(D9&gt;0,D9,0)))</f>
        <v>2205560.8000000003</v>
      </c>
      <c r="E6" s="476">
        <f>IF(E7&gt;0,E7,IF(E8&gt;0,E8,IF(E9&gt;0,E9,0)))</f>
        <v>29303853.969999999</v>
      </c>
      <c r="F6" s="476">
        <f>IF(F7&gt;0,F7,IF(F8&gt;0,F8,IF(F9&gt;0,F9,0)))</f>
        <v>659074.36</v>
      </c>
      <c r="G6" s="476">
        <f>IF(G7&gt;0,G7,IF(G8&gt;0,G8,IF(G9&gt;0,G9,0)))</f>
        <v>722616.90030811517</v>
      </c>
      <c r="H6" s="476"/>
      <c r="I6" s="476">
        <f t="shared" ref="I6" si="0">IF(I7&gt;0,I7,IF(I8&gt;0,I8,IF(I9&gt;0,I9)))</f>
        <v>1934367.7644313613</v>
      </c>
      <c r="J6" s="476">
        <f t="shared" ref="J6:Q6" si="1">IF(J7&gt;0,J7,IF(J8&gt;0,J8,IF(J9&gt;0,J9,0)))</f>
        <v>0</v>
      </c>
      <c r="K6" s="476">
        <f t="shared" si="1"/>
        <v>0</v>
      </c>
      <c r="L6" s="476">
        <f t="shared" si="1"/>
        <v>0</v>
      </c>
      <c r="M6" s="476">
        <f t="shared" si="1"/>
        <v>1850438.0163970983</v>
      </c>
      <c r="N6" s="476">
        <f t="shared" si="1"/>
        <v>0</v>
      </c>
      <c r="O6" s="476">
        <f t="shared" si="1"/>
        <v>22883.078431361228</v>
      </c>
      <c r="P6" s="476">
        <f t="shared" si="1"/>
        <v>61046.658509199726</v>
      </c>
      <c r="Q6" s="476">
        <f t="shared" si="1"/>
        <v>1039672.07439371</v>
      </c>
    </row>
    <row r="7" spans="1:17" ht="14.4">
      <c r="A7" s="445"/>
      <c r="B7" s="477" t="s">
        <v>729</v>
      </c>
      <c r="C7" s="476">
        <f>C11+C15+C19+C23+C27+C31</f>
        <v>114272506</v>
      </c>
      <c r="D7" s="476">
        <f t="shared" ref="D7:E8" si="2">D11+D15+D19+D23+D27+D31</f>
        <v>2205560.8000000003</v>
      </c>
      <c r="E7" s="476">
        <f t="shared" si="2"/>
        <v>29303853.969999999</v>
      </c>
      <c r="F7" s="476">
        <f t="shared" ref="F7:G9" si="3">F11+F15+F19+F23+F27+F31</f>
        <v>659074.36</v>
      </c>
      <c r="G7" s="476">
        <f t="shared" si="3"/>
        <v>722616.90030811517</v>
      </c>
      <c r="H7" s="478">
        <v>1.4</v>
      </c>
      <c r="I7" s="479">
        <f t="shared" ref="I7:I33" si="4">(F7+G7)*H7</f>
        <v>1934367.7644313613</v>
      </c>
      <c r="J7" s="476">
        <f>J11+J15+J19+J23+J27+J31</f>
        <v>0</v>
      </c>
      <c r="K7" s="476">
        <f t="shared" ref="J7:Q9" si="5">K11+K15+K19+K23+K27+K31</f>
        <v>0</v>
      </c>
      <c r="L7" s="476">
        <f t="shared" si="5"/>
        <v>0</v>
      </c>
      <c r="M7" s="476">
        <f t="shared" si="5"/>
        <v>1850438.0163970983</v>
      </c>
      <c r="N7" s="476">
        <f t="shared" si="5"/>
        <v>0</v>
      </c>
      <c r="O7" s="476">
        <f t="shared" si="5"/>
        <v>22883.078431361228</v>
      </c>
      <c r="P7" s="476">
        <f t="shared" si="5"/>
        <v>61046.658509199726</v>
      </c>
      <c r="Q7" s="476">
        <f>Q11+Q15+Q19+Q23+Q27+Q31</f>
        <v>1039672.07439371</v>
      </c>
    </row>
    <row r="8" spans="1:17" ht="14.4">
      <c r="A8" s="445"/>
      <c r="B8" s="477" t="s">
        <v>730</v>
      </c>
      <c r="C8" s="476">
        <f>C12+C16+C20+C24+C28+C32</f>
        <v>0</v>
      </c>
      <c r="D8" s="476">
        <f t="shared" si="2"/>
        <v>0</v>
      </c>
      <c r="E8" s="476">
        <f t="shared" si="2"/>
        <v>0</v>
      </c>
      <c r="F8" s="476">
        <f t="shared" si="3"/>
        <v>0</v>
      </c>
      <c r="G8" s="476">
        <f t="shared" si="3"/>
        <v>0</v>
      </c>
      <c r="H8" s="478">
        <v>1.4</v>
      </c>
      <c r="I8" s="479">
        <f t="shared" si="4"/>
        <v>0</v>
      </c>
      <c r="J8" s="476">
        <f t="shared" si="5"/>
        <v>0</v>
      </c>
      <c r="K8" s="476">
        <f t="shared" si="5"/>
        <v>0</v>
      </c>
      <c r="L8" s="476">
        <f t="shared" si="5"/>
        <v>0</v>
      </c>
      <c r="M8" s="476">
        <f t="shared" si="5"/>
        <v>0</v>
      </c>
      <c r="N8" s="476">
        <f t="shared" si="5"/>
        <v>0</v>
      </c>
      <c r="O8" s="476">
        <f t="shared" si="5"/>
        <v>0</v>
      </c>
      <c r="P8" s="476">
        <f t="shared" si="5"/>
        <v>0</v>
      </c>
      <c r="Q8" s="476">
        <f>Q12+Q16+Q20+Q24+Q28+Q32</f>
        <v>0</v>
      </c>
    </row>
    <row r="9" spans="1:17" ht="14.4">
      <c r="A9" s="445"/>
      <c r="B9" s="477" t="s">
        <v>737</v>
      </c>
      <c r="C9" s="476">
        <f>C13+C17+C21+C25+C29+C33</f>
        <v>0</v>
      </c>
      <c r="D9" s="476">
        <f>D13+D17+D21+D25+D29+D33</f>
        <v>0</v>
      </c>
      <c r="E9" s="476">
        <f>E13+E17+E21+E25+E29+E33</f>
        <v>0</v>
      </c>
      <c r="F9" s="476">
        <f t="shared" si="3"/>
        <v>0</v>
      </c>
      <c r="G9" s="476">
        <f t="shared" si="3"/>
        <v>0</v>
      </c>
      <c r="H9" s="478">
        <v>1.4</v>
      </c>
      <c r="I9" s="479">
        <f t="shared" si="4"/>
        <v>0</v>
      </c>
      <c r="J9" s="476">
        <f t="shared" si="5"/>
        <v>0</v>
      </c>
      <c r="K9" s="476">
        <f t="shared" si="5"/>
        <v>0</v>
      </c>
      <c r="L9" s="476">
        <f t="shared" si="5"/>
        <v>0</v>
      </c>
      <c r="M9" s="476">
        <f t="shared" si="5"/>
        <v>0</v>
      </c>
      <c r="N9" s="476">
        <f t="shared" si="5"/>
        <v>0</v>
      </c>
      <c r="O9" s="476">
        <f t="shared" si="5"/>
        <v>0</v>
      </c>
      <c r="P9" s="476">
        <f t="shared" si="5"/>
        <v>0</v>
      </c>
      <c r="Q9" s="476">
        <f t="shared" si="5"/>
        <v>0</v>
      </c>
    </row>
    <row r="10" spans="1:17" ht="14.4">
      <c r="A10" s="445"/>
      <c r="B10" s="480" t="s">
        <v>731</v>
      </c>
      <c r="C10" s="481"/>
      <c r="D10" s="481"/>
      <c r="E10" s="481"/>
      <c r="F10" s="481"/>
      <c r="G10" s="481"/>
      <c r="H10" s="478">
        <v>1.4</v>
      </c>
      <c r="I10" s="479">
        <f t="shared" si="4"/>
        <v>0</v>
      </c>
      <c r="J10" s="482"/>
      <c r="K10" s="482"/>
      <c r="L10" s="482"/>
      <c r="M10" s="482"/>
      <c r="N10" s="482"/>
      <c r="O10" s="482"/>
      <c r="P10" s="482"/>
      <c r="Q10" s="476">
        <f>SUM(Q11:Q13)</f>
        <v>0</v>
      </c>
    </row>
    <row r="11" spans="1:17" ht="14.4">
      <c r="A11" s="445"/>
      <c r="B11" s="483" t="s">
        <v>729</v>
      </c>
      <c r="C11" s="481"/>
      <c r="D11" s="481"/>
      <c r="E11" s="481"/>
      <c r="F11" s="481"/>
      <c r="G11" s="481"/>
      <c r="H11" s="478">
        <v>1.4</v>
      </c>
      <c r="I11" s="479">
        <f t="shared" si="4"/>
        <v>0</v>
      </c>
      <c r="J11" s="482"/>
      <c r="K11" s="482"/>
      <c r="L11" s="482"/>
      <c r="M11" s="482"/>
      <c r="N11" s="482"/>
      <c r="O11" s="482"/>
      <c r="P11" s="482"/>
      <c r="Q11" s="476">
        <f>SUMPRODUCT($J$5:$P$5,J11:P11)</f>
        <v>0</v>
      </c>
    </row>
    <row r="12" spans="1:17" ht="14.4">
      <c r="A12" s="445"/>
      <c r="B12" s="483" t="s">
        <v>730</v>
      </c>
      <c r="C12" s="481"/>
      <c r="D12" s="481"/>
      <c r="E12" s="481"/>
      <c r="F12" s="481"/>
      <c r="G12" s="481"/>
      <c r="H12" s="478">
        <v>1.4</v>
      </c>
      <c r="I12" s="479">
        <f t="shared" si="4"/>
        <v>0</v>
      </c>
      <c r="J12" s="482"/>
      <c r="K12" s="482"/>
      <c r="L12" s="482"/>
      <c r="M12" s="482"/>
      <c r="N12" s="482"/>
      <c r="O12" s="482"/>
      <c r="P12" s="482"/>
      <c r="Q12" s="476">
        <f t="shared" ref="Q12:Q13" si="6">SUMPRODUCT($J$5:$P$5,J12:P12)</f>
        <v>0</v>
      </c>
    </row>
    <row r="13" spans="1:17" ht="14.4">
      <c r="A13" s="445"/>
      <c r="B13" s="483" t="s">
        <v>737</v>
      </c>
      <c r="C13" s="481"/>
      <c r="D13" s="481"/>
      <c r="E13" s="481"/>
      <c r="F13" s="481"/>
      <c r="G13" s="481"/>
      <c r="H13" s="478">
        <v>1.4</v>
      </c>
      <c r="I13" s="479">
        <f t="shared" si="4"/>
        <v>0</v>
      </c>
      <c r="J13" s="482"/>
      <c r="K13" s="482"/>
      <c r="L13" s="482"/>
      <c r="M13" s="482"/>
      <c r="N13" s="482"/>
      <c r="O13" s="482"/>
      <c r="P13" s="482"/>
      <c r="Q13" s="476">
        <f t="shared" si="6"/>
        <v>0</v>
      </c>
    </row>
    <row r="14" spans="1:17" ht="14.4">
      <c r="A14" s="445"/>
      <c r="B14" s="480" t="s">
        <v>732</v>
      </c>
      <c r="C14" s="481"/>
      <c r="D14" s="481"/>
      <c r="E14" s="481"/>
      <c r="F14" s="481"/>
      <c r="G14" s="481"/>
      <c r="H14" s="478">
        <v>1.4</v>
      </c>
      <c r="I14" s="479">
        <f t="shared" si="4"/>
        <v>0</v>
      </c>
      <c r="J14" s="482"/>
      <c r="K14" s="482"/>
      <c r="L14" s="482"/>
      <c r="M14" s="482"/>
      <c r="N14" s="482"/>
      <c r="O14" s="482"/>
      <c r="P14" s="482"/>
      <c r="Q14" s="476">
        <f>SUM(Q15:Q17)</f>
        <v>0</v>
      </c>
    </row>
    <row r="15" spans="1:17" ht="14.4">
      <c r="A15" s="445"/>
      <c r="B15" s="483" t="s">
        <v>729</v>
      </c>
      <c r="C15" s="481"/>
      <c r="D15" s="481"/>
      <c r="E15" s="481"/>
      <c r="F15" s="481"/>
      <c r="G15" s="481"/>
      <c r="H15" s="478">
        <v>1.4</v>
      </c>
      <c r="I15" s="479">
        <f t="shared" si="4"/>
        <v>0</v>
      </c>
      <c r="J15" s="482"/>
      <c r="K15" s="482"/>
      <c r="L15" s="482"/>
      <c r="M15" s="482"/>
      <c r="N15" s="482"/>
      <c r="O15" s="482"/>
      <c r="P15" s="482"/>
      <c r="Q15" s="476">
        <f>SUMPRODUCT($J$5:$P$5,J15:P15)</f>
        <v>0</v>
      </c>
    </row>
    <row r="16" spans="1:17" ht="14.4">
      <c r="A16" s="445"/>
      <c r="B16" s="483" t="s">
        <v>730</v>
      </c>
      <c r="C16" s="481"/>
      <c r="D16" s="481"/>
      <c r="E16" s="481"/>
      <c r="F16" s="481"/>
      <c r="G16" s="481"/>
      <c r="H16" s="478">
        <v>1.4</v>
      </c>
      <c r="I16" s="479">
        <f t="shared" si="4"/>
        <v>0</v>
      </c>
      <c r="J16" s="482"/>
      <c r="K16" s="482"/>
      <c r="L16" s="482"/>
      <c r="M16" s="482"/>
      <c r="N16" s="482"/>
      <c r="O16" s="482"/>
      <c r="P16" s="482"/>
      <c r="Q16" s="476">
        <f t="shared" ref="Q16:Q17" si="7">SUMPRODUCT($J$5:$P$5,J16:P16)</f>
        <v>0</v>
      </c>
    </row>
    <row r="17" spans="1:17" ht="14.4">
      <c r="A17" s="445"/>
      <c r="B17" s="483" t="s">
        <v>737</v>
      </c>
      <c r="C17" s="481"/>
      <c r="D17" s="481"/>
      <c r="E17" s="481"/>
      <c r="F17" s="481"/>
      <c r="G17" s="481"/>
      <c r="H17" s="478">
        <v>1.4</v>
      </c>
      <c r="I17" s="479">
        <f t="shared" si="4"/>
        <v>0</v>
      </c>
      <c r="J17" s="482"/>
      <c r="K17" s="482"/>
      <c r="L17" s="482"/>
      <c r="M17" s="482"/>
      <c r="N17" s="482"/>
      <c r="O17" s="482"/>
      <c r="P17" s="482"/>
      <c r="Q17" s="476">
        <f t="shared" si="7"/>
        <v>0</v>
      </c>
    </row>
    <row r="18" spans="1:17" ht="14.4">
      <c r="A18" s="445"/>
      <c r="B18" s="480" t="s">
        <v>733</v>
      </c>
      <c r="C18" s="481">
        <v>86025850</v>
      </c>
      <c r="D18" s="481">
        <v>659074.36</v>
      </c>
      <c r="E18" s="481">
        <v>0</v>
      </c>
      <c r="F18" s="481">
        <v>659074.36</v>
      </c>
      <c r="G18" s="481">
        <v>698561.03</v>
      </c>
      <c r="H18" s="478">
        <v>1.4</v>
      </c>
      <c r="I18" s="479">
        <f t="shared" si="4"/>
        <v>1900689.5460000001</v>
      </c>
      <c r="J18" s="482"/>
      <c r="K18" s="482"/>
      <c r="L18" s="482"/>
      <c r="M18" s="482"/>
      <c r="N18" s="482"/>
      <c r="O18" s="482"/>
      <c r="P18" s="482"/>
      <c r="Q18" s="476">
        <f>SUM(Q19:Q21)</f>
        <v>1011391.4309623488</v>
      </c>
    </row>
    <row r="19" spans="1:17" ht="14.4">
      <c r="A19" s="445"/>
      <c r="B19" s="483" t="s">
        <v>729</v>
      </c>
      <c r="C19" s="481">
        <v>86025850</v>
      </c>
      <c r="D19" s="481">
        <v>659074.36</v>
      </c>
      <c r="E19" s="481">
        <v>0</v>
      </c>
      <c r="F19" s="481">
        <v>659074.36</v>
      </c>
      <c r="G19" s="481">
        <v>698561.03</v>
      </c>
      <c r="H19" s="478">
        <v>1.4</v>
      </c>
      <c r="I19" s="479">
        <f t="shared" si="4"/>
        <v>1900689.5460000001</v>
      </c>
      <c r="J19" s="482">
        <v>0</v>
      </c>
      <c r="K19" s="482">
        <v>0</v>
      </c>
      <c r="L19" s="482"/>
      <c r="M19" s="482">
        <v>1839642.8863970984</v>
      </c>
      <c r="N19" s="482"/>
      <c r="O19" s="482">
        <v>0</v>
      </c>
      <c r="P19" s="482">
        <v>61046.658509199726</v>
      </c>
      <c r="Q19" s="476">
        <f>SUMPRODUCT($J$5:$P$5,J19:P19)</f>
        <v>1011391.4309623488</v>
      </c>
    </row>
    <row r="20" spans="1:17" ht="14.4">
      <c r="A20" s="445"/>
      <c r="B20" s="483" t="s">
        <v>730</v>
      </c>
      <c r="C20" s="481"/>
      <c r="D20" s="481"/>
      <c r="E20" s="481"/>
      <c r="F20" s="481"/>
      <c r="G20" s="481"/>
      <c r="H20" s="478">
        <v>1.4</v>
      </c>
      <c r="I20" s="479">
        <f t="shared" si="4"/>
        <v>0</v>
      </c>
      <c r="J20" s="482"/>
      <c r="K20" s="482"/>
      <c r="L20" s="482"/>
      <c r="M20" s="482"/>
      <c r="N20" s="482"/>
      <c r="O20" s="482"/>
      <c r="P20" s="482"/>
      <c r="Q20" s="476">
        <f t="shared" ref="Q20:Q21" si="8">SUMPRODUCT($J$5:$P$5,J20:P20)</f>
        <v>0</v>
      </c>
    </row>
    <row r="21" spans="1:17" ht="14.4">
      <c r="A21" s="445"/>
      <c r="B21" s="483" t="s">
        <v>737</v>
      </c>
      <c r="C21" s="481"/>
      <c r="D21" s="481"/>
      <c r="E21" s="481"/>
      <c r="F21" s="481"/>
      <c r="G21" s="481"/>
      <c r="H21" s="478">
        <v>1.4</v>
      </c>
      <c r="I21" s="479">
        <f t="shared" si="4"/>
        <v>0</v>
      </c>
      <c r="J21" s="482"/>
      <c r="K21" s="482"/>
      <c r="L21" s="482"/>
      <c r="M21" s="482"/>
      <c r="N21" s="482"/>
      <c r="O21" s="482"/>
      <c r="P21" s="482"/>
      <c r="Q21" s="476">
        <f t="shared" si="8"/>
        <v>0</v>
      </c>
    </row>
    <row r="22" spans="1:17" ht="14.4">
      <c r="A22" s="445"/>
      <c r="B22" s="480" t="s">
        <v>734</v>
      </c>
      <c r="C22" s="481">
        <v>10569717</v>
      </c>
      <c r="D22" s="481">
        <v>717426.26</v>
      </c>
      <c r="E22" s="481">
        <v>11421618.970000001</v>
      </c>
      <c r="F22" s="481">
        <v>0</v>
      </c>
      <c r="G22" s="481">
        <v>11852.420308115165</v>
      </c>
      <c r="H22" s="478">
        <v>1.4</v>
      </c>
      <c r="I22" s="479">
        <f t="shared" si="4"/>
        <v>16593.388431361229</v>
      </c>
      <c r="J22" s="482"/>
      <c r="K22" s="482"/>
      <c r="L22" s="482"/>
      <c r="M22" s="482"/>
      <c r="N22" s="482"/>
      <c r="O22" s="482"/>
      <c r="P22" s="482"/>
      <c r="Q22" s="476">
        <f>SUM(Q23:Q25)</f>
        <v>16593.388431361229</v>
      </c>
    </row>
    <row r="23" spans="1:17" ht="14.4">
      <c r="A23" s="445"/>
      <c r="B23" s="483" t="s">
        <v>729</v>
      </c>
      <c r="C23" s="481">
        <v>10569717</v>
      </c>
      <c r="D23" s="481">
        <v>717426.26</v>
      </c>
      <c r="E23" s="481">
        <v>11421618.970000001</v>
      </c>
      <c r="F23" s="481">
        <v>0</v>
      </c>
      <c r="G23" s="481">
        <v>11852.420308115165</v>
      </c>
      <c r="H23" s="478">
        <v>1.4</v>
      </c>
      <c r="I23" s="479">
        <f t="shared" si="4"/>
        <v>16593.388431361229</v>
      </c>
      <c r="J23" s="482">
        <v>0</v>
      </c>
      <c r="K23" s="482">
        <v>0</v>
      </c>
      <c r="L23" s="482"/>
      <c r="M23" s="482">
        <v>0</v>
      </c>
      <c r="N23" s="482"/>
      <c r="O23" s="482">
        <v>16593.388431361229</v>
      </c>
      <c r="P23" s="482">
        <v>0</v>
      </c>
      <c r="Q23" s="476">
        <f>SUMPRODUCT($J$5:$P$5,J23:P23)</f>
        <v>16593.388431361229</v>
      </c>
    </row>
    <row r="24" spans="1:17" ht="14.4">
      <c r="A24" s="445"/>
      <c r="B24" s="483" t="s">
        <v>730</v>
      </c>
      <c r="C24" s="481"/>
      <c r="D24" s="481"/>
      <c r="E24" s="481"/>
      <c r="F24" s="481"/>
      <c r="G24" s="481"/>
      <c r="H24" s="478">
        <v>1.4</v>
      </c>
      <c r="I24" s="479">
        <f t="shared" si="4"/>
        <v>0</v>
      </c>
      <c r="J24" s="482"/>
      <c r="K24" s="482"/>
      <c r="L24" s="482"/>
      <c r="M24" s="482"/>
      <c r="N24" s="482"/>
      <c r="O24" s="482"/>
      <c r="P24" s="482"/>
      <c r="Q24" s="476">
        <f t="shared" ref="Q24:Q25" si="9">SUMPRODUCT($J$5:$P$5,J24:P24)</f>
        <v>0</v>
      </c>
    </row>
    <row r="25" spans="1:17" ht="14.4">
      <c r="A25" s="445"/>
      <c r="B25" s="483" t="s">
        <v>737</v>
      </c>
      <c r="C25" s="481"/>
      <c r="D25" s="481"/>
      <c r="E25" s="481"/>
      <c r="F25" s="481"/>
      <c r="G25" s="481"/>
      <c r="H25" s="478">
        <v>1.4</v>
      </c>
      <c r="I25" s="479">
        <f t="shared" si="4"/>
        <v>0</v>
      </c>
      <c r="J25" s="482"/>
      <c r="K25" s="482"/>
      <c r="L25" s="482"/>
      <c r="M25" s="482"/>
      <c r="N25" s="482"/>
      <c r="O25" s="482"/>
      <c r="P25" s="482"/>
      <c r="Q25" s="476">
        <f t="shared" si="9"/>
        <v>0</v>
      </c>
    </row>
    <row r="26" spans="1:17" ht="14.4">
      <c r="A26" s="445"/>
      <c r="B26" s="480" t="s">
        <v>735</v>
      </c>
      <c r="C26" s="481">
        <v>0</v>
      </c>
      <c r="D26" s="481">
        <v>0</v>
      </c>
      <c r="E26" s="481">
        <v>0</v>
      </c>
      <c r="F26" s="481">
        <v>0</v>
      </c>
      <c r="G26" s="481">
        <v>0</v>
      </c>
      <c r="H26" s="478">
        <v>1.4</v>
      </c>
      <c r="I26" s="479">
        <f t="shared" si="4"/>
        <v>0</v>
      </c>
      <c r="J26" s="482"/>
      <c r="K26" s="482"/>
      <c r="L26" s="482"/>
      <c r="M26" s="482"/>
      <c r="N26" s="482"/>
      <c r="O26" s="482"/>
      <c r="P26" s="482"/>
      <c r="Q26" s="476">
        <f>SUM(Q27:Q29)</f>
        <v>0</v>
      </c>
    </row>
    <row r="27" spans="1:17" ht="14.4">
      <c r="A27" s="445"/>
      <c r="B27" s="483" t="s">
        <v>729</v>
      </c>
      <c r="C27" s="481">
        <v>0</v>
      </c>
      <c r="D27" s="481">
        <v>0</v>
      </c>
      <c r="E27" s="481">
        <v>0</v>
      </c>
      <c r="F27" s="481">
        <v>0</v>
      </c>
      <c r="G27" s="481">
        <v>0</v>
      </c>
      <c r="H27" s="478">
        <v>1.4</v>
      </c>
      <c r="I27" s="479">
        <f t="shared" si="4"/>
        <v>0</v>
      </c>
      <c r="J27" s="482">
        <v>0</v>
      </c>
      <c r="K27" s="482">
        <v>0</v>
      </c>
      <c r="L27" s="482"/>
      <c r="M27" s="482">
        <v>0</v>
      </c>
      <c r="N27" s="482"/>
      <c r="O27" s="482">
        <v>0</v>
      </c>
      <c r="P27" s="482">
        <v>0</v>
      </c>
      <c r="Q27" s="476">
        <f>SUMPRODUCT($J$5:$P$5,J27:P27)</f>
        <v>0</v>
      </c>
    </row>
    <row r="28" spans="1:17" ht="14.4">
      <c r="A28" s="445"/>
      <c r="B28" s="483" t="s">
        <v>730</v>
      </c>
      <c r="C28" s="481"/>
      <c r="D28" s="481"/>
      <c r="E28" s="481"/>
      <c r="F28" s="481"/>
      <c r="G28" s="481"/>
      <c r="H28" s="478">
        <v>1.4</v>
      </c>
      <c r="I28" s="479">
        <f t="shared" si="4"/>
        <v>0</v>
      </c>
      <c r="J28" s="482"/>
      <c r="K28" s="482"/>
      <c r="L28" s="482"/>
      <c r="M28" s="482"/>
      <c r="N28" s="482"/>
      <c r="O28" s="482"/>
      <c r="P28" s="482"/>
      <c r="Q28" s="476">
        <f t="shared" ref="Q28:Q29" si="10">SUMPRODUCT($J$5:$P$5,J28:P28)</f>
        <v>0</v>
      </c>
    </row>
    <row r="29" spans="1:17" ht="14.4">
      <c r="A29" s="445"/>
      <c r="B29" s="483" t="s">
        <v>737</v>
      </c>
      <c r="C29" s="481"/>
      <c r="D29" s="481"/>
      <c r="E29" s="481"/>
      <c r="F29" s="481"/>
      <c r="G29" s="481"/>
      <c r="H29" s="478">
        <v>1.4</v>
      </c>
      <c r="I29" s="479">
        <f t="shared" si="4"/>
        <v>0</v>
      </c>
      <c r="J29" s="482"/>
      <c r="K29" s="482"/>
      <c r="L29" s="482"/>
      <c r="M29" s="482"/>
      <c r="N29" s="482"/>
      <c r="O29" s="482"/>
      <c r="P29" s="482"/>
      <c r="Q29" s="476">
        <f t="shared" si="10"/>
        <v>0</v>
      </c>
    </row>
    <row r="30" spans="1:17" ht="14.4">
      <c r="A30" s="445"/>
      <c r="B30" s="484" t="s">
        <v>736</v>
      </c>
      <c r="C30" s="481">
        <v>17676939</v>
      </c>
      <c r="D30" s="481">
        <v>829060.18</v>
      </c>
      <c r="E30" s="481">
        <v>17882235</v>
      </c>
      <c r="F30" s="481">
        <v>0</v>
      </c>
      <c r="G30" s="481">
        <v>12203.45</v>
      </c>
      <c r="H30" s="478">
        <v>1.4</v>
      </c>
      <c r="I30" s="479">
        <f t="shared" si="4"/>
        <v>17084.830000000002</v>
      </c>
      <c r="J30" s="482"/>
      <c r="K30" s="482"/>
      <c r="L30" s="482"/>
      <c r="M30" s="482"/>
      <c r="N30" s="482"/>
      <c r="O30" s="482"/>
      <c r="P30" s="482"/>
      <c r="Q30" s="476">
        <f>SUM(Q31:Q33)</f>
        <v>11687.254999999999</v>
      </c>
    </row>
    <row r="31" spans="1:17" ht="14.4">
      <c r="A31" s="445"/>
      <c r="B31" s="483" t="s">
        <v>729</v>
      </c>
      <c r="C31" s="481">
        <v>17676939</v>
      </c>
      <c r="D31" s="481">
        <v>829060.18</v>
      </c>
      <c r="E31" s="481">
        <v>17882235</v>
      </c>
      <c r="F31" s="481">
        <v>0</v>
      </c>
      <c r="G31" s="481">
        <v>12203.45</v>
      </c>
      <c r="H31" s="478">
        <v>1.4</v>
      </c>
      <c r="I31" s="479">
        <f t="shared" si="4"/>
        <v>17084.830000000002</v>
      </c>
      <c r="J31" s="482">
        <v>0</v>
      </c>
      <c r="K31" s="482">
        <v>0</v>
      </c>
      <c r="L31" s="482"/>
      <c r="M31" s="482">
        <v>10795.13</v>
      </c>
      <c r="N31" s="482"/>
      <c r="O31" s="482">
        <v>6289.69</v>
      </c>
      <c r="P31" s="482">
        <v>0</v>
      </c>
      <c r="Q31" s="476">
        <f>SUMPRODUCT($J$5:$P$5,J31:P31)</f>
        <v>11687.254999999999</v>
      </c>
    </row>
    <row r="32" spans="1:17" ht="14.4">
      <c r="A32" s="445"/>
      <c r="B32" s="483" t="s">
        <v>730</v>
      </c>
      <c r="C32" s="481"/>
      <c r="D32" s="481"/>
      <c r="E32" s="481"/>
      <c r="F32" s="481"/>
      <c r="G32" s="481"/>
      <c r="H32" s="478">
        <v>1.4</v>
      </c>
      <c r="I32" s="479">
        <f t="shared" si="4"/>
        <v>0</v>
      </c>
      <c r="J32" s="482"/>
      <c r="K32" s="482"/>
      <c r="L32" s="482"/>
      <c r="M32" s="482"/>
      <c r="N32" s="482"/>
      <c r="O32" s="482"/>
      <c r="P32" s="482"/>
      <c r="Q32" s="476">
        <f t="shared" ref="Q32:Q33" si="11">SUMPRODUCT($J$5:$P$5,J32:P32)</f>
        <v>0</v>
      </c>
    </row>
    <row r="33" spans="1:17" ht="14.4">
      <c r="A33" s="445"/>
      <c r="B33" s="483" t="s">
        <v>737</v>
      </c>
      <c r="C33" s="481"/>
      <c r="D33" s="481"/>
      <c r="E33" s="481"/>
      <c r="F33" s="481"/>
      <c r="G33" s="481"/>
      <c r="H33" s="478">
        <v>1.4</v>
      </c>
      <c r="I33" s="479">
        <f t="shared" si="4"/>
        <v>0</v>
      </c>
      <c r="J33" s="482"/>
      <c r="K33" s="482"/>
      <c r="L33" s="482"/>
      <c r="M33" s="482"/>
      <c r="N33" s="482"/>
      <c r="O33" s="482"/>
      <c r="P33" s="482"/>
      <c r="Q33" s="476">
        <f t="shared" si="11"/>
        <v>0</v>
      </c>
    </row>
    <row r="34" spans="1:17" ht="14.4">
      <c r="A34" s="445"/>
      <c r="B34" s="485" t="s">
        <v>64</v>
      </c>
      <c r="C34" s="486">
        <f>C6</f>
        <v>114272506</v>
      </c>
      <c r="D34" s="486">
        <f t="shared" ref="D34:G34" si="12">D6</f>
        <v>2205560.8000000003</v>
      </c>
      <c r="E34" s="486">
        <f t="shared" si="12"/>
        <v>29303853.969999999</v>
      </c>
      <c r="F34" s="486">
        <f t="shared" si="12"/>
        <v>659074.36</v>
      </c>
      <c r="G34" s="486">
        <f t="shared" si="12"/>
        <v>722616.90030811517</v>
      </c>
      <c r="H34" s="478">
        <v>1.4</v>
      </c>
      <c r="I34" s="479">
        <f>(F34+G34)*H34</f>
        <v>1934367.7644313613</v>
      </c>
      <c r="J34" s="486">
        <f t="shared" ref="J34:Q34" si="13">J6</f>
        <v>0</v>
      </c>
      <c r="K34" s="486">
        <f t="shared" si="13"/>
        <v>0</v>
      </c>
      <c r="L34" s="486">
        <f t="shared" si="13"/>
        <v>0</v>
      </c>
      <c r="M34" s="486">
        <f t="shared" si="13"/>
        <v>1850438.0163970983</v>
      </c>
      <c r="N34" s="486">
        <f t="shared" si="13"/>
        <v>0</v>
      </c>
      <c r="O34" s="486">
        <f t="shared" si="13"/>
        <v>22883.078431361228</v>
      </c>
      <c r="P34" s="486">
        <f t="shared" si="13"/>
        <v>61046.658509199726</v>
      </c>
      <c r="Q34" s="486">
        <f t="shared" si="13"/>
        <v>1039672.07439371</v>
      </c>
    </row>
    <row r="36" spans="1:17">
      <c r="C36" s="569"/>
      <c r="D36" s="569"/>
      <c r="E36" s="569"/>
      <c r="F36" s="569"/>
      <c r="G36" s="569"/>
      <c r="H36" s="569"/>
      <c r="I36" s="569"/>
      <c r="J36" s="569"/>
      <c r="K36" s="569"/>
      <c r="L36" s="569"/>
      <c r="M36" s="569"/>
      <c r="N36" s="569"/>
      <c r="O36" s="569"/>
      <c r="P36" s="569"/>
      <c r="Q36" s="569"/>
    </row>
    <row r="37" spans="1:17">
      <c r="C37" s="569"/>
      <c r="D37" s="569"/>
      <c r="E37" s="569"/>
      <c r="F37" s="569"/>
      <c r="G37" s="569"/>
      <c r="H37" s="569"/>
      <c r="I37" s="569"/>
      <c r="J37" s="569"/>
      <c r="K37" s="569"/>
      <c r="L37" s="569"/>
      <c r="M37" s="569"/>
      <c r="N37" s="569"/>
      <c r="O37" s="569"/>
      <c r="P37" s="569"/>
      <c r="Q37" s="569"/>
    </row>
    <row r="38" spans="1:17">
      <c r="C38" s="569"/>
      <c r="D38" s="569"/>
      <c r="E38" s="569"/>
      <c r="F38" s="569"/>
      <c r="G38" s="569"/>
      <c r="H38" s="569"/>
      <c r="I38" s="569"/>
      <c r="J38" s="569"/>
      <c r="K38" s="569"/>
      <c r="L38" s="569"/>
      <c r="M38" s="569"/>
      <c r="N38" s="569"/>
      <c r="O38" s="569"/>
      <c r="P38" s="569"/>
      <c r="Q38" s="569"/>
    </row>
    <row r="39" spans="1:17">
      <c r="C39" s="569"/>
      <c r="D39" s="569"/>
      <c r="E39" s="569"/>
      <c r="F39" s="569"/>
      <c r="G39" s="569"/>
      <c r="H39" s="569"/>
      <c r="I39" s="569"/>
      <c r="J39" s="569"/>
      <c r="K39" s="569"/>
      <c r="L39" s="569"/>
      <c r="M39" s="569"/>
      <c r="N39" s="569"/>
      <c r="O39" s="569"/>
      <c r="P39" s="569"/>
      <c r="Q39" s="569"/>
    </row>
    <row r="40" spans="1:17">
      <c r="C40" s="569"/>
      <c r="D40" s="569"/>
      <c r="E40" s="569"/>
      <c r="F40" s="569"/>
      <c r="G40" s="569"/>
      <c r="H40" s="569"/>
      <c r="I40" s="569"/>
      <c r="J40" s="569"/>
      <c r="K40" s="569"/>
      <c r="L40" s="569"/>
      <c r="M40" s="569"/>
      <c r="N40" s="569"/>
      <c r="O40" s="569"/>
      <c r="P40" s="569"/>
      <c r="Q40" s="569"/>
    </row>
    <row r="41" spans="1:17">
      <c r="C41" s="569"/>
      <c r="D41" s="569"/>
      <c r="E41" s="569"/>
      <c r="F41" s="569"/>
      <c r="G41" s="569"/>
      <c r="H41" s="569"/>
      <c r="I41" s="569"/>
      <c r="J41" s="569"/>
      <c r="K41" s="569"/>
      <c r="L41" s="569"/>
      <c r="M41" s="569"/>
      <c r="N41" s="569"/>
      <c r="O41" s="569"/>
      <c r="P41" s="569"/>
      <c r="Q41" s="569"/>
    </row>
    <row r="42" spans="1:17">
      <c r="C42" s="569"/>
      <c r="D42" s="569"/>
      <c r="E42" s="569"/>
      <c r="F42" s="569"/>
      <c r="G42" s="569"/>
      <c r="H42" s="569"/>
      <c r="I42" s="569"/>
      <c r="J42" s="569"/>
      <c r="K42" s="569"/>
      <c r="L42" s="569"/>
      <c r="M42" s="569"/>
      <c r="N42" s="569"/>
      <c r="O42" s="569"/>
      <c r="P42" s="569"/>
      <c r="Q42" s="569"/>
    </row>
    <row r="43" spans="1:17">
      <c r="C43" s="569"/>
      <c r="D43" s="569"/>
      <c r="E43" s="569"/>
      <c r="F43" s="569"/>
      <c r="G43" s="569"/>
      <c r="H43" s="569"/>
      <c r="I43" s="569"/>
      <c r="J43" s="569"/>
      <c r="K43" s="569"/>
      <c r="L43" s="569"/>
      <c r="M43" s="569"/>
      <c r="N43" s="569"/>
      <c r="O43" s="569"/>
      <c r="P43" s="569"/>
      <c r="Q43" s="569"/>
    </row>
    <row r="44" spans="1:17">
      <c r="C44" s="569"/>
      <c r="D44" s="569"/>
      <c r="E44" s="569"/>
      <c r="F44" s="569"/>
      <c r="G44" s="569"/>
      <c r="H44" s="569"/>
      <c r="I44" s="569"/>
      <c r="J44" s="569"/>
      <c r="K44" s="569"/>
      <c r="L44" s="569"/>
      <c r="M44" s="569"/>
      <c r="N44" s="569"/>
      <c r="O44" s="569"/>
      <c r="P44" s="569"/>
      <c r="Q44" s="569"/>
    </row>
    <row r="45" spans="1:17">
      <c r="C45" s="569"/>
      <c r="D45" s="569"/>
      <c r="E45" s="569"/>
      <c r="F45" s="569"/>
      <c r="G45" s="569"/>
      <c r="H45" s="569"/>
      <c r="I45" s="569"/>
      <c r="J45" s="569"/>
      <c r="K45" s="569"/>
      <c r="L45" s="569"/>
      <c r="M45" s="569"/>
      <c r="N45" s="569"/>
      <c r="O45" s="569"/>
      <c r="P45" s="569"/>
      <c r="Q45" s="569"/>
    </row>
    <row r="46" spans="1:17">
      <c r="C46" s="569"/>
      <c r="D46" s="569"/>
      <c r="E46" s="569"/>
      <c r="F46" s="569"/>
      <c r="G46" s="569"/>
      <c r="H46" s="569"/>
      <c r="I46" s="569"/>
      <c r="J46" s="569"/>
      <c r="K46" s="569"/>
      <c r="L46" s="569"/>
      <c r="M46" s="569"/>
      <c r="N46" s="569"/>
      <c r="O46" s="569"/>
      <c r="P46" s="569"/>
      <c r="Q46" s="569"/>
    </row>
    <row r="47" spans="1:17">
      <c r="C47" s="569"/>
      <c r="D47" s="569"/>
      <c r="E47" s="569"/>
      <c r="F47" s="569"/>
      <c r="G47" s="569"/>
      <c r="H47" s="569"/>
      <c r="I47" s="569"/>
      <c r="J47" s="569"/>
      <c r="K47" s="569"/>
      <c r="L47" s="569"/>
      <c r="M47" s="569"/>
      <c r="N47" s="569"/>
      <c r="O47" s="569"/>
      <c r="P47" s="569"/>
      <c r="Q47" s="569"/>
    </row>
    <row r="48" spans="1:17">
      <c r="C48" s="569"/>
      <c r="D48" s="569"/>
      <c r="E48" s="569"/>
      <c r="F48" s="569"/>
      <c r="G48" s="569"/>
      <c r="H48" s="569"/>
      <c r="I48" s="569"/>
      <c r="J48" s="569"/>
      <c r="K48" s="569"/>
      <c r="L48" s="569"/>
      <c r="M48" s="569"/>
      <c r="N48" s="569"/>
      <c r="O48" s="569"/>
      <c r="P48" s="569"/>
      <c r="Q48" s="569"/>
    </row>
    <row r="49" spans="3:17">
      <c r="C49" s="569"/>
      <c r="D49" s="569"/>
      <c r="E49" s="569"/>
      <c r="F49" s="569"/>
      <c r="G49" s="569"/>
      <c r="H49" s="569"/>
      <c r="I49" s="569"/>
      <c r="J49" s="569"/>
      <c r="K49" s="569"/>
      <c r="L49" s="569"/>
      <c r="M49" s="569"/>
      <c r="N49" s="569"/>
      <c r="O49" s="569"/>
      <c r="P49" s="569"/>
      <c r="Q49" s="569"/>
    </row>
    <row r="50" spans="3:17">
      <c r="C50" s="569"/>
      <c r="D50" s="569"/>
      <c r="E50" s="569"/>
      <c r="F50" s="569"/>
      <c r="G50" s="569"/>
      <c r="H50" s="569"/>
      <c r="I50" s="569"/>
      <c r="J50" s="569"/>
      <c r="K50" s="569"/>
      <c r="L50" s="569"/>
      <c r="M50" s="569"/>
      <c r="N50" s="569"/>
      <c r="O50" s="569"/>
      <c r="P50" s="569"/>
      <c r="Q50" s="569"/>
    </row>
    <row r="51" spans="3:17">
      <c r="C51" s="569"/>
      <c r="D51" s="569"/>
      <c r="E51" s="569"/>
      <c r="F51" s="569"/>
      <c r="G51" s="569"/>
      <c r="H51" s="569"/>
      <c r="I51" s="569"/>
      <c r="J51" s="569"/>
      <c r="K51" s="569"/>
      <c r="L51" s="569"/>
      <c r="M51" s="569"/>
      <c r="N51" s="569"/>
      <c r="O51" s="569"/>
      <c r="P51" s="569"/>
      <c r="Q51" s="569"/>
    </row>
    <row r="52" spans="3:17">
      <c r="C52" s="569"/>
      <c r="D52" s="569"/>
      <c r="E52" s="569"/>
      <c r="F52" s="569"/>
      <c r="G52" s="569"/>
      <c r="H52" s="569"/>
      <c r="I52" s="569"/>
      <c r="J52" s="569"/>
      <c r="K52" s="569"/>
      <c r="L52" s="569"/>
      <c r="M52" s="569"/>
      <c r="N52" s="569"/>
      <c r="O52" s="569"/>
      <c r="P52" s="569"/>
      <c r="Q52" s="569"/>
    </row>
    <row r="53" spans="3:17">
      <c r="C53" s="569"/>
      <c r="D53" s="569"/>
      <c r="E53" s="569"/>
      <c r="F53" s="569"/>
      <c r="G53" s="569"/>
      <c r="H53" s="569"/>
      <c r="I53" s="569"/>
      <c r="J53" s="569"/>
      <c r="K53" s="569"/>
      <c r="L53" s="569"/>
      <c r="M53" s="569"/>
      <c r="N53" s="569"/>
      <c r="O53" s="569"/>
      <c r="P53" s="569"/>
      <c r="Q53" s="569"/>
    </row>
    <row r="54" spans="3:17">
      <c r="C54" s="569"/>
      <c r="D54" s="569"/>
      <c r="E54" s="569"/>
      <c r="F54" s="569"/>
      <c r="G54" s="569"/>
      <c r="H54" s="569"/>
      <c r="I54" s="569"/>
      <c r="J54" s="569"/>
      <c r="K54" s="569"/>
      <c r="L54" s="569"/>
      <c r="M54" s="569"/>
      <c r="N54" s="569"/>
      <c r="O54" s="569"/>
      <c r="P54" s="569"/>
      <c r="Q54" s="569"/>
    </row>
    <row r="55" spans="3:17">
      <c r="C55" s="569"/>
      <c r="D55" s="569"/>
      <c r="E55" s="569"/>
      <c r="F55" s="569"/>
      <c r="G55" s="569"/>
      <c r="H55" s="569"/>
      <c r="I55" s="569"/>
      <c r="J55" s="569"/>
      <c r="K55" s="569"/>
      <c r="L55" s="569"/>
      <c r="M55" s="569"/>
      <c r="N55" s="569"/>
      <c r="O55" s="569"/>
      <c r="P55" s="569"/>
      <c r="Q55" s="569"/>
    </row>
    <row r="56" spans="3:17">
      <c r="C56" s="569"/>
      <c r="D56" s="569"/>
      <c r="E56" s="569"/>
      <c r="F56" s="569"/>
      <c r="G56" s="569"/>
      <c r="H56" s="569"/>
      <c r="I56" s="569"/>
      <c r="J56" s="569"/>
      <c r="K56" s="569"/>
      <c r="L56" s="569"/>
      <c r="M56" s="569"/>
      <c r="N56" s="569"/>
      <c r="O56" s="569"/>
      <c r="P56" s="569"/>
      <c r="Q56" s="569"/>
    </row>
    <row r="57" spans="3:17">
      <c r="C57" s="569"/>
      <c r="D57" s="569"/>
      <c r="E57" s="569"/>
      <c r="F57" s="569"/>
      <c r="G57" s="569"/>
      <c r="H57" s="569"/>
      <c r="I57" s="569"/>
      <c r="J57" s="569"/>
      <c r="K57" s="569"/>
      <c r="L57" s="569"/>
      <c r="M57" s="569"/>
      <c r="N57" s="569"/>
      <c r="O57" s="569"/>
      <c r="P57" s="569"/>
      <c r="Q57" s="569"/>
    </row>
    <row r="58" spans="3:17">
      <c r="C58" s="569"/>
      <c r="D58" s="569"/>
      <c r="E58" s="569"/>
      <c r="F58" s="569"/>
      <c r="G58" s="569"/>
      <c r="H58" s="569"/>
      <c r="I58" s="569"/>
      <c r="J58" s="569"/>
      <c r="K58" s="569"/>
      <c r="L58" s="569"/>
      <c r="M58" s="569"/>
      <c r="N58" s="569"/>
      <c r="O58" s="569"/>
      <c r="P58" s="569"/>
      <c r="Q58" s="569"/>
    </row>
    <row r="59" spans="3:17">
      <c r="C59" s="569"/>
      <c r="D59" s="569"/>
      <c r="E59" s="569"/>
      <c r="F59" s="569"/>
      <c r="G59" s="569"/>
      <c r="H59" s="569"/>
      <c r="I59" s="569"/>
      <c r="J59" s="569"/>
      <c r="K59" s="569"/>
      <c r="L59" s="569"/>
      <c r="M59" s="569"/>
      <c r="N59" s="569"/>
      <c r="O59" s="569"/>
      <c r="P59" s="569"/>
      <c r="Q59" s="569"/>
    </row>
    <row r="60" spans="3:17">
      <c r="C60" s="569"/>
      <c r="D60" s="569"/>
      <c r="E60" s="569"/>
      <c r="F60" s="569"/>
      <c r="G60" s="569"/>
      <c r="H60" s="569"/>
      <c r="I60" s="569"/>
      <c r="J60" s="569"/>
      <c r="K60" s="569"/>
      <c r="L60" s="569"/>
      <c r="M60" s="569"/>
      <c r="N60" s="569"/>
      <c r="O60" s="569"/>
      <c r="P60" s="569"/>
      <c r="Q60" s="569"/>
    </row>
    <row r="61" spans="3:17">
      <c r="C61" s="569"/>
      <c r="D61" s="569"/>
      <c r="E61" s="569"/>
      <c r="F61" s="569"/>
      <c r="G61" s="569"/>
      <c r="H61" s="569"/>
      <c r="I61" s="569"/>
      <c r="J61" s="569"/>
      <c r="K61" s="569"/>
      <c r="L61" s="569"/>
      <c r="M61" s="569"/>
      <c r="N61" s="569"/>
      <c r="O61" s="569"/>
      <c r="P61" s="569"/>
      <c r="Q61" s="569"/>
    </row>
    <row r="62" spans="3:17">
      <c r="C62" s="569"/>
      <c r="D62" s="569"/>
      <c r="E62" s="569"/>
      <c r="F62" s="569"/>
      <c r="G62" s="569"/>
      <c r="H62" s="569"/>
      <c r="I62" s="569"/>
      <c r="J62" s="569"/>
      <c r="K62" s="569"/>
      <c r="L62" s="569"/>
      <c r="M62" s="569"/>
      <c r="N62" s="569"/>
      <c r="O62" s="569"/>
      <c r="P62" s="569"/>
      <c r="Q62" s="569"/>
    </row>
    <row r="63" spans="3:17">
      <c r="C63" s="569"/>
      <c r="D63" s="569"/>
      <c r="E63" s="569"/>
      <c r="F63" s="569"/>
      <c r="G63" s="569"/>
      <c r="H63" s="569"/>
      <c r="I63" s="569"/>
      <c r="J63" s="569"/>
      <c r="K63" s="569"/>
      <c r="L63" s="569"/>
      <c r="M63" s="569"/>
      <c r="N63" s="569"/>
      <c r="O63" s="569"/>
      <c r="P63" s="569"/>
      <c r="Q63" s="569"/>
    </row>
    <row r="64" spans="3:17">
      <c r="C64" s="569"/>
      <c r="D64" s="569"/>
      <c r="E64" s="569"/>
      <c r="F64" s="569"/>
      <c r="G64" s="569"/>
      <c r="H64" s="569"/>
      <c r="I64" s="569"/>
      <c r="J64" s="569"/>
      <c r="K64" s="569"/>
      <c r="L64" s="569"/>
      <c r="M64" s="569"/>
      <c r="N64" s="569"/>
      <c r="O64" s="569"/>
      <c r="P64" s="569"/>
      <c r="Q64" s="569"/>
    </row>
    <row r="65" spans="3:3">
      <c r="C65" s="569"/>
    </row>
    <row r="66" spans="3:3">
      <c r="C66" s="569"/>
    </row>
    <row r="67" spans="3:3">
      <c r="C67" s="569"/>
    </row>
    <row r="68" spans="3:3">
      <c r="C68" s="569"/>
    </row>
    <row r="69" spans="3:3">
      <c r="C69" s="569"/>
    </row>
    <row r="70" spans="3:3">
      <c r="C70" s="569"/>
    </row>
    <row r="71" spans="3:3">
      <c r="C71" s="569"/>
    </row>
    <row r="72" spans="3:3">
      <c r="C72" s="569"/>
    </row>
    <row r="73" spans="3:3">
      <c r="C73" s="569"/>
    </row>
    <row r="74" spans="3:3">
      <c r="C74" s="569"/>
    </row>
    <row r="75" spans="3:3">
      <c r="C75" s="569"/>
    </row>
    <row r="76" spans="3:3">
      <c r="C76" s="569"/>
    </row>
    <row r="77" spans="3:3">
      <c r="C77" s="569"/>
    </row>
    <row r="78" spans="3:3">
      <c r="C78" s="569"/>
    </row>
    <row r="79" spans="3:3">
      <c r="C79" s="569"/>
    </row>
    <row r="80" spans="3:3">
      <c r="C80" s="569"/>
    </row>
    <row r="81" spans="3:3">
      <c r="C81" s="569"/>
    </row>
    <row r="82" spans="3:3">
      <c r="C82" s="569"/>
    </row>
    <row r="83" spans="3:3">
      <c r="C83" s="569"/>
    </row>
    <row r="84" spans="3:3">
      <c r="C84" s="569"/>
    </row>
    <row r="85" spans="3:3">
      <c r="C85" s="569"/>
    </row>
    <row r="86" spans="3:3">
      <c r="C86" s="569"/>
    </row>
  </sheetData>
  <conditionalFormatting sqref="I7:I34">
    <cfRule type="expression" dxfId="18" priority="1">
      <formula>(C7*#REF!)&lt;&gt;SUM(#REF!)</formula>
    </cfRule>
  </conditionalFormatting>
  <pageMargins left="0.7" right="0.7" top="0.75" bottom="0.75" header="0.3" footer="0.3"/>
  <pageSetup paperSize="9" scale="25" orientation="portrait" horizontalDpi="300" verticalDpi="300" r:id="rId1"/>
  <headerFooter>
    <oddFooter>&amp;C_x000D_&amp;1#&amp;"Aptos"&amp;10&amp;K000000 C4 - EXTERNAL CONFIDENTIAL</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55"/>
  <sheetViews>
    <sheetView tabSelected="1" zoomScale="80" zoomScaleNormal="80" workbookViewId="0">
      <pane xSplit="1" ySplit="5" topLeftCell="B6" activePane="bottomRight" state="frozen"/>
      <selection activeCell="B42" sqref="B42"/>
      <selection pane="topRight" activeCell="B42" sqref="B42"/>
      <selection pane="bottomLeft" activeCell="B42" sqref="B42"/>
      <selection pane="bottomRight" activeCell="I6" sqref="I6"/>
    </sheetView>
  </sheetViews>
  <sheetFormatPr defaultColWidth="9.21875" defaultRowHeight="13.8"/>
  <cols>
    <col min="1" max="1" width="9.554687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13">
      <c r="A1" s="2" t="s">
        <v>30</v>
      </c>
      <c r="B1" s="3" t="str">
        <f>'Info '!C2</f>
        <v xml:space="preserve">PASHA Bank Georgia JSC </v>
      </c>
    </row>
    <row r="2" spans="1:13">
      <c r="A2" s="2" t="s">
        <v>31</v>
      </c>
      <c r="B2" s="253">
        <v>46112</v>
      </c>
    </row>
    <row r="3" spans="1:13" ht="14.4" thickBot="1">
      <c r="A3" s="2"/>
    </row>
    <row r="4" spans="1:13" ht="15" customHeight="1" thickBot="1">
      <c r="A4" s="6" t="s">
        <v>93</v>
      </c>
      <c r="B4" s="7" t="s">
        <v>92</v>
      </c>
      <c r="C4" s="7"/>
      <c r="D4" s="727" t="s">
        <v>664</v>
      </c>
      <c r="E4" s="728"/>
      <c r="F4" s="728"/>
      <c r="G4" s="729"/>
    </row>
    <row r="5" spans="1:13">
      <c r="A5" s="8" t="s">
        <v>6</v>
      </c>
      <c r="B5" s="9"/>
      <c r="C5" s="251" t="str">
        <f>INT((MONTH($B$2))/3)&amp;"Q"&amp;"-"&amp;YEAR($B$2)</f>
        <v>1Q-2026</v>
      </c>
      <c r="D5" s="251" t="str">
        <f>IF(INT(MONTH($B$2))=3, "4"&amp;"Q"&amp;"-"&amp;YEAR($B$2)-1, IF(INT(MONTH($B$2))=6, "1"&amp;"Q"&amp;"-"&amp;YEAR($B$2), IF(INT(MONTH($B$2))=9, "2"&amp;"Q"&amp;"-"&amp;YEAR($B$2),IF(INT(MONTH($B$2))=12, "3"&amp;"Q"&amp;"-"&amp;YEAR($B$2), 0))))</f>
        <v>4Q-2025</v>
      </c>
      <c r="E5" s="251" t="str">
        <f>IF(INT(MONTH($B$2))=3, "3"&amp;"Q"&amp;"-"&amp;YEAR($B$2)-1, IF(INT(MONTH($B$2))=6, "4"&amp;"Q"&amp;"-"&amp;YEAR($B$2)-1, IF(INT(MONTH($B$2))=9, "1"&amp;"Q"&amp;"-"&amp;YEAR($B$2),IF(INT(MONTH($B$2))=12, "2"&amp;"Q"&amp;"-"&amp;YEAR($B$2), 0))))</f>
        <v>3Q-2025</v>
      </c>
      <c r="F5" s="251" t="str">
        <f>IF(INT(MONTH($B$2))=3, "2"&amp;"Q"&amp;"-"&amp;YEAR($B$2)-1, IF(INT(MONTH($B$2))=6, "3"&amp;"Q"&amp;"-"&amp;YEAR($B$2)-1, IF(INT(MONTH($B$2))=9, "4"&amp;"Q"&amp;"-"&amp;YEAR($B$2)-1,IF(INT(MONTH($B$2))=12, "1"&amp;"Q"&amp;"-"&amp;YEAR($B$2), 0))))</f>
        <v>2Q-2025</v>
      </c>
      <c r="G5" s="252" t="str">
        <f>IF(INT(MONTH($B$2))=3, "1"&amp;"Q"&amp;"-"&amp;YEAR($B$2)-1, IF(INT(MONTH($B$2))=6, "2"&amp;"Q"&amp;"-"&amp;YEAR($B$2)-1, IF(INT(MONTH($B$2))=9, "3"&amp;"Q"&amp;"-"&amp;YEAR($B$2)-1,IF(INT(MONTH($B$2))=12, "4"&amp;"Q"&amp;"-"&amp;YEAR($B$2)-1, 0))))</f>
        <v>1Q-2025</v>
      </c>
    </row>
    <row r="6" spans="1:13">
      <c r="B6" s="107" t="s">
        <v>91</v>
      </c>
      <c r="C6" s="254"/>
      <c r="D6" s="254"/>
      <c r="E6" s="254"/>
      <c r="F6" s="254"/>
      <c r="G6" s="255"/>
    </row>
    <row r="7" spans="1:13">
      <c r="A7" s="10"/>
      <c r="B7" s="108" t="s">
        <v>89</v>
      </c>
      <c r="C7" s="254"/>
      <c r="D7" s="254"/>
      <c r="E7" s="254"/>
      <c r="F7" s="254"/>
      <c r="G7" s="255"/>
    </row>
    <row r="8" spans="1:13">
      <c r="A8" s="8">
        <v>1</v>
      </c>
      <c r="B8" s="11" t="s">
        <v>327</v>
      </c>
      <c r="C8" s="635">
        <v>123996988.23999999</v>
      </c>
      <c r="D8" s="636">
        <v>120008533</v>
      </c>
      <c r="E8" s="636">
        <v>117400529</v>
      </c>
      <c r="F8" s="636">
        <v>116349646</v>
      </c>
      <c r="G8" s="637">
        <v>114576079</v>
      </c>
      <c r="H8" s="536"/>
      <c r="I8" s="536"/>
      <c r="J8" s="536"/>
      <c r="K8" s="536"/>
      <c r="L8" s="536"/>
      <c r="M8" s="535"/>
    </row>
    <row r="9" spans="1:13">
      <c r="A9" s="8">
        <v>2</v>
      </c>
      <c r="B9" s="11" t="s">
        <v>328</v>
      </c>
      <c r="C9" s="635">
        <v>137495988.24000001</v>
      </c>
      <c r="D9" s="636">
        <v>133484033</v>
      </c>
      <c r="E9" s="636">
        <v>117400529</v>
      </c>
      <c r="F9" s="636">
        <v>116349646</v>
      </c>
      <c r="G9" s="637">
        <v>114576079</v>
      </c>
      <c r="H9" s="536"/>
      <c r="I9" s="536"/>
      <c r="J9" s="536"/>
      <c r="K9" s="536"/>
      <c r="L9" s="536"/>
    </row>
    <row r="10" spans="1:13">
      <c r="A10" s="8">
        <v>3</v>
      </c>
      <c r="B10" s="11" t="s">
        <v>142</v>
      </c>
      <c r="C10" s="635">
        <v>165035870.37650001</v>
      </c>
      <c r="D10" s="636">
        <v>161784059</v>
      </c>
      <c r="E10" s="636">
        <v>148551729</v>
      </c>
      <c r="F10" s="636">
        <v>147671046</v>
      </c>
      <c r="G10" s="637">
        <v>146400029</v>
      </c>
      <c r="H10" s="536"/>
      <c r="I10" s="536"/>
      <c r="J10" s="536"/>
      <c r="K10" s="536"/>
      <c r="L10" s="536"/>
    </row>
    <row r="11" spans="1:13">
      <c r="A11" s="8">
        <v>4</v>
      </c>
      <c r="B11" s="11" t="s">
        <v>330</v>
      </c>
      <c r="C11" s="635">
        <v>103245717.77098197</v>
      </c>
      <c r="D11" s="636">
        <v>99904578</v>
      </c>
      <c r="E11" s="636">
        <v>92767886</v>
      </c>
      <c r="F11" s="636">
        <v>91960270</v>
      </c>
      <c r="G11" s="637">
        <v>93003478</v>
      </c>
      <c r="H11" s="536"/>
      <c r="I11" s="536"/>
      <c r="J11" s="536"/>
      <c r="K11" s="536"/>
      <c r="L11" s="536"/>
    </row>
    <row r="12" spans="1:13">
      <c r="A12" s="8">
        <v>5</v>
      </c>
      <c r="B12" s="11" t="s">
        <v>331</v>
      </c>
      <c r="C12" s="635">
        <v>125615571.49749964</v>
      </c>
      <c r="D12" s="636">
        <v>121785229</v>
      </c>
      <c r="E12" s="636">
        <v>112497001</v>
      </c>
      <c r="F12" s="636">
        <v>111431559</v>
      </c>
      <c r="G12" s="637">
        <v>112597127</v>
      </c>
      <c r="H12" s="536"/>
      <c r="I12" s="536"/>
      <c r="J12" s="536"/>
      <c r="K12" s="536"/>
      <c r="L12" s="536"/>
    </row>
    <row r="13" spans="1:13">
      <c r="A13" s="8">
        <v>6</v>
      </c>
      <c r="B13" s="11" t="s">
        <v>329</v>
      </c>
      <c r="C13" s="635">
        <v>155224620.89060685</v>
      </c>
      <c r="D13" s="636">
        <v>150750155</v>
      </c>
      <c r="E13" s="636">
        <v>138617933</v>
      </c>
      <c r="F13" s="636">
        <v>137213108</v>
      </c>
      <c r="G13" s="637">
        <v>138542812</v>
      </c>
      <c r="H13" s="536"/>
      <c r="I13" s="536"/>
      <c r="J13" s="536"/>
      <c r="K13" s="536"/>
      <c r="L13" s="536"/>
    </row>
    <row r="14" spans="1:13">
      <c r="A14" s="10"/>
      <c r="B14" s="107" t="s">
        <v>333</v>
      </c>
      <c r="C14" s="254"/>
      <c r="D14" s="254"/>
      <c r="E14" s="254"/>
      <c r="F14" s="254"/>
      <c r="G14" s="255"/>
      <c r="H14" s="536"/>
      <c r="I14" s="536"/>
      <c r="J14" s="536"/>
      <c r="K14" s="536"/>
      <c r="L14" s="536"/>
    </row>
    <row r="15" spans="1:13" ht="15" customHeight="1">
      <c r="A15" s="8">
        <v>7</v>
      </c>
      <c r="B15" s="11" t="s">
        <v>332</v>
      </c>
      <c r="C15" s="638">
        <v>665119061.21895492</v>
      </c>
      <c r="D15" s="636">
        <v>663462800</v>
      </c>
      <c r="E15" s="636">
        <v>613965125</v>
      </c>
      <c r="F15" s="636">
        <v>613446915</v>
      </c>
      <c r="G15" s="637">
        <v>625359653</v>
      </c>
      <c r="H15" s="536"/>
      <c r="I15" s="536"/>
      <c r="J15" s="536"/>
      <c r="K15" s="536"/>
      <c r="L15" s="536"/>
    </row>
    <row r="16" spans="1:13">
      <c r="A16" s="10"/>
      <c r="B16" s="107" t="s">
        <v>334</v>
      </c>
      <c r="C16" s="254"/>
      <c r="D16" s="254"/>
      <c r="E16" s="254"/>
      <c r="F16" s="254"/>
      <c r="G16" s="255"/>
      <c r="H16" s="536"/>
      <c r="I16" s="536"/>
      <c r="J16" s="536"/>
      <c r="K16" s="536"/>
      <c r="L16" s="536"/>
    </row>
    <row r="17" spans="1:12">
      <c r="A17" s="8"/>
      <c r="B17" s="108" t="s">
        <v>715</v>
      </c>
      <c r="C17" s="254"/>
      <c r="D17" s="254"/>
      <c r="E17" s="254"/>
      <c r="F17" s="254"/>
      <c r="G17" s="255"/>
      <c r="H17" s="536"/>
      <c r="I17" s="536"/>
      <c r="J17" s="536"/>
      <c r="K17" s="536"/>
      <c r="L17" s="536"/>
    </row>
    <row r="18" spans="1:12">
      <c r="A18" s="8">
        <v>8</v>
      </c>
      <c r="B18" s="11" t="s">
        <v>327</v>
      </c>
      <c r="C18" s="639">
        <v>0.18642825844255967</v>
      </c>
      <c r="D18" s="640">
        <v>0.18090000000000001</v>
      </c>
      <c r="E18" s="640">
        <v>0.19120000000000001</v>
      </c>
      <c r="F18" s="640">
        <v>0.18970000000000001</v>
      </c>
      <c r="G18" s="641">
        <v>0.1832</v>
      </c>
      <c r="H18" s="536"/>
      <c r="I18" s="536"/>
      <c r="J18" s="536"/>
      <c r="K18" s="536"/>
      <c r="L18" s="536"/>
    </row>
    <row r="19" spans="1:12" ht="15" customHeight="1">
      <c r="A19" s="8">
        <v>9</v>
      </c>
      <c r="B19" s="11" t="s">
        <v>328</v>
      </c>
      <c r="C19" s="639">
        <v>0.20672387284768673</v>
      </c>
      <c r="D19" s="640">
        <v>0.20119999999999999</v>
      </c>
      <c r="E19" s="640">
        <v>0.19120000000000001</v>
      </c>
      <c r="F19" s="640">
        <v>0.18970000000000001</v>
      </c>
      <c r="G19" s="641">
        <v>0.1832</v>
      </c>
      <c r="H19" s="536"/>
      <c r="I19" s="536"/>
      <c r="J19" s="536"/>
      <c r="K19" s="536"/>
      <c r="L19" s="536"/>
    </row>
    <row r="20" spans="1:12">
      <c r="A20" s="8">
        <v>10</v>
      </c>
      <c r="B20" s="11" t="s">
        <v>142</v>
      </c>
      <c r="C20" s="639">
        <v>0.24812981614756455</v>
      </c>
      <c r="D20" s="640">
        <v>0.24379999999999999</v>
      </c>
      <c r="E20" s="640">
        <v>0.24199999999999999</v>
      </c>
      <c r="F20" s="640">
        <v>0.2407</v>
      </c>
      <c r="G20" s="641">
        <v>0.2341</v>
      </c>
      <c r="H20" s="536"/>
      <c r="I20" s="536"/>
      <c r="J20" s="536"/>
      <c r="K20" s="536"/>
      <c r="L20" s="536"/>
    </row>
    <row r="21" spans="1:12">
      <c r="A21" s="8">
        <v>11</v>
      </c>
      <c r="B21" s="11" t="s">
        <v>330</v>
      </c>
      <c r="C21" s="639">
        <v>0.15522892635457614</v>
      </c>
      <c r="D21" s="640">
        <v>0.15060000000000001</v>
      </c>
      <c r="E21" s="640">
        <v>0.15110000000000001</v>
      </c>
      <c r="F21" s="640">
        <v>0.14990000000000001</v>
      </c>
      <c r="G21" s="641">
        <v>0.1487</v>
      </c>
      <c r="H21" s="536"/>
      <c r="I21" s="536"/>
      <c r="J21" s="536"/>
      <c r="K21" s="536"/>
      <c r="L21" s="536"/>
    </row>
    <row r="22" spans="1:12">
      <c r="A22" s="8">
        <v>12</v>
      </c>
      <c r="B22" s="11" t="s">
        <v>331</v>
      </c>
      <c r="C22" s="639">
        <v>0.18886178253151495</v>
      </c>
      <c r="D22" s="640">
        <v>0.18360000000000001</v>
      </c>
      <c r="E22" s="640">
        <v>0.1832</v>
      </c>
      <c r="F22" s="640">
        <v>0.18160000000000001</v>
      </c>
      <c r="G22" s="641">
        <v>0.18010000000000001</v>
      </c>
      <c r="H22" s="536"/>
      <c r="I22" s="536"/>
      <c r="J22" s="536"/>
      <c r="K22" s="536"/>
      <c r="L22" s="536"/>
    </row>
    <row r="23" spans="1:12">
      <c r="A23" s="8">
        <v>13</v>
      </c>
      <c r="B23" s="11" t="s">
        <v>329</v>
      </c>
      <c r="C23" s="639">
        <v>0.23337869855380289</v>
      </c>
      <c r="D23" s="639">
        <v>0.22720000000000001</v>
      </c>
      <c r="E23" s="639">
        <v>0.2258</v>
      </c>
      <c r="F23" s="639">
        <v>0.22370000000000001</v>
      </c>
      <c r="G23" s="639">
        <v>0.2215</v>
      </c>
      <c r="H23" s="536"/>
      <c r="I23" s="536"/>
      <c r="J23" s="536"/>
      <c r="K23" s="536"/>
      <c r="L23" s="536"/>
    </row>
    <row r="24" spans="1:12">
      <c r="A24" s="443"/>
      <c r="B24" s="107" t="s">
        <v>700</v>
      </c>
      <c r="C24" s="173"/>
      <c r="D24" s="173"/>
      <c r="E24" s="173"/>
      <c r="F24" s="173"/>
      <c r="G24" s="442"/>
      <c r="H24" s="536"/>
      <c r="I24" s="536"/>
      <c r="J24" s="536"/>
      <c r="K24" s="536"/>
      <c r="L24" s="536"/>
    </row>
    <row r="25" spans="1:12" ht="26.4">
      <c r="A25" s="8">
        <v>14</v>
      </c>
      <c r="B25" s="11" t="s">
        <v>701</v>
      </c>
      <c r="C25" s="639">
        <v>0</v>
      </c>
      <c r="D25" s="639">
        <v>0</v>
      </c>
      <c r="E25" s="639">
        <v>0</v>
      </c>
      <c r="F25" s="639">
        <v>0</v>
      </c>
      <c r="G25" s="641">
        <v>0</v>
      </c>
      <c r="H25" s="536"/>
      <c r="I25" s="536"/>
      <c r="J25" s="536"/>
      <c r="K25" s="536"/>
      <c r="L25" s="536"/>
    </row>
    <row r="26" spans="1:12">
      <c r="A26" s="10"/>
      <c r="B26" s="107" t="s">
        <v>88</v>
      </c>
      <c r="C26" s="254"/>
      <c r="D26" s="254"/>
      <c r="E26" s="254"/>
      <c r="F26" s="254"/>
      <c r="G26" s="255"/>
      <c r="H26" s="536"/>
      <c r="I26" s="536"/>
      <c r="J26" s="536"/>
      <c r="K26" s="536"/>
      <c r="L26" s="536"/>
    </row>
    <row r="27" spans="1:12" ht="15" customHeight="1">
      <c r="A27" s="256">
        <v>15</v>
      </c>
      <c r="B27" s="11" t="s">
        <v>87</v>
      </c>
      <c r="C27" s="621">
        <v>8.5284165021927899E-2</v>
      </c>
      <c r="D27" s="622">
        <v>8.0500000000000002E-2</v>
      </c>
      <c r="E27" s="622">
        <v>7.9100000000000004E-2</v>
      </c>
      <c r="F27" s="622">
        <v>7.7700000000000005E-2</v>
      </c>
      <c r="G27" s="623">
        <v>7.5200000000000003E-2</v>
      </c>
      <c r="H27" s="536"/>
      <c r="I27" s="536"/>
      <c r="J27" s="536"/>
      <c r="K27" s="536"/>
      <c r="L27" s="536"/>
    </row>
    <row r="28" spans="1:12">
      <c r="A28" s="256">
        <v>16</v>
      </c>
      <c r="B28" s="11" t="s">
        <v>86</v>
      </c>
      <c r="C28" s="621">
        <v>5.1469192318924724E-2</v>
      </c>
      <c r="D28" s="622">
        <v>4.4900000000000002E-2</v>
      </c>
      <c r="E28" s="622">
        <v>4.3499999999999997E-2</v>
      </c>
      <c r="F28" s="622">
        <v>4.07E-2</v>
      </c>
      <c r="G28" s="623">
        <v>3.9699999999999999E-2</v>
      </c>
      <c r="H28" s="536"/>
      <c r="I28" s="536"/>
      <c r="J28" s="536"/>
      <c r="K28" s="536"/>
      <c r="L28" s="536"/>
    </row>
    <row r="29" spans="1:12">
      <c r="A29" s="256">
        <v>17</v>
      </c>
      <c r="B29" s="11" t="s">
        <v>85</v>
      </c>
      <c r="C29" s="621">
        <v>9.3205095786762476E-2</v>
      </c>
      <c r="D29" s="622">
        <v>8.2400000000000001E-2</v>
      </c>
      <c r="E29" s="622">
        <v>7.6300000000000007E-2</v>
      </c>
      <c r="F29" s="622">
        <v>7.0800000000000002E-2</v>
      </c>
      <c r="G29" s="623">
        <v>7.9799999999999996E-2</v>
      </c>
      <c r="H29" s="536"/>
      <c r="I29" s="536"/>
      <c r="J29" s="536"/>
      <c r="K29" s="536"/>
      <c r="L29" s="536"/>
    </row>
    <row r="30" spans="1:12">
      <c r="A30" s="256">
        <v>18</v>
      </c>
      <c r="B30" s="11" t="s">
        <v>84</v>
      </c>
      <c r="C30" s="621">
        <v>3.3814972703003161E-2</v>
      </c>
      <c r="D30" s="622">
        <v>3.56E-2</v>
      </c>
      <c r="E30" s="622">
        <v>3.56E-2</v>
      </c>
      <c r="F30" s="622">
        <v>3.6999999999999998E-2</v>
      </c>
      <c r="G30" s="623">
        <v>3.5499999999999997E-2</v>
      </c>
      <c r="H30" s="536"/>
      <c r="I30" s="536"/>
      <c r="J30" s="536"/>
      <c r="K30" s="536"/>
      <c r="L30" s="536"/>
    </row>
    <row r="31" spans="1:12">
      <c r="A31" s="256">
        <v>19</v>
      </c>
      <c r="B31" s="11" t="s">
        <v>154</v>
      </c>
      <c r="C31" s="621">
        <v>2.4163580114995285E-2</v>
      </c>
      <c r="D31" s="622">
        <v>3.7000000000000002E-3</v>
      </c>
      <c r="E31" s="622">
        <v>2.3999999999999998E-3</v>
      </c>
      <c r="F31" s="622">
        <v>1.2999999999999999E-3</v>
      </c>
      <c r="G31" s="623">
        <v>-5.3E-3</v>
      </c>
      <c r="H31" s="536"/>
      <c r="I31" s="536"/>
      <c r="J31" s="536"/>
      <c r="K31" s="536"/>
      <c r="L31" s="536"/>
    </row>
    <row r="32" spans="1:12">
      <c r="A32" s="256">
        <v>20</v>
      </c>
      <c r="B32" s="11" t="s">
        <v>155</v>
      </c>
      <c r="C32" s="621">
        <v>0.11424270030463911</v>
      </c>
      <c r="D32" s="622">
        <v>1.9E-2</v>
      </c>
      <c r="E32" s="622">
        <v>1.2500000000000001E-2</v>
      </c>
      <c r="F32" s="622">
        <v>7.0000000000000001E-3</v>
      </c>
      <c r="G32" s="623">
        <v>-3.0099999999999998E-2</v>
      </c>
      <c r="H32" s="536"/>
      <c r="I32" s="536"/>
      <c r="J32" s="536"/>
      <c r="K32" s="536"/>
      <c r="L32" s="536"/>
    </row>
    <row r="33" spans="1:12">
      <c r="A33" s="10"/>
      <c r="B33" s="107" t="s">
        <v>216</v>
      </c>
      <c r="C33" s="173"/>
      <c r="D33" s="173"/>
      <c r="E33" s="173"/>
      <c r="F33" s="173"/>
      <c r="G33" s="442"/>
      <c r="H33" s="536"/>
      <c r="I33" s="536"/>
      <c r="J33" s="536"/>
      <c r="K33" s="536"/>
      <c r="L33" s="536"/>
    </row>
    <row r="34" spans="1:12">
      <c r="A34" s="256">
        <v>21</v>
      </c>
      <c r="B34" s="11" t="s">
        <v>83</v>
      </c>
      <c r="C34" s="621">
        <v>4.6527966556930679E-2</v>
      </c>
      <c r="D34" s="622">
        <v>6.6400000000000001E-2</v>
      </c>
      <c r="E34" s="622">
        <v>8.5300000000000001E-2</v>
      </c>
      <c r="F34" s="622">
        <v>8.2600000000000007E-2</v>
      </c>
      <c r="G34" s="623">
        <v>7.6899999999999996E-2</v>
      </c>
      <c r="H34" s="536"/>
      <c r="I34" s="536"/>
      <c r="J34" s="536"/>
      <c r="K34" s="536"/>
      <c r="L34" s="536"/>
    </row>
    <row r="35" spans="1:12" ht="15" customHeight="1">
      <c r="A35" s="256">
        <v>22</v>
      </c>
      <c r="B35" s="11" t="s">
        <v>674</v>
      </c>
      <c r="C35" s="621">
        <v>1.5491246782364073E-2</v>
      </c>
      <c r="D35" s="622">
        <v>2.1999999999999999E-2</v>
      </c>
      <c r="E35" s="622">
        <v>3.1399999999999997E-2</v>
      </c>
      <c r="F35" s="622">
        <v>3.1E-2</v>
      </c>
      <c r="G35" s="623">
        <v>2.8500000000000001E-2</v>
      </c>
      <c r="H35" s="536"/>
      <c r="I35" s="536"/>
      <c r="J35" s="536"/>
      <c r="K35" s="536"/>
      <c r="L35" s="536"/>
    </row>
    <row r="36" spans="1:12">
      <c r="A36" s="256">
        <v>23</v>
      </c>
      <c r="B36" s="11" t="s">
        <v>82</v>
      </c>
      <c r="C36" s="621">
        <v>0.70836656931216735</v>
      </c>
      <c r="D36" s="622">
        <v>0.6875</v>
      </c>
      <c r="E36" s="622">
        <v>0.61539999999999995</v>
      </c>
      <c r="F36" s="622">
        <v>0.57599999999999996</v>
      </c>
      <c r="G36" s="623">
        <v>0.5716</v>
      </c>
      <c r="H36" s="536"/>
      <c r="I36" s="536"/>
      <c r="J36" s="536"/>
      <c r="K36" s="536"/>
      <c r="L36" s="536"/>
    </row>
    <row r="37" spans="1:12" ht="15" customHeight="1">
      <c r="A37" s="256">
        <v>24</v>
      </c>
      <c r="B37" s="11" t="s">
        <v>81</v>
      </c>
      <c r="C37" s="621">
        <v>0.56579689118153498</v>
      </c>
      <c r="D37" s="622">
        <v>0.57999999999999996</v>
      </c>
      <c r="E37" s="622">
        <v>0.50580000000000003</v>
      </c>
      <c r="F37" s="622">
        <v>0.52739999999999998</v>
      </c>
      <c r="G37" s="623">
        <v>0.56610000000000005</v>
      </c>
      <c r="H37" s="536"/>
      <c r="I37" s="536"/>
      <c r="J37" s="536"/>
      <c r="K37" s="536"/>
      <c r="L37" s="536"/>
    </row>
    <row r="38" spans="1:12">
      <c r="A38" s="256">
        <v>25</v>
      </c>
      <c r="B38" s="11" t="s">
        <v>80</v>
      </c>
      <c r="C38" s="621">
        <v>-1.4049809363959609E-2</v>
      </c>
      <c r="D38" s="622">
        <v>0.19170000000000001</v>
      </c>
      <c r="E38" s="622">
        <v>3.3500000000000002E-2</v>
      </c>
      <c r="F38" s="622">
        <v>3.7600000000000001E-2</v>
      </c>
      <c r="G38" s="623">
        <v>9.6699999999999994E-2</v>
      </c>
      <c r="H38" s="536"/>
      <c r="I38" s="536"/>
      <c r="J38" s="536"/>
      <c r="K38" s="536"/>
      <c r="L38" s="536"/>
    </row>
    <row r="39" spans="1:12" ht="15" customHeight="1">
      <c r="A39" s="10"/>
      <c r="B39" s="107" t="s">
        <v>217</v>
      </c>
      <c r="C39" s="173"/>
      <c r="D39" s="173"/>
      <c r="E39" s="173"/>
      <c r="F39" s="173"/>
      <c r="G39" s="442"/>
      <c r="H39" s="536"/>
      <c r="I39" s="536"/>
      <c r="J39" s="536"/>
      <c r="K39" s="536"/>
      <c r="L39" s="536"/>
    </row>
    <row r="40" spans="1:12" ht="15" customHeight="1">
      <c r="A40" s="256">
        <v>26</v>
      </c>
      <c r="B40" s="11" t="s">
        <v>79</v>
      </c>
      <c r="C40" s="621">
        <v>0.21930046878339277</v>
      </c>
      <c r="D40" s="621">
        <v>0.1971</v>
      </c>
      <c r="E40" s="621">
        <v>0.17910000000000001</v>
      </c>
      <c r="F40" s="621">
        <v>0.18859999999999999</v>
      </c>
      <c r="G40" s="624">
        <v>0.1222</v>
      </c>
      <c r="H40" s="536"/>
      <c r="I40" s="536"/>
      <c r="J40" s="536"/>
      <c r="K40" s="536"/>
      <c r="L40" s="536"/>
    </row>
    <row r="41" spans="1:12" ht="15" customHeight="1">
      <c r="A41" s="256">
        <v>27</v>
      </c>
      <c r="B41" s="11" t="s">
        <v>78</v>
      </c>
      <c r="C41" s="621">
        <v>0.47902588809589547</v>
      </c>
      <c r="D41" s="621">
        <v>0.51749999999999996</v>
      </c>
      <c r="E41" s="621">
        <v>0.57420000000000004</v>
      </c>
      <c r="F41" s="621">
        <v>0.58089999999999997</v>
      </c>
      <c r="G41" s="624">
        <v>0.70679999999999998</v>
      </c>
      <c r="H41" s="536"/>
      <c r="I41" s="536"/>
      <c r="J41" s="536"/>
      <c r="K41" s="536"/>
      <c r="L41" s="536"/>
    </row>
    <row r="42" spans="1:12" ht="15" customHeight="1">
      <c r="A42" s="256">
        <v>28</v>
      </c>
      <c r="B42" s="11" t="s">
        <v>77</v>
      </c>
      <c r="C42" s="621">
        <v>0.12481885918537233</v>
      </c>
      <c r="D42" s="621">
        <v>0.12759999999999999</v>
      </c>
      <c r="E42" s="621">
        <v>0.14180000000000001</v>
      </c>
      <c r="F42" s="621">
        <v>0.17219999999999999</v>
      </c>
      <c r="G42" s="624">
        <v>0.23130000000000001</v>
      </c>
      <c r="H42" s="536"/>
      <c r="I42" s="536"/>
      <c r="J42" s="536"/>
      <c r="K42" s="536"/>
      <c r="L42" s="536"/>
    </row>
    <row r="43" spans="1:12" ht="15" customHeight="1">
      <c r="A43" s="257"/>
      <c r="B43" s="107" t="s">
        <v>258</v>
      </c>
      <c r="C43" s="173"/>
      <c r="D43" s="173"/>
      <c r="E43" s="173"/>
      <c r="F43" s="173"/>
      <c r="G43" s="442"/>
      <c r="H43" s="536"/>
      <c r="I43" s="536"/>
      <c r="J43" s="536"/>
      <c r="K43" s="536"/>
      <c r="L43" s="536"/>
    </row>
    <row r="44" spans="1:12">
      <c r="A44" s="256">
        <v>29</v>
      </c>
      <c r="B44" s="11" t="s">
        <v>241</v>
      </c>
      <c r="C44" s="625">
        <v>194765241.62771997</v>
      </c>
      <c r="D44" s="625">
        <v>204256224</v>
      </c>
      <c r="E44" s="625">
        <v>184076299</v>
      </c>
      <c r="F44" s="625">
        <v>174812887</v>
      </c>
      <c r="G44" s="626">
        <v>224546182</v>
      </c>
      <c r="H44" s="536"/>
      <c r="I44" s="536"/>
      <c r="J44" s="536"/>
      <c r="K44" s="536"/>
      <c r="L44" s="536"/>
    </row>
    <row r="45" spans="1:12" ht="15" customHeight="1">
      <c r="A45" s="256">
        <v>30</v>
      </c>
      <c r="B45" s="11" t="s">
        <v>253</v>
      </c>
      <c r="C45" s="625">
        <v>137418651.47069088</v>
      </c>
      <c r="D45" s="627">
        <v>126810871</v>
      </c>
      <c r="E45" s="627">
        <v>139724965</v>
      </c>
      <c r="F45" s="627">
        <v>138848413</v>
      </c>
      <c r="G45" s="628">
        <v>184337200</v>
      </c>
      <c r="H45" s="536"/>
      <c r="I45" s="536"/>
      <c r="J45" s="536"/>
      <c r="K45" s="536"/>
      <c r="L45" s="536"/>
    </row>
    <row r="46" spans="1:12" ht="15" customHeight="1">
      <c r="A46" s="293">
        <v>31</v>
      </c>
      <c r="B46" s="294" t="s">
        <v>242</v>
      </c>
      <c r="C46" s="621">
        <v>1.4173130033171675</v>
      </c>
      <c r="D46" s="621">
        <v>1.6107</v>
      </c>
      <c r="E46" s="621">
        <v>1.3173999999999999</v>
      </c>
      <c r="F46" s="621">
        <v>1.2589999999999999</v>
      </c>
      <c r="G46" s="624">
        <v>1.2181</v>
      </c>
      <c r="H46" s="536"/>
      <c r="I46" s="536"/>
      <c r="J46" s="536"/>
      <c r="K46" s="536"/>
      <c r="L46" s="536"/>
    </row>
    <row r="47" spans="1:12" ht="15" customHeight="1">
      <c r="A47" s="293"/>
      <c r="B47" s="107" t="s">
        <v>337</v>
      </c>
      <c r="C47" s="173"/>
      <c r="D47" s="173"/>
      <c r="E47" s="173"/>
      <c r="F47" s="173"/>
      <c r="G47" s="442"/>
      <c r="H47" s="536"/>
      <c r="I47" s="536"/>
      <c r="J47" s="536"/>
      <c r="K47" s="536"/>
      <c r="L47" s="536"/>
    </row>
    <row r="48" spans="1:12" ht="15" customHeight="1">
      <c r="A48" s="293">
        <v>32</v>
      </c>
      <c r="B48" s="294" t="s">
        <v>344</v>
      </c>
      <c r="C48" s="629">
        <v>429841400.50814503</v>
      </c>
      <c r="D48" s="630">
        <v>428942261</v>
      </c>
      <c r="E48" s="630">
        <v>416365639</v>
      </c>
      <c r="F48" s="630">
        <v>391474580</v>
      </c>
      <c r="G48" s="631">
        <v>402681590</v>
      </c>
      <c r="H48" s="536"/>
      <c r="I48" s="536"/>
      <c r="J48" s="536"/>
      <c r="K48" s="536"/>
      <c r="L48" s="536"/>
    </row>
    <row r="49" spans="1:12" ht="15" customHeight="1">
      <c r="A49" s="293">
        <v>33</v>
      </c>
      <c r="B49" s="294" t="s">
        <v>359</v>
      </c>
      <c r="C49" s="629">
        <v>375128577.87517488</v>
      </c>
      <c r="D49" s="630">
        <v>364704269</v>
      </c>
      <c r="E49" s="630">
        <v>309508979</v>
      </c>
      <c r="F49" s="630">
        <v>299001893</v>
      </c>
      <c r="G49" s="631">
        <v>306246443</v>
      </c>
      <c r="H49" s="536"/>
      <c r="I49" s="536"/>
      <c r="J49" s="536"/>
      <c r="K49" s="536"/>
      <c r="L49" s="536"/>
    </row>
    <row r="50" spans="1:12" ht="14.4" thickBot="1">
      <c r="A50" s="258">
        <v>34</v>
      </c>
      <c r="B50" s="109" t="s">
        <v>377</v>
      </c>
      <c r="C50" s="632">
        <v>1.1458508518409281</v>
      </c>
      <c r="D50" s="633">
        <v>1.1760999999999999</v>
      </c>
      <c r="E50" s="633">
        <v>1.3452</v>
      </c>
      <c r="F50" s="633">
        <v>1.3092999999999999</v>
      </c>
      <c r="G50" s="634">
        <v>1.3149</v>
      </c>
      <c r="H50" s="536"/>
      <c r="I50" s="536"/>
      <c r="J50" s="536"/>
      <c r="K50" s="536"/>
      <c r="L50" s="536"/>
    </row>
    <row r="51" spans="1:12">
      <c r="A51" s="12"/>
    </row>
    <row r="52" spans="1:12">
      <c r="B52" s="165"/>
    </row>
    <row r="53" spans="1:12" ht="52.8">
      <c r="B53" s="165" t="s">
        <v>257</v>
      </c>
    </row>
    <row r="55" spans="1:12" ht="14.4">
      <c r="B55" s="164"/>
    </row>
  </sheetData>
  <mergeCells count="1">
    <mergeCell ref="D4:G4"/>
  </mergeCells>
  <pageMargins left="0.7" right="0.7" top="0.75" bottom="0.75" header="0.3" footer="0.3"/>
  <pageSetup paperSize="9" scale="51" orientation="portrait" horizontalDpi="300" verticalDpi="300" r:id="rId1"/>
  <headerFooter>
    <oddFooter>&amp;C_x000D_&amp;1#&amp;"Aptos"&amp;10&amp;K000000 C4 - EXTERNAL CONFIDENTIAL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D37"/>
  <sheetViews>
    <sheetView zoomScale="80" zoomScaleNormal="80" workbookViewId="0">
      <selection activeCell="F8" sqref="F8"/>
    </sheetView>
  </sheetViews>
  <sheetFormatPr defaultColWidth="8.77734375" defaultRowHeight="13.8"/>
  <cols>
    <col min="1" max="1" width="11.44140625" style="445" customWidth="1"/>
    <col min="2" max="2" width="76.77734375" style="508" customWidth="1"/>
    <col min="3" max="3" width="22.77734375" style="445" customWidth="1"/>
    <col min="4" max="16384" width="8.77734375" style="445"/>
  </cols>
  <sheetData>
    <row r="1" spans="1:4">
      <c r="A1" s="125" t="s">
        <v>30</v>
      </c>
      <c r="B1" s="444" t="str">
        <f>'Info '!C2</f>
        <v xml:space="preserve">PASHA Bank Georgia JSC </v>
      </c>
    </row>
    <row r="2" spans="1:4">
      <c r="A2" s="125" t="s">
        <v>31</v>
      </c>
      <c r="B2" s="446">
        <f>'1. key ratios '!B2</f>
        <v>46112</v>
      </c>
    </row>
    <row r="3" spans="1:4">
      <c r="B3" s="445"/>
    </row>
    <row r="4" spans="1:4">
      <c r="A4" s="445" t="s">
        <v>295</v>
      </c>
      <c r="B4" s="445" t="s">
        <v>296</v>
      </c>
    </row>
    <row r="5" spans="1:4">
      <c r="A5" s="491" t="s">
        <v>297</v>
      </c>
      <c r="B5" s="492"/>
      <c r="C5" s="493"/>
    </row>
    <row r="6" spans="1:4" ht="27.6">
      <c r="A6" s="497">
        <v>1</v>
      </c>
      <c r="B6" s="498" t="s">
        <v>751</v>
      </c>
      <c r="C6" s="499">
        <v>669046474.63789988</v>
      </c>
      <c r="D6" s="518"/>
    </row>
    <row r="7" spans="1:4">
      <c r="A7" s="497">
        <v>2</v>
      </c>
      <c r="B7" s="498" t="s">
        <v>298</v>
      </c>
      <c r="C7" s="499">
        <v>-5422910.7300000004</v>
      </c>
      <c r="D7" s="518"/>
    </row>
    <row r="8" spans="1:4" ht="27.6">
      <c r="A8" s="500">
        <v>3</v>
      </c>
      <c r="B8" s="501" t="s">
        <v>299</v>
      </c>
      <c r="C8" s="499">
        <f>C6+C7</f>
        <v>663623563.90789986</v>
      </c>
      <c r="D8" s="518"/>
    </row>
    <row r="9" spans="1:4">
      <c r="A9" s="491" t="s">
        <v>300</v>
      </c>
      <c r="B9" s="492"/>
      <c r="C9" s="494"/>
      <c r="D9" s="518"/>
    </row>
    <row r="10" spans="1:4" ht="25.8" customHeight="1">
      <c r="A10" s="497">
        <v>4</v>
      </c>
      <c r="B10" s="502" t="s">
        <v>749</v>
      </c>
      <c r="C10" s="499">
        <f>'15. CCR '!F34</f>
        <v>659074.36</v>
      </c>
      <c r="D10" s="518"/>
    </row>
    <row r="11" spans="1:4" ht="25.8" customHeight="1">
      <c r="A11" s="497">
        <v>5</v>
      </c>
      <c r="B11" s="503" t="s">
        <v>750</v>
      </c>
      <c r="C11" s="499">
        <f>'15. CCR '!G34</f>
        <v>722616.90030811517</v>
      </c>
      <c r="D11" s="518"/>
    </row>
    <row r="12" spans="1:4" ht="25.8" customHeight="1">
      <c r="A12" s="497">
        <v>6</v>
      </c>
      <c r="B12" s="503" t="s">
        <v>743</v>
      </c>
      <c r="C12" s="499">
        <f>'15. CCR '!I34</f>
        <v>1934367.7644313613</v>
      </c>
      <c r="D12" s="518"/>
    </row>
    <row r="13" spans="1:4" ht="25.8" customHeight="1">
      <c r="A13" s="504">
        <v>7</v>
      </c>
      <c r="B13" s="502" t="s">
        <v>744</v>
      </c>
      <c r="C13" s="499">
        <f>'15. CCR '!E34</f>
        <v>29303853.969999999</v>
      </c>
      <c r="D13" s="518"/>
    </row>
    <row r="14" spans="1:4" ht="25.8" customHeight="1">
      <c r="A14" s="500">
        <v>8</v>
      </c>
      <c r="B14" s="495" t="s">
        <v>301</v>
      </c>
      <c r="C14" s="505">
        <f>C12</f>
        <v>1934367.7644313613</v>
      </c>
      <c r="D14" s="518"/>
    </row>
    <row r="15" spans="1:4">
      <c r="A15" s="491" t="s">
        <v>302</v>
      </c>
      <c r="B15" s="492"/>
      <c r="C15" s="494"/>
      <c r="D15" s="518"/>
    </row>
    <row r="16" spans="1:4" ht="27.6">
      <c r="A16" s="504">
        <v>9</v>
      </c>
      <c r="B16" s="502" t="s">
        <v>303</v>
      </c>
      <c r="C16" s="499"/>
      <c r="D16" s="518"/>
    </row>
    <row r="17" spans="1:4">
      <c r="A17" s="504">
        <v>10</v>
      </c>
      <c r="B17" s="502" t="s">
        <v>304</v>
      </c>
      <c r="C17" s="499"/>
      <c r="D17" s="518"/>
    </row>
    <row r="18" spans="1:4">
      <c r="A18" s="504">
        <v>11</v>
      </c>
      <c r="B18" s="502" t="s">
        <v>305</v>
      </c>
      <c r="C18" s="499"/>
      <c r="D18" s="518"/>
    </row>
    <row r="19" spans="1:4" ht="27.6">
      <c r="A19" s="504">
        <v>12</v>
      </c>
      <c r="B19" s="502" t="s">
        <v>306</v>
      </c>
      <c r="C19" s="499"/>
      <c r="D19" s="518"/>
    </row>
    <row r="20" spans="1:4">
      <c r="A20" s="504">
        <v>14</v>
      </c>
      <c r="B20" s="502" t="s">
        <v>307</v>
      </c>
      <c r="C20" s="499"/>
      <c r="D20" s="518"/>
    </row>
    <row r="21" spans="1:4">
      <c r="A21" s="504">
        <v>14</v>
      </c>
      <c r="B21" s="502" t="s">
        <v>308</v>
      </c>
      <c r="C21" s="499"/>
      <c r="D21" s="518"/>
    </row>
    <row r="22" spans="1:4">
      <c r="A22" s="500">
        <v>15</v>
      </c>
      <c r="B22" s="495" t="s">
        <v>309</v>
      </c>
      <c r="C22" s="505">
        <f>SUM(C16:C21)</f>
        <v>0</v>
      </c>
      <c r="D22" s="518"/>
    </row>
    <row r="23" spans="1:4">
      <c r="A23" s="491" t="s">
        <v>310</v>
      </c>
      <c r="B23" s="492"/>
      <c r="C23" s="494"/>
      <c r="D23" s="518"/>
    </row>
    <row r="24" spans="1:4">
      <c r="A24" s="509">
        <v>16</v>
      </c>
      <c r="B24" s="503" t="s">
        <v>311</v>
      </c>
      <c r="C24" s="499">
        <v>100578554.60419999</v>
      </c>
      <c r="D24" s="518"/>
    </row>
    <row r="25" spans="1:4">
      <c r="A25" s="509">
        <v>17</v>
      </c>
      <c r="B25" s="503" t="s">
        <v>312</v>
      </c>
      <c r="C25" s="499">
        <v>-60478922.556549996</v>
      </c>
      <c r="D25" s="518"/>
    </row>
    <row r="26" spans="1:4">
      <c r="A26" s="510">
        <v>18</v>
      </c>
      <c r="B26" s="495" t="s">
        <v>313</v>
      </c>
      <c r="C26" s="505">
        <f>C24+C25</f>
        <v>40099632.047649994</v>
      </c>
      <c r="D26" s="518"/>
    </row>
    <row r="27" spans="1:4">
      <c r="A27" s="491" t="s">
        <v>314</v>
      </c>
      <c r="B27" s="492"/>
      <c r="C27" s="494"/>
      <c r="D27" s="518"/>
    </row>
    <row r="28" spans="1:4" ht="27.6">
      <c r="A28" s="509">
        <v>19</v>
      </c>
      <c r="B28" s="502" t="s">
        <v>315</v>
      </c>
      <c r="C28" s="506"/>
      <c r="D28" s="518"/>
    </row>
    <row r="29" spans="1:4">
      <c r="A29" s="509">
        <v>20</v>
      </c>
      <c r="B29" s="503" t="s">
        <v>316</v>
      </c>
      <c r="C29" s="506"/>
      <c r="D29" s="518"/>
    </row>
    <row r="30" spans="1:4">
      <c r="A30" s="491" t="s">
        <v>748</v>
      </c>
      <c r="B30" s="492"/>
      <c r="C30" s="494"/>
      <c r="D30" s="518"/>
    </row>
    <row r="31" spans="1:4">
      <c r="A31" s="510">
        <v>21</v>
      </c>
      <c r="B31" s="496" t="s">
        <v>317</v>
      </c>
      <c r="C31" s="505">
        <v>137495988.24000001</v>
      </c>
      <c r="D31" s="518"/>
    </row>
    <row r="32" spans="1:4">
      <c r="A32" s="510">
        <v>22</v>
      </c>
      <c r="B32" s="495" t="s">
        <v>318</v>
      </c>
      <c r="C32" s="505">
        <f>C8+C14+C22+C26</f>
        <v>705657563.71998119</v>
      </c>
      <c r="D32" s="518"/>
    </row>
    <row r="33" spans="1:4">
      <c r="A33" s="491" t="s">
        <v>319</v>
      </c>
      <c r="B33" s="492"/>
      <c r="C33" s="494"/>
      <c r="D33" s="518"/>
    </row>
    <row r="34" spans="1:4">
      <c r="A34" s="500">
        <v>23</v>
      </c>
      <c r="B34" s="495" t="s">
        <v>319</v>
      </c>
      <c r="C34" s="655">
        <f>IFERROR(C31/C32,0)</f>
        <v>0.19484803296824169</v>
      </c>
      <c r="D34" s="518"/>
    </row>
    <row r="35" spans="1:4">
      <c r="A35" s="491" t="s">
        <v>320</v>
      </c>
      <c r="B35" s="492"/>
      <c r="C35" s="494"/>
      <c r="D35" s="518"/>
    </row>
    <row r="36" spans="1:4">
      <c r="A36" s="507" t="s">
        <v>321</v>
      </c>
      <c r="B36" s="502" t="s">
        <v>322</v>
      </c>
      <c r="C36" s="506"/>
      <c r="D36" s="518"/>
    </row>
    <row r="37" spans="1:4" ht="27.6">
      <c r="A37" s="507" t="s">
        <v>323</v>
      </c>
      <c r="B37" s="498" t="s">
        <v>324</v>
      </c>
      <c r="C37" s="506"/>
      <c r="D37" s="518"/>
    </row>
  </sheetData>
  <pageMargins left="0.7" right="0.7" top="0.75" bottom="0.75" header="0.3" footer="0.3"/>
  <pageSetup paperSize="9" scale="78" orientation="portrait" horizontalDpi="300" verticalDpi="300" r:id="rId1"/>
  <headerFooter>
    <oddFooter>&amp;C_x000D_&amp;1#&amp;"Aptos"&amp;10&amp;K000000 C4 - EXTERNAL CONFIDENTIAL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15"/>
  <sheetViews>
    <sheetView zoomScale="80" zoomScaleNormal="80" workbookViewId="0">
      <selection activeCell="C13" sqref="C13"/>
    </sheetView>
  </sheetViews>
  <sheetFormatPr defaultColWidth="8.88671875" defaultRowHeight="14.4"/>
  <cols>
    <col min="1" max="1" width="11.44140625" customWidth="1"/>
    <col min="2" max="2" width="76.77734375" style="218" customWidth="1"/>
    <col min="3" max="6" width="25.33203125" customWidth="1"/>
  </cols>
  <sheetData>
    <row r="1" spans="1:6">
      <c r="A1" s="2" t="s">
        <v>30</v>
      </c>
      <c r="B1" s="3" t="str">
        <f>'Info '!C2</f>
        <v xml:space="preserve">PASHA Bank Georgia JSC </v>
      </c>
    </row>
    <row r="2" spans="1:6">
      <c r="A2" s="2" t="s">
        <v>31</v>
      </c>
      <c r="B2" s="253">
        <f>'1. key ratios '!B2</f>
        <v>46112</v>
      </c>
    </row>
    <row r="3" spans="1:6">
      <c r="A3" s="4"/>
      <c r="B3"/>
    </row>
    <row r="4" spans="1:6">
      <c r="A4" s="487" t="s">
        <v>738</v>
      </c>
    </row>
    <row r="5" spans="1:6" ht="43.2">
      <c r="B5" s="482"/>
      <c r="C5" s="488" t="s">
        <v>739</v>
      </c>
      <c r="D5" s="488" t="s">
        <v>741</v>
      </c>
      <c r="E5" s="488" t="s">
        <v>740</v>
      </c>
      <c r="F5" s="488" t="s">
        <v>742</v>
      </c>
    </row>
    <row r="6" spans="1:6">
      <c r="B6" s="489" t="s">
        <v>716</v>
      </c>
      <c r="C6" s="476">
        <f>IF(C7&gt;0,C7,IF(C8&gt;0,C8,IF(C9&gt;0,C9,0)))</f>
        <v>1933013.7961431409</v>
      </c>
      <c r="D6" s="476">
        <f>IF(D7&gt;0,D7,IF(D8&gt;0,D8,IF(D9&gt;0,D9,0)))</f>
        <v>2157.3423658830166</v>
      </c>
      <c r="E6" s="476">
        <f>IF(E7&gt;0,E7,IF(E8&gt;0,E8,IF(E9&gt;0,E9,0)))</f>
        <v>0</v>
      </c>
      <c r="F6" s="476">
        <f>IF(F7&gt;0,F7,IF(F8&gt;0,F8,IF(F9&gt;0,F9,0)))</f>
        <v>26966.779573537708</v>
      </c>
    </row>
    <row r="7" spans="1:6">
      <c r="B7" s="477" t="s">
        <v>729</v>
      </c>
      <c r="C7" s="490">
        <v>1933013.7961431409</v>
      </c>
      <c r="D7" s="490">
        <v>2157.3423658830166</v>
      </c>
      <c r="E7" s="490">
        <v>0</v>
      </c>
      <c r="F7" s="490">
        <v>26966.779573537708</v>
      </c>
    </row>
    <row r="8" spans="1:6">
      <c r="B8" s="477" t="s">
        <v>730</v>
      </c>
      <c r="C8" s="490"/>
      <c r="D8" s="490"/>
      <c r="E8" s="490"/>
      <c r="F8" s="490"/>
    </row>
    <row r="9" spans="1:6">
      <c r="B9" s="477" t="s">
        <v>737</v>
      </c>
      <c r="C9" s="490"/>
      <c r="D9" s="490"/>
      <c r="E9" s="490"/>
      <c r="F9" s="490"/>
    </row>
    <row r="11" spans="1:6">
      <c r="C11" s="570"/>
      <c r="D11" s="570"/>
      <c r="E11" s="570"/>
      <c r="F11" s="570"/>
    </row>
    <row r="12" spans="1:6">
      <c r="C12" s="570"/>
      <c r="D12" s="570"/>
      <c r="E12" s="570"/>
      <c r="F12" s="570"/>
    </row>
    <row r="13" spans="1:6">
      <c r="C13" s="570"/>
      <c r="D13" s="570"/>
      <c r="E13" s="570"/>
      <c r="F13" s="570"/>
    </row>
    <row r="14" spans="1:6">
      <c r="C14" s="570"/>
      <c r="D14" s="570"/>
      <c r="E14" s="570"/>
      <c r="F14" s="570"/>
    </row>
    <row r="15" spans="1:6">
      <c r="C15" s="570"/>
      <c r="D15" s="570"/>
      <c r="E15" s="570"/>
      <c r="F15" s="570"/>
    </row>
  </sheetData>
  <pageMargins left="0.7" right="0.7" top="0.75" bottom="0.75" header="0.3" footer="0.3"/>
  <pageSetup paperSize="9" scale="46" orientation="portrait" horizontalDpi="300" verticalDpi="300" r:id="rId1"/>
  <headerFooter>
    <oddFooter>&amp;C_x000D_&amp;1#&amp;"Aptos"&amp;10&amp;K000000 C4 - EXTERNAL CONFIDENTIAL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L42"/>
  <sheetViews>
    <sheetView zoomScale="80" zoomScaleNormal="80" workbookViewId="0">
      <pane xSplit="2" ySplit="6" topLeftCell="C32" activePane="bottomRight" state="frozen"/>
      <selection activeCell="B42" sqref="B42"/>
      <selection pane="topRight" activeCell="B42" sqref="B42"/>
      <selection pane="bottomLeft" activeCell="B42" sqref="B42"/>
      <selection pane="bottomRight" activeCell="J11" sqref="J11"/>
    </sheetView>
  </sheetViews>
  <sheetFormatPr defaultRowHeight="14.4"/>
  <cols>
    <col min="1" max="1" width="8.77734375" style="127"/>
    <col min="2" max="2" width="82.6640625" style="134" customWidth="1"/>
    <col min="3" max="7" width="17.5546875" style="127" customWidth="1"/>
    <col min="8" max="8" width="12.5546875" customWidth="1"/>
    <col min="9" max="9" width="11.21875" bestFit="1" customWidth="1"/>
  </cols>
  <sheetData>
    <row r="1" spans="1:12">
      <c r="A1" s="127" t="s">
        <v>30</v>
      </c>
      <c r="B1" s="3" t="str">
        <f>'Info '!C2</f>
        <v xml:space="preserve">PASHA Bank Georgia JSC </v>
      </c>
    </row>
    <row r="2" spans="1:12">
      <c r="A2" s="127" t="s">
        <v>31</v>
      </c>
      <c r="B2" s="253">
        <f>'1. key ratios '!B2</f>
        <v>46112</v>
      </c>
    </row>
    <row r="4" spans="1:12" ht="15" thickBot="1">
      <c r="A4" s="127" t="s">
        <v>376</v>
      </c>
      <c r="B4" s="259" t="s">
        <v>337</v>
      </c>
    </row>
    <row r="5" spans="1:12">
      <c r="A5" s="260"/>
      <c r="B5" s="261"/>
      <c r="C5" s="792" t="s">
        <v>338</v>
      </c>
      <c r="D5" s="792"/>
      <c r="E5" s="792"/>
      <c r="F5" s="792"/>
      <c r="G5" s="793" t="s">
        <v>339</v>
      </c>
    </row>
    <row r="6" spans="1:12">
      <c r="A6" s="262"/>
      <c r="B6" s="263"/>
      <c r="C6" s="264" t="s">
        <v>340</v>
      </c>
      <c r="D6" s="264" t="s">
        <v>341</v>
      </c>
      <c r="E6" s="264" t="s">
        <v>342</v>
      </c>
      <c r="F6" s="264" t="s">
        <v>343</v>
      </c>
      <c r="G6" s="794"/>
    </row>
    <row r="7" spans="1:12">
      <c r="A7" s="265"/>
      <c r="B7" s="266" t="s">
        <v>344</v>
      </c>
      <c r="C7" s="267"/>
      <c r="D7" s="267"/>
      <c r="E7" s="267"/>
      <c r="F7" s="267"/>
      <c r="G7" s="268"/>
    </row>
    <row r="8" spans="1:12">
      <c r="A8" s="269">
        <v>1</v>
      </c>
      <c r="B8" s="270" t="s">
        <v>345</v>
      </c>
      <c r="C8" s="271">
        <f>SUM(C9:C10)</f>
        <v>165035870.33199999</v>
      </c>
      <c r="D8" s="271">
        <f>SUM(D9:D10)</f>
        <v>0</v>
      </c>
      <c r="E8" s="271">
        <f>SUM(E9:E10)</f>
        <v>0</v>
      </c>
      <c r="F8" s="271">
        <f>SUM(F9:F10)</f>
        <v>129122422.9425</v>
      </c>
      <c r="G8" s="272">
        <f>SUM(G9:G10)</f>
        <v>294158293.27450001</v>
      </c>
      <c r="H8" s="530"/>
      <c r="I8" s="530"/>
      <c r="J8" s="530"/>
      <c r="K8" s="530"/>
      <c r="L8" s="530"/>
    </row>
    <row r="9" spans="1:12">
      <c r="A9" s="269">
        <v>2</v>
      </c>
      <c r="B9" s="273" t="s">
        <v>346</v>
      </c>
      <c r="C9" s="271">
        <v>165035870.33199999</v>
      </c>
      <c r="D9" s="271"/>
      <c r="E9" s="271"/>
      <c r="F9" s="271"/>
      <c r="G9" s="272">
        <v>165035870.33199999</v>
      </c>
      <c r="H9" s="530"/>
      <c r="I9" s="530"/>
      <c r="J9" s="530"/>
      <c r="K9" s="530"/>
      <c r="L9" s="530"/>
    </row>
    <row r="10" spans="1:12" ht="27.6">
      <c r="A10" s="269">
        <v>3</v>
      </c>
      <c r="B10" s="273" t="s">
        <v>347</v>
      </c>
      <c r="C10" s="274"/>
      <c r="D10" s="274"/>
      <c r="E10" s="274"/>
      <c r="F10" s="271">
        <v>129122422.9425</v>
      </c>
      <c r="G10" s="272">
        <v>129122422.9425</v>
      </c>
      <c r="H10" s="530"/>
      <c r="I10" s="530"/>
      <c r="J10" s="530"/>
      <c r="K10" s="530"/>
      <c r="L10" s="530"/>
    </row>
    <row r="11" spans="1:12" ht="14.55" customHeight="1">
      <c r="A11" s="269">
        <v>4</v>
      </c>
      <c r="B11" s="270" t="s">
        <v>348</v>
      </c>
      <c r="C11" s="271">
        <f t="shared" ref="C11:F11" si="0">SUM(C12:C13)</f>
        <v>8825932.3001000695</v>
      </c>
      <c r="D11" s="271">
        <f t="shared" si="0"/>
        <v>51571519.706799924</v>
      </c>
      <c r="E11" s="271">
        <f t="shared" si="0"/>
        <v>14497077.830800001</v>
      </c>
      <c r="F11" s="271">
        <f t="shared" si="0"/>
        <v>-0.31619999976828694</v>
      </c>
      <c r="G11" s="272">
        <f>SUM(G12:G13)</f>
        <v>47098836.520594999</v>
      </c>
      <c r="H11" s="530"/>
      <c r="I11" s="530"/>
      <c r="J11" s="530"/>
      <c r="K11" s="530"/>
      <c r="L11" s="530"/>
    </row>
    <row r="12" spans="1:12">
      <c r="A12" s="269">
        <v>5</v>
      </c>
      <c r="B12" s="273" t="s">
        <v>349</v>
      </c>
      <c r="C12" s="271">
        <v>2434531.0637000701</v>
      </c>
      <c r="D12" s="275">
        <v>15582175.29099993</v>
      </c>
      <c r="E12" s="271">
        <v>3431231.2056</v>
      </c>
      <c r="F12" s="271">
        <v>-0.31619999976828694</v>
      </c>
      <c r="G12" s="272">
        <v>20375540.381894998</v>
      </c>
      <c r="H12" s="530"/>
      <c r="I12" s="530"/>
      <c r="J12" s="530"/>
      <c r="K12" s="530"/>
      <c r="L12" s="530"/>
    </row>
    <row r="13" spans="1:12">
      <c r="A13" s="269">
        <v>6</v>
      </c>
      <c r="B13" s="273" t="s">
        <v>350</v>
      </c>
      <c r="C13" s="271">
        <v>6391401.2363999998</v>
      </c>
      <c r="D13" s="275">
        <v>35989344.415799998</v>
      </c>
      <c r="E13" s="271">
        <v>11065846.6252</v>
      </c>
      <c r="F13" s="271">
        <v>0</v>
      </c>
      <c r="G13" s="272">
        <v>26723296.138700001</v>
      </c>
      <c r="H13" s="530"/>
      <c r="I13" s="530"/>
      <c r="J13" s="530"/>
      <c r="K13" s="530"/>
      <c r="L13" s="530"/>
    </row>
    <row r="14" spans="1:12">
      <c r="A14" s="269">
        <v>7</v>
      </c>
      <c r="B14" s="270" t="s">
        <v>351</v>
      </c>
      <c r="C14" s="271">
        <f t="shared" ref="C14:F14" si="1">SUM(C15:C16)</f>
        <v>92122628.050100088</v>
      </c>
      <c r="D14" s="271">
        <f t="shared" si="1"/>
        <v>121014783.28849989</v>
      </c>
      <c r="E14" s="271">
        <f t="shared" si="1"/>
        <v>63060289.945500001</v>
      </c>
      <c r="F14" s="271">
        <f t="shared" si="1"/>
        <v>1.9000060856342316E-3</v>
      </c>
      <c r="G14" s="272">
        <f>SUM(G15:G16)</f>
        <v>88584270.713049993</v>
      </c>
      <c r="H14" s="530"/>
      <c r="I14" s="530"/>
      <c r="J14" s="530"/>
      <c r="K14" s="530"/>
      <c r="L14" s="530"/>
    </row>
    <row r="15" spans="1:12" ht="41.4">
      <c r="A15" s="269">
        <v>8</v>
      </c>
      <c r="B15" s="273" t="s">
        <v>352</v>
      </c>
      <c r="C15" s="271">
        <v>73832635.880200088</v>
      </c>
      <c r="D15" s="275">
        <v>40275615.598499902</v>
      </c>
      <c r="E15" s="271">
        <v>31830503.6655</v>
      </c>
      <c r="F15" s="271">
        <v>1.9000060856342316E-3</v>
      </c>
      <c r="G15" s="272">
        <v>72969377.573049992</v>
      </c>
      <c r="H15" s="530"/>
      <c r="I15" s="530"/>
      <c r="J15" s="530"/>
      <c r="K15" s="530"/>
      <c r="L15" s="530"/>
    </row>
    <row r="16" spans="1:12" ht="27.6">
      <c r="A16" s="269">
        <v>9</v>
      </c>
      <c r="B16" s="273" t="s">
        <v>353</v>
      </c>
      <c r="C16" s="271">
        <v>18289992.1699</v>
      </c>
      <c r="D16" s="275">
        <v>80739167.689999998</v>
      </c>
      <c r="E16" s="271">
        <v>31229786.280000001</v>
      </c>
      <c r="F16" s="271">
        <v>0</v>
      </c>
      <c r="G16" s="272">
        <v>15614893.140000001</v>
      </c>
      <c r="H16" s="530"/>
      <c r="I16" s="530"/>
      <c r="J16" s="530"/>
      <c r="K16" s="530"/>
      <c r="L16" s="530"/>
    </row>
    <row r="17" spans="1:12">
      <c r="A17" s="269">
        <v>10</v>
      </c>
      <c r="B17" s="270" t="s">
        <v>354</v>
      </c>
      <c r="C17" s="271"/>
      <c r="D17" s="275"/>
      <c r="E17" s="271"/>
      <c r="F17" s="271"/>
      <c r="G17" s="272"/>
      <c r="H17" s="530"/>
      <c r="I17" s="530"/>
      <c r="J17" s="530"/>
      <c r="K17" s="530"/>
      <c r="L17" s="530"/>
    </row>
    <row r="18" spans="1:12">
      <c r="A18" s="269">
        <v>11</v>
      </c>
      <c r="B18" s="270" t="s">
        <v>355</v>
      </c>
      <c r="C18" s="271">
        <f>SUM(C19:C20)</f>
        <v>0</v>
      </c>
      <c r="D18" s="285">
        <f t="shared" ref="D18:G18" si="2">SUM(D19:D20)</f>
        <v>17656988.0493</v>
      </c>
      <c r="E18" s="271">
        <f t="shared" si="2"/>
        <v>0</v>
      </c>
      <c r="F18" s="271">
        <f t="shared" si="2"/>
        <v>0</v>
      </c>
      <c r="G18" s="272">
        <f t="shared" si="2"/>
        <v>0</v>
      </c>
      <c r="H18" s="530"/>
      <c r="I18" s="530"/>
      <c r="J18" s="530"/>
      <c r="K18" s="530"/>
      <c r="L18" s="530"/>
    </row>
    <row r="19" spans="1:12">
      <c r="A19" s="269">
        <v>12</v>
      </c>
      <c r="B19" s="273" t="s">
        <v>356</v>
      </c>
      <c r="C19" s="274"/>
      <c r="D19" s="275">
        <v>190805.30929999999</v>
      </c>
      <c r="E19" s="271"/>
      <c r="F19" s="271"/>
      <c r="G19" s="272"/>
      <c r="H19" s="530"/>
      <c r="I19" s="530"/>
      <c r="J19" s="530"/>
      <c r="K19" s="530"/>
      <c r="L19" s="530"/>
    </row>
    <row r="20" spans="1:12">
      <c r="A20" s="269">
        <v>13</v>
      </c>
      <c r="B20" s="273" t="s">
        <v>357</v>
      </c>
      <c r="C20" s="271"/>
      <c r="D20" s="271">
        <v>17466182.739999998</v>
      </c>
      <c r="E20" s="271"/>
      <c r="F20" s="271"/>
      <c r="G20" s="272"/>
      <c r="H20" s="530"/>
      <c r="I20" s="530"/>
      <c r="J20" s="530"/>
      <c r="K20" s="530"/>
      <c r="L20" s="530"/>
    </row>
    <row r="21" spans="1:12">
      <c r="A21" s="276">
        <v>14</v>
      </c>
      <c r="B21" s="277" t="s">
        <v>358</v>
      </c>
      <c r="C21" s="274"/>
      <c r="D21" s="274"/>
      <c r="E21" s="274"/>
      <c r="F21" s="274"/>
      <c r="G21" s="278">
        <f>SUM(G8,G11,G14,G17,G18)</f>
        <v>429841400.50814503</v>
      </c>
      <c r="H21" s="530"/>
      <c r="I21" s="530"/>
      <c r="J21" s="530"/>
      <c r="K21" s="530"/>
      <c r="L21" s="530"/>
    </row>
    <row r="22" spans="1:12">
      <c r="A22" s="279"/>
      <c r="B22" s="280" t="s">
        <v>359</v>
      </c>
      <c r="C22" s="281"/>
      <c r="D22" s="282"/>
      <c r="E22" s="281"/>
      <c r="F22" s="281"/>
      <c r="G22" s="283"/>
      <c r="H22" s="530"/>
      <c r="I22" s="530"/>
      <c r="J22" s="530"/>
      <c r="K22" s="530"/>
      <c r="L22" s="530"/>
    </row>
    <row r="23" spans="1:12">
      <c r="A23" s="269">
        <v>15</v>
      </c>
      <c r="B23" s="270" t="s">
        <v>360</v>
      </c>
      <c r="C23" s="284">
        <v>105236838.47839999</v>
      </c>
      <c r="D23" s="285">
        <v>87830600</v>
      </c>
      <c r="E23" s="284">
        <v>0</v>
      </c>
      <c r="F23" s="284">
        <v>0</v>
      </c>
      <c r="G23" s="272">
        <v>7933889.1875900002</v>
      </c>
      <c r="H23" s="530"/>
      <c r="I23" s="530"/>
      <c r="J23" s="530"/>
      <c r="K23" s="530"/>
      <c r="L23" s="530"/>
    </row>
    <row r="24" spans="1:12">
      <c r="A24" s="269">
        <v>16</v>
      </c>
      <c r="B24" s="270" t="s">
        <v>361</v>
      </c>
      <c r="C24" s="271">
        <f>SUM(C25:C27,C29,C31)</f>
        <v>2422634.7719999999</v>
      </c>
      <c r="D24" s="275">
        <f t="shared" ref="D24:G24" si="3">SUM(D25:D27,D29,D31)</f>
        <v>62251262.534936979</v>
      </c>
      <c r="E24" s="271">
        <f t="shared" si="3"/>
        <v>68284906.185834005</v>
      </c>
      <c r="F24" s="271">
        <f t="shared" si="3"/>
        <v>292933488.44813102</v>
      </c>
      <c r="G24" s="272">
        <f t="shared" si="3"/>
        <v>319318702.89804101</v>
      </c>
      <c r="H24" s="530"/>
      <c r="I24" s="530"/>
      <c r="J24" s="530"/>
      <c r="K24" s="530"/>
      <c r="L24" s="530"/>
    </row>
    <row r="25" spans="1:12">
      <c r="A25" s="269">
        <v>17</v>
      </c>
      <c r="B25" s="273" t="s">
        <v>362</v>
      </c>
      <c r="C25" s="271"/>
      <c r="D25" s="275"/>
      <c r="E25" s="271"/>
      <c r="F25" s="271"/>
      <c r="G25" s="272"/>
      <c r="H25" s="530"/>
      <c r="I25" s="530"/>
      <c r="J25" s="530"/>
      <c r="K25" s="530"/>
      <c r="L25" s="530"/>
    </row>
    <row r="26" spans="1:12" ht="27.6">
      <c r="A26" s="269">
        <v>18</v>
      </c>
      <c r="B26" s="273" t="s">
        <v>363</v>
      </c>
      <c r="C26" s="271">
        <v>2422634.7719999999</v>
      </c>
      <c r="D26" s="275">
        <v>8311587.5232899999</v>
      </c>
      <c r="E26" s="271">
        <v>15671045.474653</v>
      </c>
      <c r="F26" s="271">
        <v>50685425.160637997</v>
      </c>
      <c r="G26" s="272">
        <v>60131081.242257997</v>
      </c>
      <c r="H26" s="530"/>
      <c r="I26" s="530"/>
      <c r="J26" s="530"/>
      <c r="K26" s="530"/>
      <c r="L26" s="530"/>
    </row>
    <row r="27" spans="1:12">
      <c r="A27" s="269">
        <v>19</v>
      </c>
      <c r="B27" s="273" t="s">
        <v>364</v>
      </c>
      <c r="C27" s="271">
        <v>0</v>
      </c>
      <c r="D27" s="275">
        <v>53939675.011646979</v>
      </c>
      <c r="E27" s="271">
        <v>51886571.575758003</v>
      </c>
      <c r="F27" s="271">
        <v>218229637.661993</v>
      </c>
      <c r="G27" s="272">
        <v>238408315.30639651</v>
      </c>
      <c r="H27" s="530"/>
      <c r="I27" s="530"/>
      <c r="J27" s="530"/>
      <c r="K27" s="530"/>
      <c r="L27" s="530"/>
    </row>
    <row r="28" spans="1:12">
      <c r="A28" s="269">
        <v>20</v>
      </c>
      <c r="B28" s="286" t="s">
        <v>365</v>
      </c>
      <c r="C28" s="271"/>
      <c r="D28" s="275"/>
      <c r="E28" s="271"/>
      <c r="F28" s="271"/>
      <c r="G28" s="272"/>
      <c r="H28" s="530"/>
      <c r="I28" s="530"/>
      <c r="J28" s="530"/>
      <c r="K28" s="530"/>
      <c r="L28" s="530"/>
    </row>
    <row r="29" spans="1:12">
      <c r="A29" s="269">
        <v>21</v>
      </c>
      <c r="B29" s="273" t="s">
        <v>366</v>
      </c>
      <c r="C29" s="271"/>
      <c r="D29" s="275"/>
      <c r="E29" s="271"/>
      <c r="F29" s="271"/>
      <c r="G29" s="272"/>
      <c r="H29" s="530"/>
      <c r="I29" s="530"/>
      <c r="J29" s="530"/>
      <c r="K29" s="530"/>
      <c r="L29" s="530"/>
    </row>
    <row r="30" spans="1:12">
      <c r="A30" s="269">
        <v>22</v>
      </c>
      <c r="B30" s="286" t="s">
        <v>365</v>
      </c>
      <c r="C30" s="271"/>
      <c r="D30" s="275"/>
      <c r="E30" s="271"/>
      <c r="F30" s="271"/>
      <c r="G30" s="272"/>
      <c r="H30" s="530"/>
      <c r="I30" s="530"/>
      <c r="J30" s="530"/>
      <c r="K30" s="530"/>
      <c r="L30" s="530"/>
    </row>
    <row r="31" spans="1:12">
      <c r="A31" s="269">
        <v>23</v>
      </c>
      <c r="B31" s="273" t="s">
        <v>367</v>
      </c>
      <c r="C31" s="271">
        <v>0</v>
      </c>
      <c r="D31" s="275">
        <v>0</v>
      </c>
      <c r="E31" s="271">
        <v>727289.13542299997</v>
      </c>
      <c r="F31" s="271">
        <v>24018425.625500001</v>
      </c>
      <c r="G31" s="272">
        <v>20779306.349386498</v>
      </c>
      <c r="H31" s="530"/>
      <c r="I31" s="530"/>
      <c r="J31" s="530"/>
      <c r="K31" s="530"/>
      <c r="L31" s="530"/>
    </row>
    <row r="32" spans="1:12">
      <c r="A32" s="269">
        <v>24</v>
      </c>
      <c r="B32" s="270" t="s">
        <v>368</v>
      </c>
      <c r="C32" s="271"/>
      <c r="D32" s="275"/>
      <c r="E32" s="271"/>
      <c r="F32" s="271"/>
      <c r="G32" s="272"/>
      <c r="H32" s="530"/>
      <c r="I32" s="530"/>
      <c r="J32" s="530"/>
      <c r="K32" s="530"/>
      <c r="L32" s="530"/>
    </row>
    <row r="33" spans="1:12">
      <c r="A33" s="269">
        <v>25</v>
      </c>
      <c r="B33" s="270" t="s">
        <v>369</v>
      </c>
      <c r="C33" s="284">
        <f>SUM(C34:C35)</f>
        <v>4352788.33</v>
      </c>
      <c r="D33" s="271">
        <f>SUM(D34:D35)</f>
        <v>18843691.511599999</v>
      </c>
      <c r="E33" s="271">
        <f>SUM(E34:E35)</f>
        <v>332105.21149999998</v>
      </c>
      <c r="F33" s="271">
        <f>SUM(F34:F35)</f>
        <v>23378981.409072198</v>
      </c>
      <c r="G33" s="272">
        <f>SUM(G34:G35)</f>
        <v>38520846.786172196</v>
      </c>
      <c r="H33" s="530"/>
      <c r="I33" s="530"/>
      <c r="J33" s="530"/>
      <c r="K33" s="530"/>
      <c r="L33" s="530"/>
    </row>
    <row r="34" spans="1:12">
      <c r="A34" s="269">
        <v>26</v>
      </c>
      <c r="B34" s="273" t="s">
        <v>370</v>
      </c>
      <c r="C34" s="274"/>
      <c r="D34" s="275">
        <v>2402357.3711000001</v>
      </c>
      <c r="E34" s="271"/>
      <c r="F34" s="271"/>
      <c r="G34" s="272">
        <v>2402357.3711000001</v>
      </c>
      <c r="H34" s="530"/>
      <c r="I34" s="530"/>
      <c r="J34" s="530"/>
      <c r="K34" s="530"/>
      <c r="L34" s="530"/>
    </row>
    <row r="35" spans="1:12">
      <c r="A35" s="269">
        <v>27</v>
      </c>
      <c r="B35" s="273" t="s">
        <v>371</v>
      </c>
      <c r="C35" s="271">
        <v>4352788.33</v>
      </c>
      <c r="D35" s="275">
        <v>16441334.1405</v>
      </c>
      <c r="E35" s="271">
        <v>332105.21149999998</v>
      </c>
      <c r="F35" s="271">
        <v>23378981.409072198</v>
      </c>
      <c r="G35" s="272">
        <v>36118489.415072195</v>
      </c>
      <c r="H35" s="530"/>
      <c r="I35" s="530"/>
      <c r="J35" s="530"/>
      <c r="K35" s="530"/>
      <c r="L35" s="530"/>
    </row>
    <row r="36" spans="1:12">
      <c r="A36" s="269">
        <v>28</v>
      </c>
      <c r="B36" s="270" t="s">
        <v>372</v>
      </c>
      <c r="C36" s="271">
        <v>0</v>
      </c>
      <c r="D36" s="275">
        <v>33009878.214631002</v>
      </c>
      <c r="E36" s="271">
        <v>48561483.22828</v>
      </c>
      <c r="F36" s="271">
        <v>18989978.465413999</v>
      </c>
      <c r="G36" s="272">
        <v>9355139.0033716504</v>
      </c>
      <c r="H36" s="530"/>
      <c r="I36" s="530"/>
      <c r="J36" s="530"/>
      <c r="K36" s="530"/>
      <c r="L36" s="530"/>
    </row>
    <row r="37" spans="1:12">
      <c r="A37" s="276">
        <v>29</v>
      </c>
      <c r="B37" s="277" t="s">
        <v>373</v>
      </c>
      <c r="C37" s="274"/>
      <c r="D37" s="274"/>
      <c r="E37" s="274"/>
      <c r="F37" s="274"/>
      <c r="G37" s="278">
        <f>SUM(G23:G24,G32:G33,G36)</f>
        <v>375128577.87517488</v>
      </c>
      <c r="H37" s="530"/>
      <c r="I37" s="530"/>
      <c r="J37" s="530"/>
      <c r="K37" s="530"/>
      <c r="L37" s="530"/>
    </row>
    <row r="38" spans="1:12">
      <c r="A38" s="265"/>
      <c r="B38" s="287"/>
      <c r="C38" s="288"/>
      <c r="D38" s="288"/>
      <c r="E38" s="288"/>
      <c r="F38" s="288"/>
      <c r="G38" s="289"/>
      <c r="H38" s="530"/>
      <c r="I38" s="530"/>
      <c r="J38" s="530"/>
      <c r="K38" s="530"/>
      <c r="L38" s="530"/>
    </row>
    <row r="39" spans="1:12" ht="15" thickBot="1">
      <c r="A39" s="290">
        <v>30</v>
      </c>
      <c r="B39" s="291" t="s">
        <v>374</v>
      </c>
      <c r="C39" s="186"/>
      <c r="D39" s="187"/>
      <c r="E39" s="187"/>
      <c r="F39" s="188"/>
      <c r="G39" s="292">
        <f>IFERROR(G21/G37,0)</f>
        <v>1.1458508518409281</v>
      </c>
      <c r="H39" s="530"/>
      <c r="I39" s="530"/>
      <c r="J39" s="530"/>
      <c r="K39" s="530"/>
      <c r="L39" s="530"/>
    </row>
    <row r="42" spans="1:12" ht="41.4">
      <c r="B42" s="134" t="s">
        <v>375</v>
      </c>
    </row>
  </sheetData>
  <mergeCells count="2">
    <mergeCell ref="C5:F5"/>
    <mergeCell ref="G5:G6"/>
  </mergeCells>
  <pageMargins left="0.7" right="0.7" top="0.75" bottom="0.75" header="0.3" footer="0.3"/>
  <pageSetup paperSize="9" scale="45" orientation="portrait" horizontalDpi="300" verticalDpi="300" r:id="rId1"/>
  <headerFooter>
    <oddFooter>&amp;C_x000D_&amp;1#&amp;"Aptos"&amp;10&amp;K000000 C4 - EXTERNAL CONFIDENTIAL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39"/>
  <sheetViews>
    <sheetView showGridLines="0" zoomScale="80" zoomScaleNormal="80" workbookViewId="0">
      <selection activeCell="E28" sqref="E28"/>
    </sheetView>
  </sheetViews>
  <sheetFormatPr defaultColWidth="9.21875" defaultRowHeight="12"/>
  <cols>
    <col min="1" max="1" width="11.77734375" style="297" bestFit="1" customWidth="1"/>
    <col min="2" max="2" width="105.21875" style="297" bestFit="1" customWidth="1"/>
    <col min="3" max="3" width="14.109375" style="297" bestFit="1" customWidth="1"/>
    <col min="4" max="4" width="15.109375" style="297" bestFit="1" customWidth="1"/>
    <col min="5" max="5" width="17.5546875" style="297" bestFit="1" customWidth="1"/>
    <col min="6" max="6" width="15.109375" style="297" bestFit="1" customWidth="1"/>
    <col min="7" max="7" width="30.44140625" style="297" customWidth="1"/>
    <col min="8" max="8" width="13.88671875" style="297" customWidth="1"/>
    <col min="9" max="16384" width="9.21875" style="297"/>
  </cols>
  <sheetData>
    <row r="1" spans="1:8" ht="13.8">
      <c r="A1" s="295" t="s">
        <v>30</v>
      </c>
      <c r="B1" s="357" t="str">
        <f>'Info '!C2</f>
        <v xml:space="preserve">PASHA Bank Georgia JSC </v>
      </c>
    </row>
    <row r="2" spans="1:8">
      <c r="A2" s="295" t="s">
        <v>31</v>
      </c>
      <c r="B2" s="356">
        <f>'1. key ratios '!B2</f>
        <v>46112</v>
      </c>
    </row>
    <row r="3" spans="1:8">
      <c r="A3" s="296" t="s">
        <v>380</v>
      </c>
    </row>
    <row r="5" spans="1:8" ht="12" customHeight="1">
      <c r="A5" s="795" t="s">
        <v>381</v>
      </c>
      <c r="B5" s="796"/>
      <c r="C5" s="801" t="s">
        <v>382</v>
      </c>
      <c r="D5" s="802"/>
      <c r="E5" s="802"/>
      <c r="F5" s="802"/>
      <c r="G5" s="802"/>
      <c r="H5" s="803"/>
    </row>
    <row r="6" spans="1:8">
      <c r="A6" s="797"/>
      <c r="B6" s="798"/>
      <c r="C6" s="804"/>
      <c r="D6" s="805"/>
      <c r="E6" s="805"/>
      <c r="F6" s="805"/>
      <c r="G6" s="805"/>
      <c r="H6" s="806"/>
    </row>
    <row r="7" spans="1:8">
      <c r="A7" s="799"/>
      <c r="B7" s="800"/>
      <c r="C7" s="355" t="s">
        <v>383</v>
      </c>
      <c r="D7" s="355" t="s">
        <v>384</v>
      </c>
      <c r="E7" s="355" t="s">
        <v>385</v>
      </c>
      <c r="F7" s="355" t="s">
        <v>386</v>
      </c>
      <c r="G7" s="355" t="s">
        <v>387</v>
      </c>
      <c r="H7" s="355" t="s">
        <v>64</v>
      </c>
    </row>
    <row r="8" spans="1:8">
      <c r="A8" s="351">
        <v>1</v>
      </c>
      <c r="B8" s="350" t="s">
        <v>51</v>
      </c>
      <c r="C8" s="571">
        <v>4757080.1037999988</v>
      </c>
      <c r="D8" s="571"/>
      <c r="E8" s="571">
        <v>5346400</v>
      </c>
      <c r="F8" s="571"/>
      <c r="G8" s="571">
        <v>26997857.0814</v>
      </c>
      <c r="H8" s="572">
        <f t="shared" ref="H8:H21" si="0">SUM(C8:G8)</f>
        <v>37101337.185199998</v>
      </c>
    </row>
    <row r="9" spans="1:8">
      <c r="A9" s="351">
        <v>2</v>
      </c>
      <c r="B9" s="350" t="s">
        <v>52</v>
      </c>
      <c r="C9" s="571"/>
      <c r="D9" s="571"/>
      <c r="E9" s="571"/>
      <c r="F9" s="571"/>
      <c r="G9" s="571"/>
      <c r="H9" s="572">
        <f t="shared" si="0"/>
        <v>0</v>
      </c>
    </row>
    <row r="10" spans="1:8">
      <c r="A10" s="351">
        <v>3</v>
      </c>
      <c r="B10" s="350" t="s">
        <v>152</v>
      </c>
      <c r="C10" s="571"/>
      <c r="D10" s="571"/>
      <c r="E10" s="571"/>
      <c r="F10" s="571"/>
      <c r="G10" s="571"/>
      <c r="H10" s="572">
        <f t="shared" si="0"/>
        <v>0</v>
      </c>
    </row>
    <row r="11" spans="1:8">
      <c r="A11" s="351">
        <v>4</v>
      </c>
      <c r="B11" s="350" t="s">
        <v>53</v>
      </c>
      <c r="C11" s="571"/>
      <c r="D11" s="571"/>
      <c r="E11" s="571"/>
      <c r="F11" s="571"/>
      <c r="G11" s="571"/>
      <c r="H11" s="572">
        <f t="shared" si="0"/>
        <v>0</v>
      </c>
    </row>
    <row r="12" spans="1:8">
      <c r="A12" s="351">
        <v>5</v>
      </c>
      <c r="B12" s="350" t="s">
        <v>54</v>
      </c>
      <c r="C12" s="571"/>
      <c r="D12" s="571"/>
      <c r="E12" s="571"/>
      <c r="F12" s="571"/>
      <c r="G12" s="571"/>
      <c r="H12" s="572">
        <f t="shared" si="0"/>
        <v>0</v>
      </c>
    </row>
    <row r="13" spans="1:8">
      <c r="A13" s="351">
        <v>6</v>
      </c>
      <c r="B13" s="350" t="s">
        <v>55</v>
      </c>
      <c r="C13" s="571">
        <v>34072991.500099994</v>
      </c>
      <c r="D13" s="571">
        <v>43106921.767900005</v>
      </c>
      <c r="E13" s="571">
        <v>11062227.8904</v>
      </c>
      <c r="F13" s="571"/>
      <c r="G13" s="571"/>
      <c r="H13" s="572">
        <f t="shared" si="0"/>
        <v>88242141.158399999</v>
      </c>
    </row>
    <row r="14" spans="1:8">
      <c r="A14" s="351">
        <v>7</v>
      </c>
      <c r="B14" s="350" t="s">
        <v>56</v>
      </c>
      <c r="C14" s="571"/>
      <c r="D14" s="571">
        <v>63864382.774300002</v>
      </c>
      <c r="E14" s="571">
        <v>227075240.16859999</v>
      </c>
      <c r="F14" s="571">
        <v>224444186.0731</v>
      </c>
      <c r="G14" s="571"/>
      <c r="H14" s="572">
        <f t="shared" si="0"/>
        <v>515383809.01600003</v>
      </c>
    </row>
    <row r="15" spans="1:8">
      <c r="A15" s="351">
        <v>8</v>
      </c>
      <c r="B15" s="352" t="s">
        <v>57</v>
      </c>
      <c r="C15" s="571"/>
      <c r="D15" s="571">
        <v>185834.04819999999</v>
      </c>
      <c r="E15" s="571">
        <v>54374.003299999997</v>
      </c>
      <c r="F15" s="571">
        <v>2400.8357000000001</v>
      </c>
      <c r="G15" s="571"/>
      <c r="H15" s="572">
        <f t="shared" si="0"/>
        <v>242608.8872</v>
      </c>
    </row>
    <row r="16" spans="1:8">
      <c r="A16" s="351">
        <v>9</v>
      </c>
      <c r="B16" s="350" t="s">
        <v>58</v>
      </c>
      <c r="C16" s="571"/>
      <c r="D16" s="571"/>
      <c r="E16" s="571"/>
      <c r="F16" s="571"/>
      <c r="G16" s="571"/>
      <c r="H16" s="572">
        <f t="shared" si="0"/>
        <v>0</v>
      </c>
    </row>
    <row r="17" spans="1:8">
      <c r="A17" s="351">
        <v>10</v>
      </c>
      <c r="B17" s="354" t="s">
        <v>395</v>
      </c>
      <c r="C17" s="571"/>
      <c r="D17" s="571">
        <v>1458997.6401</v>
      </c>
      <c r="E17" s="571">
        <v>963779.54720000003</v>
      </c>
      <c r="F17" s="571">
        <v>13070355.0733</v>
      </c>
      <c r="G17" s="571"/>
      <c r="H17" s="572">
        <f t="shared" si="0"/>
        <v>15493132.260600001</v>
      </c>
    </row>
    <row r="18" spans="1:8">
      <c r="A18" s="351">
        <v>11</v>
      </c>
      <c r="B18" s="350" t="s">
        <v>60</v>
      </c>
      <c r="C18" s="571"/>
      <c r="D18" s="571"/>
      <c r="E18" s="571"/>
      <c r="F18" s="571"/>
      <c r="G18" s="571"/>
      <c r="H18" s="572">
        <f t="shared" si="0"/>
        <v>0</v>
      </c>
    </row>
    <row r="19" spans="1:8">
      <c r="A19" s="351">
        <v>12</v>
      </c>
      <c r="B19" s="350" t="s">
        <v>61</v>
      </c>
      <c r="C19" s="571"/>
      <c r="D19" s="571"/>
      <c r="E19" s="571"/>
      <c r="F19" s="571"/>
      <c r="G19" s="571"/>
      <c r="H19" s="572">
        <f t="shared" si="0"/>
        <v>0</v>
      </c>
    </row>
    <row r="20" spans="1:8">
      <c r="A20" s="353">
        <v>13</v>
      </c>
      <c r="B20" s="352" t="s">
        <v>144</v>
      </c>
      <c r="C20" s="571"/>
      <c r="D20" s="571"/>
      <c r="E20" s="571"/>
      <c r="F20" s="571"/>
      <c r="G20" s="571"/>
      <c r="H20" s="572">
        <f t="shared" si="0"/>
        <v>0</v>
      </c>
    </row>
    <row r="21" spans="1:8">
      <c r="A21" s="351">
        <v>14</v>
      </c>
      <c r="B21" s="350" t="s">
        <v>63</v>
      </c>
      <c r="C21" s="571">
        <v>2634717.5414</v>
      </c>
      <c r="D21" s="571">
        <v>18875737.739399999</v>
      </c>
      <c r="E21" s="571"/>
      <c r="F21" s="571"/>
      <c r="G21" s="571">
        <v>1143212.4299999997</v>
      </c>
      <c r="H21" s="572">
        <f t="shared" si="0"/>
        <v>22653667.7108</v>
      </c>
    </row>
    <row r="22" spans="1:8">
      <c r="A22" s="349">
        <v>15</v>
      </c>
      <c r="B22" s="348" t="s">
        <v>64</v>
      </c>
      <c r="C22" s="572">
        <f>SUM(C18:C21)+SUM(C8:C16)</f>
        <v>41464789.145299993</v>
      </c>
      <c r="D22" s="572">
        <f t="shared" ref="D22:H22" si="1">SUM(D18:D21)+SUM(D8:D16)</f>
        <v>126032876.32979999</v>
      </c>
      <c r="E22" s="572">
        <f t="shared" si="1"/>
        <v>243538242.0623</v>
      </c>
      <c r="F22" s="572">
        <f t="shared" si="1"/>
        <v>224446586.90880001</v>
      </c>
      <c r="G22" s="572">
        <f t="shared" si="1"/>
        <v>28141069.511399999</v>
      </c>
      <c r="H22" s="572">
        <f t="shared" si="1"/>
        <v>663623563.95760012</v>
      </c>
    </row>
    <row r="24" spans="1:8">
      <c r="C24" s="573"/>
      <c r="D24" s="573"/>
      <c r="E24" s="573"/>
      <c r="F24" s="573"/>
      <c r="G24" s="573"/>
      <c r="H24" s="573"/>
    </row>
    <row r="25" spans="1:8">
      <c r="C25" s="573"/>
      <c r="D25" s="573"/>
      <c r="E25" s="573"/>
      <c r="F25" s="573"/>
      <c r="G25" s="573"/>
      <c r="H25" s="573"/>
    </row>
    <row r="26" spans="1:8" ht="24">
      <c r="B26" s="300" t="s">
        <v>482</v>
      </c>
      <c r="C26" s="573"/>
      <c r="D26" s="573"/>
      <c r="E26" s="573"/>
      <c r="F26" s="573"/>
      <c r="G26" s="573"/>
      <c r="H26" s="573"/>
    </row>
    <row r="27" spans="1:8">
      <c r="C27" s="573"/>
      <c r="D27" s="573"/>
      <c r="E27" s="573"/>
      <c r="F27" s="573"/>
      <c r="G27" s="573"/>
      <c r="H27" s="573"/>
    </row>
    <row r="28" spans="1:8">
      <c r="C28" s="573"/>
      <c r="D28" s="573"/>
      <c r="E28" s="573"/>
      <c r="F28" s="573"/>
      <c r="G28" s="573"/>
      <c r="H28" s="573"/>
    </row>
    <row r="29" spans="1:8">
      <c r="C29" s="573"/>
      <c r="D29" s="573"/>
      <c r="E29" s="573"/>
      <c r="F29" s="573"/>
      <c r="G29" s="573"/>
      <c r="H29" s="573"/>
    </row>
    <row r="30" spans="1:8">
      <c r="C30" s="573"/>
      <c r="D30" s="573"/>
      <c r="E30" s="573"/>
      <c r="F30" s="573"/>
      <c r="G30" s="573"/>
      <c r="H30" s="573"/>
    </row>
    <row r="31" spans="1:8">
      <c r="C31" s="573"/>
      <c r="D31" s="573"/>
      <c r="E31" s="573"/>
      <c r="F31" s="573"/>
      <c r="G31" s="573"/>
      <c r="H31" s="573"/>
    </row>
    <row r="32" spans="1:8">
      <c r="C32" s="573"/>
      <c r="D32" s="573"/>
      <c r="E32" s="573"/>
      <c r="F32" s="573"/>
      <c r="G32" s="573"/>
      <c r="H32" s="573"/>
    </row>
    <row r="33" spans="3:8">
      <c r="C33" s="573"/>
      <c r="D33" s="573"/>
      <c r="E33" s="573"/>
      <c r="F33" s="573"/>
      <c r="G33" s="573"/>
      <c r="H33" s="573"/>
    </row>
    <row r="34" spans="3:8">
      <c r="C34" s="573"/>
      <c r="D34" s="573"/>
      <c r="E34" s="573"/>
      <c r="F34" s="573"/>
      <c r="G34" s="573"/>
      <c r="H34" s="573"/>
    </row>
    <row r="35" spans="3:8">
      <c r="C35" s="573"/>
      <c r="D35" s="573"/>
      <c r="E35" s="573"/>
      <c r="F35" s="573"/>
      <c r="G35" s="573"/>
      <c r="H35" s="573"/>
    </row>
    <row r="36" spans="3:8">
      <c r="C36" s="573"/>
      <c r="D36" s="573"/>
      <c r="E36" s="573"/>
      <c r="F36" s="573"/>
      <c r="G36" s="573"/>
      <c r="H36" s="573"/>
    </row>
    <row r="37" spans="3:8">
      <c r="C37" s="573"/>
      <c r="D37" s="573"/>
      <c r="E37" s="573"/>
      <c r="F37" s="573"/>
      <c r="G37" s="573"/>
      <c r="H37" s="573"/>
    </row>
    <row r="38" spans="3:8">
      <c r="C38" s="573"/>
      <c r="D38" s="573"/>
      <c r="E38" s="573"/>
      <c r="F38" s="573"/>
      <c r="G38" s="573"/>
      <c r="H38" s="573"/>
    </row>
    <row r="39" spans="3:8">
      <c r="C39" s="573"/>
      <c r="D39" s="573"/>
      <c r="E39" s="573"/>
      <c r="F39" s="573"/>
      <c r="G39" s="573"/>
      <c r="H39" s="573"/>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scale="39" orientation="portrait" horizontalDpi="300" verticalDpi="300" r:id="rId1"/>
  <headerFooter>
    <oddFooter>&amp;C_x000D_&amp;1#&amp;"Aptos"&amp;10&amp;K000000 C4 - EXTERNAL CONFIDENTIAL</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I43"/>
  <sheetViews>
    <sheetView showGridLines="0" zoomScale="80" zoomScaleNormal="80" workbookViewId="0">
      <selection activeCell="H26" sqref="H26"/>
    </sheetView>
  </sheetViews>
  <sheetFormatPr defaultColWidth="9.21875" defaultRowHeight="12"/>
  <cols>
    <col min="1" max="1" width="11.77734375" style="358" bestFit="1" customWidth="1"/>
    <col min="2" max="2" width="86.77734375" style="297" customWidth="1"/>
    <col min="3" max="4" width="31.5546875" style="297" customWidth="1"/>
    <col min="5" max="5" width="15.109375" style="297" bestFit="1" customWidth="1"/>
    <col min="6" max="6" width="11.77734375" style="297" bestFit="1" customWidth="1"/>
    <col min="7" max="7" width="21.5546875" style="297" bestFit="1" customWidth="1"/>
    <col min="8" max="8" width="41.44140625" style="297" customWidth="1"/>
    <col min="9" max="16384" width="9.21875" style="297"/>
  </cols>
  <sheetData>
    <row r="1" spans="1:9" ht="13.8">
      <c r="A1" s="295" t="s">
        <v>30</v>
      </c>
      <c r="B1" s="357" t="str">
        <f>'Info '!C2</f>
        <v xml:space="preserve">PASHA Bank Georgia JSC </v>
      </c>
      <c r="C1" s="370"/>
      <c r="D1" s="370"/>
      <c r="E1" s="370"/>
      <c r="F1" s="370"/>
      <c r="G1" s="370"/>
      <c r="H1" s="370"/>
    </row>
    <row r="2" spans="1:9">
      <c r="A2" s="295" t="s">
        <v>31</v>
      </c>
      <c r="B2" s="356">
        <f>'1. key ratios '!B2</f>
        <v>46112</v>
      </c>
      <c r="C2" s="370"/>
      <c r="D2" s="370"/>
      <c r="E2" s="370"/>
      <c r="F2" s="370"/>
      <c r="G2" s="370"/>
      <c r="H2" s="370"/>
    </row>
    <row r="3" spans="1:9">
      <c r="A3" s="296" t="s">
        <v>388</v>
      </c>
      <c r="B3" s="370"/>
      <c r="C3" s="370"/>
      <c r="D3" s="370"/>
      <c r="E3" s="370"/>
      <c r="F3" s="370"/>
      <c r="G3" s="370"/>
      <c r="H3" s="370"/>
    </row>
    <row r="4" spans="1:9">
      <c r="A4" s="371"/>
      <c r="B4" s="370"/>
      <c r="C4" s="369" t="s">
        <v>0</v>
      </c>
      <c r="D4" s="369" t="s">
        <v>1</v>
      </c>
      <c r="E4" s="369" t="s">
        <v>2</v>
      </c>
      <c r="F4" s="369" t="s">
        <v>3</v>
      </c>
      <c r="G4" s="369" t="s">
        <v>4</v>
      </c>
      <c r="H4" s="369" t="s">
        <v>5</v>
      </c>
    </row>
    <row r="5" spans="1:9" ht="34.049999999999997" customHeight="1">
      <c r="A5" s="795" t="s">
        <v>389</v>
      </c>
      <c r="B5" s="796"/>
      <c r="C5" s="809" t="s">
        <v>390</v>
      </c>
      <c r="D5" s="809"/>
      <c r="E5" s="809" t="s">
        <v>627</v>
      </c>
      <c r="F5" s="807" t="s">
        <v>391</v>
      </c>
      <c r="G5" s="807" t="s">
        <v>392</v>
      </c>
      <c r="H5" s="367" t="s">
        <v>626</v>
      </c>
    </row>
    <row r="6" spans="1:9" ht="24">
      <c r="A6" s="799"/>
      <c r="B6" s="800"/>
      <c r="C6" s="368" t="s">
        <v>393</v>
      </c>
      <c r="D6" s="368" t="s">
        <v>394</v>
      </c>
      <c r="E6" s="809"/>
      <c r="F6" s="808"/>
      <c r="G6" s="808"/>
      <c r="H6" s="367" t="s">
        <v>625</v>
      </c>
    </row>
    <row r="7" spans="1:9">
      <c r="A7" s="365">
        <v>1</v>
      </c>
      <c r="B7" s="350" t="s">
        <v>51</v>
      </c>
      <c r="C7" s="574"/>
      <c r="D7" s="574">
        <v>37101337.185199998</v>
      </c>
      <c r="E7" s="574"/>
      <c r="F7" s="574"/>
      <c r="G7" s="574"/>
      <c r="H7" s="575">
        <f>C7+D7-E7-F7</f>
        <v>37101337.185199998</v>
      </c>
      <c r="I7" s="573"/>
    </row>
    <row r="8" spans="1:9">
      <c r="A8" s="365">
        <v>2</v>
      </c>
      <c r="B8" s="350" t="s">
        <v>52</v>
      </c>
      <c r="C8" s="574"/>
      <c r="D8" s="574"/>
      <c r="E8" s="574"/>
      <c r="F8" s="574"/>
      <c r="G8" s="574"/>
      <c r="H8" s="575">
        <f t="shared" ref="H8:H20" si="0">C8+D8-E8-F8</f>
        <v>0</v>
      </c>
      <c r="I8" s="573"/>
    </row>
    <row r="9" spans="1:9">
      <c r="A9" s="365">
        <v>3</v>
      </c>
      <c r="B9" s="350" t="s">
        <v>152</v>
      </c>
      <c r="C9" s="574"/>
      <c r="D9" s="574"/>
      <c r="E9" s="574"/>
      <c r="F9" s="574"/>
      <c r="G9" s="574"/>
      <c r="H9" s="575">
        <f t="shared" si="0"/>
        <v>0</v>
      </c>
      <c r="I9" s="573"/>
    </row>
    <row r="10" spans="1:9">
      <c r="A10" s="365">
        <v>4</v>
      </c>
      <c r="B10" s="350" t="s">
        <v>53</v>
      </c>
      <c r="C10" s="574"/>
      <c r="D10" s="574"/>
      <c r="E10" s="574"/>
      <c r="F10" s="574"/>
      <c r="G10" s="574"/>
      <c r="H10" s="575">
        <f t="shared" si="0"/>
        <v>0</v>
      </c>
      <c r="I10" s="573"/>
    </row>
    <row r="11" spans="1:9">
      <c r="A11" s="365">
        <v>5</v>
      </c>
      <c r="B11" s="350" t="s">
        <v>54</v>
      </c>
      <c r="C11" s="574"/>
      <c r="D11" s="574"/>
      <c r="E11" s="574"/>
      <c r="F11" s="574"/>
      <c r="G11" s="574"/>
      <c r="H11" s="575">
        <f t="shared" si="0"/>
        <v>0</v>
      </c>
      <c r="I11" s="573"/>
    </row>
    <row r="12" spans="1:9">
      <c r="A12" s="365">
        <v>6</v>
      </c>
      <c r="B12" s="350" t="s">
        <v>55</v>
      </c>
      <c r="C12" s="574"/>
      <c r="D12" s="574">
        <v>88359269.528599992</v>
      </c>
      <c r="E12" s="574">
        <v>117128.3702</v>
      </c>
      <c r="F12" s="574"/>
      <c r="G12" s="574"/>
      <c r="H12" s="575">
        <f t="shared" si="0"/>
        <v>88242141.158399999</v>
      </c>
      <c r="I12" s="573"/>
    </row>
    <row r="13" spans="1:9">
      <c r="A13" s="365">
        <v>7</v>
      </c>
      <c r="B13" s="350" t="s">
        <v>56</v>
      </c>
      <c r="C13" s="574">
        <v>19967658.217599999</v>
      </c>
      <c r="D13" s="574">
        <v>503101647.1681</v>
      </c>
      <c r="E13" s="574">
        <v>7442887.4824000001</v>
      </c>
      <c r="F13" s="574"/>
      <c r="G13" s="574"/>
      <c r="H13" s="575">
        <f t="shared" si="0"/>
        <v>515626417.90329999</v>
      </c>
      <c r="I13" s="573"/>
    </row>
    <row r="14" spans="1:9">
      <c r="A14" s="365">
        <v>8</v>
      </c>
      <c r="B14" s="352" t="s">
        <v>57</v>
      </c>
      <c r="C14" s="574"/>
      <c r="D14" s="574"/>
      <c r="E14" s="574"/>
      <c r="F14" s="574"/>
      <c r="G14" s="574"/>
      <c r="H14" s="575">
        <f t="shared" si="0"/>
        <v>0</v>
      </c>
      <c r="I14" s="573"/>
    </row>
    <row r="15" spans="1:9">
      <c r="A15" s="365">
        <v>9</v>
      </c>
      <c r="B15" s="350" t="s">
        <v>58</v>
      </c>
      <c r="C15" s="574"/>
      <c r="D15" s="574"/>
      <c r="E15" s="574"/>
      <c r="F15" s="574"/>
      <c r="G15" s="574"/>
      <c r="H15" s="575">
        <f t="shared" si="0"/>
        <v>0</v>
      </c>
      <c r="I15" s="573"/>
    </row>
    <row r="16" spans="1:9">
      <c r="A16" s="365">
        <v>10</v>
      </c>
      <c r="B16" s="354" t="s">
        <v>395</v>
      </c>
      <c r="C16" s="574">
        <v>19235160.946399998</v>
      </c>
      <c r="D16" s="574">
        <v>0</v>
      </c>
      <c r="E16" s="574">
        <v>3742370.0359</v>
      </c>
      <c r="F16" s="574"/>
      <c r="G16" s="574"/>
      <c r="H16" s="575">
        <f t="shared" si="0"/>
        <v>15492790.910499997</v>
      </c>
      <c r="I16" s="573"/>
    </row>
    <row r="17" spans="1:9">
      <c r="A17" s="365">
        <v>11</v>
      </c>
      <c r="B17" s="350" t="s">
        <v>60</v>
      </c>
      <c r="C17" s="574"/>
      <c r="D17" s="574"/>
      <c r="E17" s="574"/>
      <c r="F17" s="574"/>
      <c r="G17" s="574"/>
      <c r="H17" s="575">
        <f t="shared" si="0"/>
        <v>0</v>
      </c>
      <c r="I17" s="573"/>
    </row>
    <row r="18" spans="1:9">
      <c r="A18" s="365">
        <v>12</v>
      </c>
      <c r="B18" s="350" t="s">
        <v>61</v>
      </c>
      <c r="C18" s="574"/>
      <c r="D18" s="574"/>
      <c r="E18" s="574"/>
      <c r="F18" s="574"/>
      <c r="G18" s="574"/>
      <c r="H18" s="575">
        <f t="shared" si="0"/>
        <v>0</v>
      </c>
      <c r="I18" s="573"/>
    </row>
    <row r="19" spans="1:9">
      <c r="A19" s="366">
        <v>13</v>
      </c>
      <c r="B19" s="352" t="s">
        <v>144</v>
      </c>
      <c r="C19" s="574"/>
      <c r="D19" s="574"/>
      <c r="E19" s="574"/>
      <c r="F19" s="574"/>
      <c r="G19" s="574"/>
      <c r="H19" s="575">
        <f t="shared" si="0"/>
        <v>0</v>
      </c>
      <c r="I19" s="573"/>
    </row>
    <row r="20" spans="1:9">
      <c r="A20" s="365">
        <v>14</v>
      </c>
      <c r="B20" s="350" t="s">
        <v>63</v>
      </c>
      <c r="C20" s="574"/>
      <c r="D20" s="574">
        <v>28076578.4408</v>
      </c>
      <c r="E20" s="574"/>
      <c r="F20" s="574"/>
      <c r="G20" s="574"/>
      <c r="H20" s="575">
        <f t="shared" si="0"/>
        <v>28076578.4408</v>
      </c>
      <c r="I20" s="573"/>
    </row>
    <row r="21" spans="1:9" s="362" customFormat="1">
      <c r="A21" s="364">
        <v>15</v>
      </c>
      <c r="B21" s="363" t="s">
        <v>64</v>
      </c>
      <c r="C21" s="576">
        <f t="shared" ref="C21:H21" si="1">SUM(C7:C15)+SUM(C17:C20)</f>
        <v>19967658.217599999</v>
      </c>
      <c r="D21" s="576">
        <f t="shared" si="1"/>
        <v>656638832.3226999</v>
      </c>
      <c r="E21" s="576">
        <f t="shared" si="1"/>
        <v>7560015.8525999999</v>
      </c>
      <c r="F21" s="576">
        <f t="shared" si="1"/>
        <v>0</v>
      </c>
      <c r="G21" s="576">
        <f t="shared" si="1"/>
        <v>0</v>
      </c>
      <c r="H21" s="575">
        <f t="shared" si="1"/>
        <v>669046474.68769991</v>
      </c>
      <c r="I21" s="573"/>
    </row>
    <row r="22" spans="1:9">
      <c r="A22" s="361">
        <v>16</v>
      </c>
      <c r="B22" s="360" t="s">
        <v>396</v>
      </c>
      <c r="C22" s="574">
        <v>19720623.387600001</v>
      </c>
      <c r="D22" s="574">
        <v>404123889.65930003</v>
      </c>
      <c r="E22" s="574">
        <v>6565879.9479999999</v>
      </c>
      <c r="F22" s="574"/>
      <c r="G22" s="574"/>
      <c r="H22" s="575">
        <f>C22+D22-E22-F22</f>
        <v>417278633.09890002</v>
      </c>
      <c r="I22" s="573"/>
    </row>
    <row r="23" spans="1:9">
      <c r="A23" s="361">
        <v>17</v>
      </c>
      <c r="B23" s="360" t="s">
        <v>397</v>
      </c>
      <c r="C23" s="574"/>
      <c r="D23" s="574">
        <v>98908220.553499997</v>
      </c>
      <c r="E23" s="574">
        <v>657822.3395</v>
      </c>
      <c r="F23" s="574"/>
      <c r="G23" s="574"/>
      <c r="H23" s="575">
        <f>C23+D23-E23-F23</f>
        <v>98250398.214000002</v>
      </c>
      <c r="I23" s="573"/>
    </row>
    <row r="25" spans="1:9">
      <c r="C25" s="573"/>
      <c r="D25" s="573"/>
      <c r="E25" s="573"/>
      <c r="F25" s="573"/>
      <c r="G25" s="573"/>
      <c r="H25" s="573"/>
    </row>
    <row r="26" spans="1:9" ht="42.45" customHeight="1">
      <c r="B26" s="300" t="s">
        <v>482</v>
      </c>
      <c r="C26" s="573"/>
      <c r="D26" s="573"/>
      <c r="E26" s="573"/>
      <c r="F26" s="573"/>
      <c r="G26" s="573"/>
      <c r="H26" s="573"/>
    </row>
    <row r="27" spans="1:9">
      <c r="C27" s="573"/>
      <c r="D27" s="573"/>
      <c r="E27" s="573"/>
      <c r="F27" s="573"/>
      <c r="G27" s="573"/>
      <c r="H27" s="573"/>
    </row>
    <row r="28" spans="1:9">
      <c r="C28" s="573"/>
      <c r="D28" s="573"/>
      <c r="E28" s="573"/>
      <c r="F28" s="573"/>
      <c r="G28" s="573"/>
      <c r="H28" s="573"/>
    </row>
    <row r="29" spans="1:9">
      <c r="C29" s="573"/>
      <c r="D29" s="573"/>
      <c r="E29" s="573"/>
      <c r="F29" s="573"/>
      <c r="G29" s="573"/>
      <c r="H29" s="573"/>
    </row>
    <row r="30" spans="1:9">
      <c r="C30" s="573"/>
      <c r="D30" s="573"/>
      <c r="E30" s="573"/>
      <c r="F30" s="573"/>
      <c r="G30" s="573"/>
      <c r="H30" s="573"/>
    </row>
    <row r="31" spans="1:9">
      <c r="C31" s="573"/>
      <c r="D31" s="573"/>
      <c r="E31" s="573"/>
      <c r="F31" s="573"/>
      <c r="G31" s="573"/>
      <c r="H31" s="573"/>
    </row>
    <row r="32" spans="1:9">
      <c r="C32" s="573"/>
      <c r="D32" s="573"/>
      <c r="E32" s="573"/>
      <c r="F32" s="573"/>
      <c r="G32" s="573"/>
      <c r="H32" s="573"/>
    </row>
    <row r="33" spans="3:8">
      <c r="C33" s="573"/>
      <c r="D33" s="573"/>
      <c r="E33" s="573"/>
      <c r="F33" s="573"/>
      <c r="G33" s="573"/>
      <c r="H33" s="573"/>
    </row>
    <row r="34" spans="3:8">
      <c r="C34" s="573"/>
      <c r="D34" s="573"/>
      <c r="E34" s="573"/>
      <c r="F34" s="573"/>
      <c r="G34" s="573"/>
      <c r="H34" s="573"/>
    </row>
    <row r="35" spans="3:8">
      <c r="C35" s="573"/>
      <c r="D35" s="573"/>
      <c r="E35" s="573"/>
      <c r="F35" s="573"/>
      <c r="G35" s="573"/>
      <c r="H35" s="573"/>
    </row>
    <row r="36" spans="3:8">
      <c r="C36" s="573"/>
      <c r="D36" s="573"/>
      <c r="E36" s="573"/>
      <c r="F36" s="573"/>
      <c r="G36" s="573"/>
      <c r="H36" s="573"/>
    </row>
    <row r="37" spans="3:8">
      <c r="C37" s="573"/>
      <c r="D37" s="573"/>
      <c r="E37" s="573"/>
      <c r="F37" s="573"/>
      <c r="G37" s="573"/>
      <c r="H37" s="573"/>
    </row>
    <row r="38" spans="3:8">
      <c r="C38" s="573"/>
      <c r="D38" s="573"/>
      <c r="E38" s="573"/>
      <c r="F38" s="573"/>
      <c r="G38" s="573"/>
      <c r="H38" s="573"/>
    </row>
    <row r="39" spans="3:8">
      <c r="C39" s="573"/>
      <c r="D39" s="573"/>
      <c r="E39" s="573"/>
      <c r="F39" s="573"/>
      <c r="G39" s="573"/>
      <c r="H39" s="573"/>
    </row>
    <row r="40" spans="3:8">
      <c r="C40" s="573"/>
      <c r="D40" s="573"/>
      <c r="E40" s="573"/>
      <c r="F40" s="573"/>
      <c r="G40" s="573"/>
      <c r="H40" s="573"/>
    </row>
    <row r="41" spans="3:8">
      <c r="C41" s="573"/>
      <c r="D41" s="573"/>
      <c r="E41" s="573"/>
      <c r="F41" s="573"/>
      <c r="G41" s="573"/>
      <c r="H41" s="573"/>
    </row>
    <row r="42" spans="3:8">
      <c r="C42" s="573"/>
      <c r="D42" s="573"/>
      <c r="E42" s="573"/>
      <c r="F42" s="573"/>
      <c r="G42" s="573"/>
      <c r="H42" s="573"/>
    </row>
    <row r="43" spans="3:8">
      <c r="C43" s="573"/>
      <c r="D43" s="573"/>
      <c r="E43" s="573"/>
      <c r="F43" s="573"/>
      <c r="G43" s="573"/>
      <c r="H43" s="573"/>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paperSize="9" scale="34" orientation="portrait" horizontalDpi="300" verticalDpi="300" r:id="rId1"/>
  <headerFooter>
    <oddFooter>&amp;C_x000D_&amp;1#&amp;"Aptos"&amp;10&amp;K000000 C4 - EXTERNAL CONFIDENTIAL</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65"/>
  <sheetViews>
    <sheetView showGridLines="0" topLeftCell="A12" zoomScale="80" zoomScaleNormal="80" workbookViewId="0">
      <selection activeCell="O22" sqref="O22"/>
    </sheetView>
  </sheetViews>
  <sheetFormatPr defaultColWidth="9.21875" defaultRowHeight="12"/>
  <cols>
    <col min="1" max="1" width="11" style="297" bestFit="1" customWidth="1"/>
    <col min="2" max="2" width="93.44140625" style="297" customWidth="1"/>
    <col min="3" max="4" width="35" style="297" customWidth="1"/>
    <col min="5" max="5" width="15.109375" style="297" bestFit="1" customWidth="1"/>
    <col min="6" max="6" width="11.77734375" style="297" bestFit="1" customWidth="1"/>
    <col min="7" max="7" width="22" style="297" customWidth="1"/>
    <col min="8" max="8" width="19.88671875" style="297" customWidth="1"/>
    <col min="9" max="16384" width="9.21875" style="297"/>
  </cols>
  <sheetData>
    <row r="1" spans="1:9" ht="13.8">
      <c r="A1" s="295" t="s">
        <v>30</v>
      </c>
      <c r="B1" s="357" t="str">
        <f>'Info '!C2</f>
        <v xml:space="preserve">PASHA Bank Georgia JSC </v>
      </c>
      <c r="C1" s="370"/>
      <c r="D1" s="370"/>
      <c r="E1" s="370"/>
      <c r="F1" s="370"/>
      <c r="G1" s="370"/>
      <c r="H1" s="370"/>
    </row>
    <row r="2" spans="1:9">
      <c r="A2" s="295" t="s">
        <v>31</v>
      </c>
      <c r="B2" s="356">
        <f>'1. key ratios '!B2</f>
        <v>46112</v>
      </c>
      <c r="C2" s="370"/>
      <c r="D2" s="370"/>
      <c r="E2" s="370"/>
      <c r="F2" s="370"/>
      <c r="G2" s="370"/>
      <c r="H2" s="370"/>
    </row>
    <row r="3" spans="1:9">
      <c r="A3" s="296" t="s">
        <v>398</v>
      </c>
      <c r="B3" s="370"/>
      <c r="C3" s="370"/>
      <c r="D3" s="370"/>
      <c r="E3" s="370"/>
      <c r="F3" s="370"/>
      <c r="G3" s="370"/>
      <c r="H3" s="370"/>
    </row>
    <row r="4" spans="1:9">
      <c r="A4" s="371"/>
      <c r="B4" s="370"/>
      <c r="C4" s="369" t="s">
        <v>0</v>
      </c>
      <c r="D4" s="369" t="s">
        <v>1</v>
      </c>
      <c r="E4" s="369" t="s">
        <v>2</v>
      </c>
      <c r="F4" s="369" t="s">
        <v>3</v>
      </c>
      <c r="G4" s="369" t="s">
        <v>4</v>
      </c>
      <c r="H4" s="369" t="s">
        <v>5</v>
      </c>
    </row>
    <row r="5" spans="1:9" ht="41.55" customHeight="1">
      <c r="A5" s="795" t="s">
        <v>389</v>
      </c>
      <c r="B5" s="796"/>
      <c r="C5" s="809" t="s">
        <v>390</v>
      </c>
      <c r="D5" s="809"/>
      <c r="E5" s="809" t="s">
        <v>627</v>
      </c>
      <c r="F5" s="807" t="s">
        <v>391</v>
      </c>
      <c r="G5" s="807" t="s">
        <v>392</v>
      </c>
      <c r="H5" s="367" t="s">
        <v>626</v>
      </c>
    </row>
    <row r="6" spans="1:9" ht="24">
      <c r="A6" s="799"/>
      <c r="B6" s="800"/>
      <c r="C6" s="368" t="s">
        <v>393</v>
      </c>
      <c r="D6" s="368" t="s">
        <v>394</v>
      </c>
      <c r="E6" s="809"/>
      <c r="F6" s="808"/>
      <c r="G6" s="808"/>
      <c r="H6" s="367" t="s">
        <v>625</v>
      </c>
    </row>
    <row r="7" spans="1:9">
      <c r="A7" s="359">
        <v>1</v>
      </c>
      <c r="B7" s="374" t="s">
        <v>486</v>
      </c>
      <c r="C7" s="574">
        <v>0</v>
      </c>
      <c r="D7" s="574">
        <v>37100795.7852</v>
      </c>
      <c r="E7" s="574">
        <v>0</v>
      </c>
      <c r="F7" s="574"/>
      <c r="G7" s="574"/>
      <c r="H7" s="575">
        <f t="shared" ref="H7:H34" si="0">C7+D7-E7-F7</f>
        <v>37100795.7852</v>
      </c>
      <c r="I7" s="573"/>
    </row>
    <row r="8" spans="1:9">
      <c r="A8" s="359">
        <v>2</v>
      </c>
      <c r="B8" s="374" t="s">
        <v>399</v>
      </c>
      <c r="C8" s="574">
        <v>175907.68</v>
      </c>
      <c r="D8" s="574">
        <v>206003319.55779999</v>
      </c>
      <c r="E8" s="574">
        <v>917484.18110000005</v>
      </c>
      <c r="F8" s="574"/>
      <c r="G8" s="574"/>
      <c r="H8" s="575">
        <f t="shared" si="0"/>
        <v>205261743.05669999</v>
      </c>
      <c r="I8" s="573"/>
    </row>
    <row r="9" spans="1:9">
      <c r="A9" s="359">
        <v>3</v>
      </c>
      <c r="B9" s="374" t="s">
        <v>400</v>
      </c>
      <c r="C9" s="574"/>
      <c r="D9" s="574"/>
      <c r="E9" s="574"/>
      <c r="F9" s="574"/>
      <c r="G9" s="574"/>
      <c r="H9" s="575">
        <f t="shared" si="0"/>
        <v>0</v>
      </c>
      <c r="I9" s="573"/>
    </row>
    <row r="10" spans="1:9">
      <c r="A10" s="359">
        <v>4</v>
      </c>
      <c r="B10" s="374" t="s">
        <v>487</v>
      </c>
      <c r="C10" s="574">
        <v>1651412.0526999999</v>
      </c>
      <c r="D10" s="574">
        <v>39799963.592299998</v>
      </c>
      <c r="E10" s="574">
        <v>347462.38020000001</v>
      </c>
      <c r="F10" s="574"/>
      <c r="G10" s="574"/>
      <c r="H10" s="575">
        <f t="shared" si="0"/>
        <v>41103913.264799997</v>
      </c>
      <c r="I10" s="573"/>
    </row>
    <row r="11" spans="1:9">
      <c r="A11" s="359">
        <v>5</v>
      </c>
      <c r="B11" s="374" t="s">
        <v>401</v>
      </c>
      <c r="C11" s="574">
        <v>0</v>
      </c>
      <c r="D11" s="574">
        <v>50617214.656000003</v>
      </c>
      <c r="E11" s="574">
        <v>108114.76149999999</v>
      </c>
      <c r="F11" s="574"/>
      <c r="G11" s="574"/>
      <c r="H11" s="575">
        <f t="shared" si="0"/>
        <v>50509099.894500002</v>
      </c>
      <c r="I11" s="573"/>
    </row>
    <row r="12" spans="1:9">
      <c r="A12" s="359">
        <v>6</v>
      </c>
      <c r="B12" s="374" t="s">
        <v>402</v>
      </c>
      <c r="C12" s="574">
        <v>62.24</v>
      </c>
      <c r="D12" s="574">
        <v>6920332.5909000002</v>
      </c>
      <c r="E12" s="574">
        <v>29387.0432</v>
      </c>
      <c r="F12" s="574"/>
      <c r="G12" s="574"/>
      <c r="H12" s="575">
        <f t="shared" si="0"/>
        <v>6891007.7877000002</v>
      </c>
      <c r="I12" s="573"/>
    </row>
    <row r="13" spans="1:9">
      <c r="A13" s="359">
        <v>7</v>
      </c>
      <c r="B13" s="374" t="s">
        <v>403</v>
      </c>
      <c r="C13" s="574">
        <v>622.42999999999995</v>
      </c>
      <c r="D13" s="574">
        <v>29742704.8266</v>
      </c>
      <c r="E13" s="574">
        <v>367332.2</v>
      </c>
      <c r="F13" s="574"/>
      <c r="G13" s="574"/>
      <c r="H13" s="575">
        <f t="shared" si="0"/>
        <v>29375995.056600001</v>
      </c>
      <c r="I13" s="573"/>
    </row>
    <row r="14" spans="1:9">
      <c r="A14" s="359">
        <v>8</v>
      </c>
      <c r="B14" s="374" t="s">
        <v>404</v>
      </c>
      <c r="C14" s="574">
        <v>1049570.1904</v>
      </c>
      <c r="D14" s="574">
        <v>19798778.778900001</v>
      </c>
      <c r="E14" s="574">
        <v>230763.6899</v>
      </c>
      <c r="F14" s="574"/>
      <c r="G14" s="574"/>
      <c r="H14" s="575">
        <f t="shared" si="0"/>
        <v>20617585.279400002</v>
      </c>
      <c r="I14" s="573"/>
    </row>
    <row r="15" spans="1:9">
      <c r="A15" s="359">
        <v>9</v>
      </c>
      <c r="B15" s="374" t="s">
        <v>405</v>
      </c>
      <c r="C15" s="574">
        <v>0</v>
      </c>
      <c r="D15" s="574">
        <v>2925579.7056</v>
      </c>
      <c r="E15" s="574">
        <v>6407.3870999999999</v>
      </c>
      <c r="F15" s="574"/>
      <c r="G15" s="574"/>
      <c r="H15" s="575">
        <f t="shared" si="0"/>
        <v>2919172.3185000001</v>
      </c>
      <c r="I15" s="573"/>
    </row>
    <row r="16" spans="1:9">
      <c r="A16" s="359">
        <v>10</v>
      </c>
      <c r="B16" s="374" t="s">
        <v>406</v>
      </c>
      <c r="C16" s="574">
        <v>0</v>
      </c>
      <c r="D16" s="574">
        <v>995356.74540000001</v>
      </c>
      <c r="E16" s="574">
        <v>3478.7509</v>
      </c>
      <c r="F16" s="574"/>
      <c r="G16" s="574"/>
      <c r="H16" s="575">
        <f t="shared" si="0"/>
        <v>991877.99450000003</v>
      </c>
      <c r="I16" s="573"/>
    </row>
    <row r="17" spans="1:9">
      <c r="A17" s="359">
        <v>11</v>
      </c>
      <c r="B17" s="374" t="s">
        <v>407</v>
      </c>
      <c r="C17" s="574"/>
      <c r="D17" s="574"/>
      <c r="E17" s="574"/>
      <c r="F17" s="574"/>
      <c r="G17" s="574"/>
      <c r="H17" s="575">
        <f t="shared" si="0"/>
        <v>0</v>
      </c>
      <c r="I17" s="573"/>
    </row>
    <row r="18" spans="1:9">
      <c r="A18" s="359">
        <v>12</v>
      </c>
      <c r="B18" s="374" t="s">
        <v>408</v>
      </c>
      <c r="C18" s="574">
        <v>639.67999999999995</v>
      </c>
      <c r="D18" s="574">
        <v>37814116.815800004</v>
      </c>
      <c r="E18" s="574">
        <v>240721.47380000001</v>
      </c>
      <c r="F18" s="574"/>
      <c r="G18" s="574"/>
      <c r="H18" s="575">
        <f t="shared" si="0"/>
        <v>37574035.022</v>
      </c>
      <c r="I18" s="573"/>
    </row>
    <row r="19" spans="1:9">
      <c r="A19" s="359">
        <v>13</v>
      </c>
      <c r="B19" s="374" t="s">
        <v>409</v>
      </c>
      <c r="C19" s="574">
        <v>448963.67300000001</v>
      </c>
      <c r="D19" s="574">
        <v>1140121.6793</v>
      </c>
      <c r="E19" s="574">
        <v>48642.279799999997</v>
      </c>
      <c r="F19" s="574"/>
      <c r="G19" s="574"/>
      <c r="H19" s="575">
        <f t="shared" si="0"/>
        <v>1540443.0725</v>
      </c>
      <c r="I19" s="573"/>
    </row>
    <row r="20" spans="1:9">
      <c r="A20" s="359">
        <v>14</v>
      </c>
      <c r="B20" s="374" t="s">
        <v>410</v>
      </c>
      <c r="C20" s="574">
        <v>2351362.3610999999</v>
      </c>
      <c r="D20" s="574">
        <v>5573629.4643000001</v>
      </c>
      <c r="E20" s="574">
        <v>428770.21720000001</v>
      </c>
      <c r="F20" s="574"/>
      <c r="G20" s="574"/>
      <c r="H20" s="575">
        <f t="shared" si="0"/>
        <v>7496221.6082000006</v>
      </c>
      <c r="I20" s="573"/>
    </row>
    <row r="21" spans="1:9">
      <c r="A21" s="359">
        <v>15</v>
      </c>
      <c r="B21" s="374" t="s">
        <v>411</v>
      </c>
      <c r="C21" s="574">
        <v>9755202.5250000004</v>
      </c>
      <c r="D21" s="574">
        <v>14988365.398</v>
      </c>
      <c r="E21" s="574">
        <v>1760840.8077</v>
      </c>
      <c r="F21" s="574"/>
      <c r="G21" s="574"/>
      <c r="H21" s="575">
        <f t="shared" si="0"/>
        <v>22982727.1153</v>
      </c>
      <c r="I21" s="573"/>
    </row>
    <row r="22" spans="1:9">
      <c r="A22" s="359">
        <v>16</v>
      </c>
      <c r="B22" s="374" t="s">
        <v>412</v>
      </c>
      <c r="C22" s="574"/>
      <c r="D22" s="574"/>
      <c r="E22" s="574"/>
      <c r="F22" s="574"/>
      <c r="G22" s="574"/>
      <c r="H22" s="575">
        <f t="shared" si="0"/>
        <v>0</v>
      </c>
      <c r="I22" s="573"/>
    </row>
    <row r="23" spans="1:9">
      <c r="A23" s="359">
        <v>17</v>
      </c>
      <c r="B23" s="374" t="s">
        <v>490</v>
      </c>
      <c r="C23" s="574">
        <v>0</v>
      </c>
      <c r="D23" s="574">
        <v>8610719.8822000008</v>
      </c>
      <c r="E23" s="574">
        <v>35160.561399999999</v>
      </c>
      <c r="F23" s="574"/>
      <c r="G23" s="574"/>
      <c r="H23" s="575">
        <f t="shared" si="0"/>
        <v>8575559.3208000008</v>
      </c>
      <c r="I23" s="573"/>
    </row>
    <row r="24" spans="1:9">
      <c r="A24" s="359">
        <v>18</v>
      </c>
      <c r="B24" s="374" t="s">
        <v>413</v>
      </c>
      <c r="C24" s="574">
        <v>0</v>
      </c>
      <c r="D24" s="574">
        <v>113690312.12720001</v>
      </c>
      <c r="E24" s="574">
        <v>601030.45700000005</v>
      </c>
      <c r="F24" s="574"/>
      <c r="G24" s="574"/>
      <c r="H24" s="575">
        <f t="shared" si="0"/>
        <v>113089281.67020001</v>
      </c>
      <c r="I24" s="573"/>
    </row>
    <row r="25" spans="1:9">
      <c r="A25" s="359">
        <v>19</v>
      </c>
      <c r="B25" s="374" t="s">
        <v>414</v>
      </c>
      <c r="C25" s="574"/>
      <c r="D25" s="574"/>
      <c r="E25" s="574"/>
      <c r="F25" s="574"/>
      <c r="G25" s="574"/>
      <c r="H25" s="575">
        <f t="shared" si="0"/>
        <v>0</v>
      </c>
      <c r="I25" s="573"/>
    </row>
    <row r="26" spans="1:9">
      <c r="A26" s="359">
        <v>20</v>
      </c>
      <c r="B26" s="374" t="s">
        <v>489</v>
      </c>
      <c r="C26" s="574">
        <v>0</v>
      </c>
      <c r="D26" s="574">
        <v>7201467.0756000001</v>
      </c>
      <c r="E26" s="574">
        <v>143755.8358</v>
      </c>
      <c r="F26" s="574"/>
      <c r="G26" s="574"/>
      <c r="H26" s="575">
        <f t="shared" si="0"/>
        <v>7057711.2398000006</v>
      </c>
      <c r="I26" s="573"/>
    </row>
    <row r="27" spans="1:9">
      <c r="A27" s="359">
        <v>21</v>
      </c>
      <c r="B27" s="374" t="s">
        <v>415</v>
      </c>
      <c r="C27" s="574"/>
      <c r="D27" s="574"/>
      <c r="E27" s="574"/>
      <c r="F27" s="574"/>
      <c r="G27" s="574"/>
      <c r="H27" s="575">
        <f t="shared" si="0"/>
        <v>0</v>
      </c>
      <c r="I27" s="573"/>
    </row>
    <row r="28" spans="1:9">
      <c r="A28" s="359">
        <v>22</v>
      </c>
      <c r="B28" s="374" t="s">
        <v>416</v>
      </c>
      <c r="C28" s="574">
        <v>0</v>
      </c>
      <c r="D28" s="574">
        <v>21397180.486400001</v>
      </c>
      <c r="E28" s="574">
        <v>284510.79790000001</v>
      </c>
      <c r="F28" s="574"/>
      <c r="G28" s="574"/>
      <c r="H28" s="575">
        <f t="shared" si="0"/>
        <v>21112669.688500002</v>
      </c>
      <c r="I28" s="573"/>
    </row>
    <row r="29" spans="1:9">
      <c r="A29" s="359">
        <v>23</v>
      </c>
      <c r="B29" s="374" t="s">
        <v>417</v>
      </c>
      <c r="C29" s="574">
        <v>1820025.1317</v>
      </c>
      <c r="D29" s="574">
        <v>8650880.7621999998</v>
      </c>
      <c r="E29" s="574">
        <v>180133.10509999999</v>
      </c>
      <c r="F29" s="574"/>
      <c r="G29" s="574"/>
      <c r="H29" s="575">
        <f t="shared" si="0"/>
        <v>10290772.788799999</v>
      </c>
      <c r="I29" s="573"/>
    </row>
    <row r="30" spans="1:9">
      <c r="A30" s="359">
        <v>24</v>
      </c>
      <c r="B30" s="374" t="s">
        <v>488</v>
      </c>
      <c r="C30" s="574">
        <v>2713043.1979999999</v>
      </c>
      <c r="D30" s="574">
        <v>14044422.3621</v>
      </c>
      <c r="E30" s="574">
        <v>1814009.0356000001</v>
      </c>
      <c r="F30" s="574"/>
      <c r="G30" s="574"/>
      <c r="H30" s="575">
        <f t="shared" si="0"/>
        <v>14943456.524500001</v>
      </c>
      <c r="I30" s="573"/>
    </row>
    <row r="31" spans="1:9">
      <c r="A31" s="359">
        <v>25</v>
      </c>
      <c r="B31" s="374" t="s">
        <v>418</v>
      </c>
      <c r="C31" s="574">
        <v>0</v>
      </c>
      <c r="D31" s="574">
        <v>1533510.8916</v>
      </c>
      <c r="E31" s="574">
        <v>11167.9581</v>
      </c>
      <c r="F31" s="574"/>
      <c r="G31" s="574"/>
      <c r="H31" s="575">
        <f t="shared" si="0"/>
        <v>1522342.9335</v>
      </c>
      <c r="I31" s="573"/>
    </row>
    <row r="32" spans="1:9">
      <c r="A32" s="359">
        <v>26</v>
      </c>
      <c r="B32" s="374" t="s">
        <v>485</v>
      </c>
      <c r="C32" s="574">
        <v>846.99379999999996</v>
      </c>
      <c r="D32" s="574">
        <v>13480.698</v>
      </c>
      <c r="E32" s="574">
        <v>842.92930000000001</v>
      </c>
      <c r="F32" s="574"/>
      <c r="G32" s="574"/>
      <c r="H32" s="575">
        <f t="shared" si="0"/>
        <v>13484.762500000001</v>
      </c>
      <c r="I32" s="573"/>
    </row>
    <row r="33" spans="1:9">
      <c r="A33" s="359">
        <v>27</v>
      </c>
      <c r="B33" s="359" t="s">
        <v>419</v>
      </c>
      <c r="C33" s="574"/>
      <c r="D33" s="574">
        <v>22653667.7108</v>
      </c>
      <c r="E33" s="574"/>
      <c r="F33" s="574"/>
      <c r="G33" s="574"/>
      <c r="H33" s="575">
        <f t="shared" si="0"/>
        <v>22653667.7108</v>
      </c>
      <c r="I33" s="573"/>
    </row>
    <row r="34" spans="1:9">
      <c r="A34" s="359">
        <v>28</v>
      </c>
      <c r="B34" s="363" t="s">
        <v>64</v>
      </c>
      <c r="C34" s="576">
        <f>SUM(C7:C33)</f>
        <v>19967658.155699998</v>
      </c>
      <c r="D34" s="576">
        <f>SUM(D7:D33)</f>
        <v>651215921.59220016</v>
      </c>
      <c r="E34" s="576">
        <f>SUM(E7:E33)</f>
        <v>7560015.8526000017</v>
      </c>
      <c r="F34" s="576">
        <f>SUM(F7:F33)</f>
        <v>0</v>
      </c>
      <c r="G34" s="576">
        <f>SUM(G7:G33)</f>
        <v>0</v>
      </c>
      <c r="H34" s="575">
        <f t="shared" si="0"/>
        <v>663623563.89530015</v>
      </c>
      <c r="I34" s="573"/>
    </row>
    <row r="36" spans="1:9">
      <c r="B36" s="373"/>
      <c r="C36" s="648"/>
      <c r="D36" s="648"/>
      <c r="E36" s="648"/>
      <c r="F36" s="648"/>
      <c r="G36" s="648"/>
      <c r="H36" s="648"/>
    </row>
    <row r="37" spans="1:9">
      <c r="C37" s="648"/>
      <c r="D37" s="648"/>
      <c r="E37" s="648"/>
      <c r="F37" s="648"/>
      <c r="G37" s="648"/>
      <c r="H37" s="648"/>
    </row>
    <row r="38" spans="1:9">
      <c r="C38" s="648"/>
      <c r="D38" s="648"/>
      <c r="E38" s="648"/>
      <c r="F38" s="648"/>
      <c r="G38" s="648"/>
      <c r="H38" s="648"/>
    </row>
    <row r="39" spans="1:9">
      <c r="C39" s="648"/>
      <c r="D39" s="648"/>
      <c r="E39" s="648"/>
      <c r="F39" s="648"/>
      <c r="G39" s="648"/>
      <c r="H39" s="648"/>
    </row>
    <row r="40" spans="1:9">
      <c r="C40" s="648"/>
      <c r="D40" s="648"/>
      <c r="E40" s="648"/>
      <c r="F40" s="648"/>
      <c r="G40" s="648"/>
      <c r="H40" s="648"/>
    </row>
    <row r="41" spans="1:9">
      <c r="C41" s="648"/>
      <c r="D41" s="648"/>
      <c r="E41" s="648"/>
      <c r="F41" s="648"/>
      <c r="G41" s="648"/>
      <c r="H41" s="648"/>
    </row>
    <row r="42" spans="1:9">
      <c r="C42" s="648"/>
      <c r="D42" s="648"/>
      <c r="E42" s="648"/>
      <c r="F42" s="648"/>
      <c r="G42" s="648"/>
      <c r="H42" s="648"/>
    </row>
    <row r="43" spans="1:9">
      <c r="C43" s="648"/>
      <c r="D43" s="648"/>
      <c r="E43" s="648"/>
      <c r="F43" s="648"/>
      <c r="G43" s="648"/>
      <c r="H43" s="648"/>
    </row>
    <row r="44" spans="1:9">
      <c r="C44" s="648"/>
      <c r="D44" s="648"/>
      <c r="E44" s="648"/>
      <c r="F44" s="648"/>
      <c r="G44" s="648"/>
      <c r="H44" s="648"/>
    </row>
    <row r="45" spans="1:9">
      <c r="C45" s="648"/>
      <c r="D45" s="648"/>
      <c r="E45" s="648"/>
      <c r="F45" s="648"/>
      <c r="G45" s="648"/>
      <c r="H45" s="648"/>
    </row>
    <row r="46" spans="1:9">
      <c r="C46" s="648"/>
      <c r="D46" s="648"/>
      <c r="E46" s="648"/>
      <c r="F46" s="648"/>
      <c r="G46" s="648"/>
      <c r="H46" s="648"/>
    </row>
    <row r="47" spans="1:9">
      <c r="C47" s="648"/>
      <c r="D47" s="648"/>
      <c r="E47" s="648"/>
      <c r="F47" s="648"/>
      <c r="G47" s="648"/>
      <c r="H47" s="648"/>
    </row>
    <row r="48" spans="1:9">
      <c r="C48" s="648"/>
      <c r="D48" s="648"/>
      <c r="E48" s="648"/>
      <c r="F48" s="648"/>
      <c r="G48" s="648"/>
      <c r="H48" s="648"/>
    </row>
    <row r="49" spans="3:8">
      <c r="C49" s="648"/>
      <c r="D49" s="648"/>
      <c r="E49" s="648"/>
      <c r="F49" s="648"/>
      <c r="G49" s="648"/>
      <c r="H49" s="648"/>
    </row>
    <row r="50" spans="3:8">
      <c r="C50" s="648"/>
      <c r="D50" s="648"/>
      <c r="E50" s="648"/>
      <c r="F50" s="648"/>
      <c r="G50" s="648"/>
      <c r="H50" s="648"/>
    </row>
    <row r="51" spans="3:8">
      <c r="C51" s="648"/>
      <c r="D51" s="648"/>
      <c r="E51" s="648"/>
      <c r="F51" s="648"/>
      <c r="G51" s="648"/>
      <c r="H51" s="648"/>
    </row>
    <row r="52" spans="3:8">
      <c r="C52" s="648"/>
      <c r="D52" s="648"/>
      <c r="E52" s="648"/>
      <c r="F52" s="648"/>
      <c r="G52" s="648"/>
      <c r="H52" s="648"/>
    </row>
    <row r="53" spans="3:8">
      <c r="C53" s="648"/>
      <c r="D53" s="648"/>
      <c r="E53" s="648"/>
      <c r="F53" s="648"/>
      <c r="G53" s="648"/>
      <c r="H53" s="648"/>
    </row>
    <row r="54" spans="3:8">
      <c r="C54" s="648"/>
      <c r="D54" s="648"/>
      <c r="E54" s="648"/>
      <c r="F54" s="648"/>
      <c r="G54" s="648"/>
      <c r="H54" s="648"/>
    </row>
    <row r="55" spans="3:8">
      <c r="C55" s="648"/>
      <c r="D55" s="648"/>
      <c r="E55" s="648"/>
      <c r="F55" s="648"/>
      <c r="G55" s="648"/>
      <c r="H55" s="648"/>
    </row>
    <row r="56" spans="3:8">
      <c r="C56" s="648"/>
      <c r="D56" s="648"/>
      <c r="E56" s="648"/>
      <c r="F56" s="648"/>
      <c r="G56" s="648"/>
      <c r="H56" s="648"/>
    </row>
    <row r="57" spans="3:8">
      <c r="C57" s="648"/>
      <c r="D57" s="648"/>
      <c r="E57" s="648"/>
      <c r="F57" s="648"/>
      <c r="G57" s="648"/>
      <c r="H57" s="648"/>
    </row>
    <row r="58" spans="3:8">
      <c r="C58" s="648"/>
      <c r="D58" s="648"/>
      <c r="E58" s="648"/>
      <c r="F58" s="648"/>
      <c r="G58" s="648"/>
      <c r="H58" s="648"/>
    </row>
    <row r="59" spans="3:8">
      <c r="C59" s="648"/>
      <c r="D59" s="648"/>
      <c r="E59" s="648"/>
      <c r="F59" s="648"/>
      <c r="G59" s="648"/>
      <c r="H59" s="648"/>
    </row>
    <row r="60" spans="3:8">
      <c r="C60" s="648"/>
      <c r="D60" s="648"/>
      <c r="E60" s="648"/>
      <c r="F60" s="648"/>
      <c r="G60" s="648"/>
      <c r="H60" s="648"/>
    </row>
    <row r="61" spans="3:8">
      <c r="C61" s="648"/>
      <c r="D61" s="648"/>
      <c r="E61" s="648"/>
      <c r="F61" s="648"/>
      <c r="G61" s="648"/>
      <c r="H61" s="648"/>
    </row>
    <row r="62" spans="3:8">
      <c r="C62" s="648"/>
      <c r="D62" s="648"/>
      <c r="E62" s="648"/>
      <c r="F62" s="648"/>
      <c r="G62" s="648"/>
      <c r="H62" s="648"/>
    </row>
    <row r="63" spans="3:8">
      <c r="C63" s="648"/>
      <c r="D63" s="648"/>
      <c r="E63" s="648"/>
      <c r="F63" s="648"/>
      <c r="G63" s="648"/>
      <c r="H63" s="648"/>
    </row>
    <row r="64" spans="3:8">
      <c r="C64" s="573"/>
      <c r="D64" s="573"/>
      <c r="E64" s="573"/>
      <c r="F64" s="573"/>
      <c r="G64" s="573"/>
      <c r="H64" s="573"/>
    </row>
    <row r="65" spans="3:3">
      <c r="C65" s="573"/>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paperSize="9" scale="35" orientation="portrait" horizontalDpi="300" verticalDpi="300" r:id="rId1"/>
  <headerFooter>
    <oddFooter>&amp;C_x000D_&amp;1#&amp;"Aptos"&amp;10&amp;K000000 C4 - EXTERNAL CONFIDENTIAL</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F30"/>
  <sheetViews>
    <sheetView showGridLines="0" zoomScale="80" zoomScaleNormal="80" workbookViewId="0">
      <selection activeCell="D24" sqref="D24"/>
    </sheetView>
  </sheetViews>
  <sheetFormatPr defaultColWidth="9.21875" defaultRowHeight="12"/>
  <cols>
    <col min="1" max="1" width="11.77734375" style="297" bestFit="1" customWidth="1"/>
    <col min="2" max="2" width="108" style="297" bestFit="1" customWidth="1"/>
    <col min="3" max="3" width="35.5546875" style="297" customWidth="1"/>
    <col min="4" max="4" width="38.44140625" style="297" customWidth="1"/>
    <col min="5" max="16384" width="9.21875" style="297"/>
  </cols>
  <sheetData>
    <row r="1" spans="1:6" ht="13.8">
      <c r="A1" s="295" t="s">
        <v>30</v>
      </c>
      <c r="B1" s="357" t="str">
        <f>'Info '!C2</f>
        <v xml:space="preserve">PASHA Bank Georgia JSC </v>
      </c>
    </row>
    <row r="2" spans="1:6">
      <c r="A2" s="295" t="s">
        <v>31</v>
      </c>
      <c r="B2" s="356">
        <f>'1. key ratios '!B2</f>
        <v>46112</v>
      </c>
    </row>
    <row r="3" spans="1:6">
      <c r="A3" s="296" t="s">
        <v>420</v>
      </c>
    </row>
    <row r="5" spans="1:6">
      <c r="A5" s="810" t="s">
        <v>634</v>
      </c>
      <c r="B5" s="810"/>
      <c r="C5" s="355" t="s">
        <v>437</v>
      </c>
      <c r="D5" s="355" t="s">
        <v>478</v>
      </c>
    </row>
    <row r="6" spans="1:6">
      <c r="A6" s="381">
        <v>1</v>
      </c>
      <c r="B6" s="375" t="s">
        <v>633</v>
      </c>
      <c r="C6" s="571">
        <v>6848813.4500000002</v>
      </c>
      <c r="D6" s="571">
        <v>635185.09400000004</v>
      </c>
      <c r="E6" s="573"/>
      <c r="F6" s="573"/>
    </row>
    <row r="7" spans="1:6">
      <c r="A7" s="379">
        <v>2</v>
      </c>
      <c r="B7" s="375" t="s">
        <v>632</v>
      </c>
      <c r="C7" s="572">
        <f>SUM(C8:C9)</f>
        <v>599117.88890000002</v>
      </c>
      <c r="D7" s="572">
        <f>SUM(D8:D9)</f>
        <v>46697.904399999999</v>
      </c>
      <c r="E7" s="573"/>
      <c r="F7" s="573"/>
    </row>
    <row r="8" spans="1:6">
      <c r="A8" s="379">
        <v>2.1</v>
      </c>
      <c r="B8" s="380" t="s">
        <v>493</v>
      </c>
      <c r="C8" s="571">
        <v>404661.90779999999</v>
      </c>
      <c r="D8" s="571">
        <v>45509.190699999999</v>
      </c>
      <c r="E8" s="573"/>
      <c r="F8" s="573"/>
    </row>
    <row r="9" spans="1:6">
      <c r="A9" s="379">
        <v>2.2000000000000002</v>
      </c>
      <c r="B9" s="380" t="s">
        <v>491</v>
      </c>
      <c r="C9" s="571">
        <v>194455.9811</v>
      </c>
      <c r="D9" s="571">
        <v>1188.7137</v>
      </c>
      <c r="E9" s="573"/>
      <c r="F9" s="573"/>
    </row>
    <row r="10" spans="1:6">
      <c r="A10" s="381">
        <v>3</v>
      </c>
      <c r="B10" s="375" t="s">
        <v>631</v>
      </c>
      <c r="C10" s="572">
        <f>SUM(C11:C13)</f>
        <v>785077.58730512974</v>
      </c>
      <c r="D10" s="572">
        <f>SUM(D11:D13)</f>
        <v>24079.294300000001</v>
      </c>
      <c r="E10" s="573"/>
      <c r="F10" s="573"/>
    </row>
    <row r="11" spans="1:6">
      <c r="A11" s="379">
        <v>3.1</v>
      </c>
      <c r="B11" s="380" t="s">
        <v>422</v>
      </c>
      <c r="C11" s="571">
        <v>0</v>
      </c>
      <c r="D11" s="571"/>
      <c r="E11" s="573"/>
      <c r="F11" s="573"/>
    </row>
    <row r="12" spans="1:6">
      <c r="A12" s="379">
        <v>3.2</v>
      </c>
      <c r="B12" s="380" t="s">
        <v>630</v>
      </c>
      <c r="C12" s="571">
        <v>557522.21039999998</v>
      </c>
      <c r="D12" s="571">
        <v>7974.0474000000004</v>
      </c>
      <c r="E12" s="573"/>
      <c r="F12" s="573"/>
    </row>
    <row r="13" spans="1:6">
      <c r="A13" s="379">
        <v>3.3</v>
      </c>
      <c r="B13" s="380" t="s">
        <v>492</v>
      </c>
      <c r="C13" s="571">
        <v>227555.37690512976</v>
      </c>
      <c r="D13" s="571">
        <v>16105.2469</v>
      </c>
      <c r="E13" s="573"/>
      <c r="F13" s="573"/>
    </row>
    <row r="14" spans="1:6">
      <c r="A14" s="379">
        <v>4</v>
      </c>
      <c r="B14" s="378" t="s">
        <v>629</v>
      </c>
      <c r="C14" s="571">
        <v>-96973.8</v>
      </c>
      <c r="D14" s="571">
        <v>18.635400000000001</v>
      </c>
      <c r="E14" s="573"/>
      <c r="F14" s="573"/>
    </row>
    <row r="15" spans="1:6">
      <c r="A15" s="376">
        <v>5</v>
      </c>
      <c r="B15" s="375" t="s">
        <v>628</v>
      </c>
      <c r="C15" s="572">
        <f>C6+C7-C10+C14</f>
        <v>6565879.9515948705</v>
      </c>
      <c r="D15" s="572">
        <f>D6+D7-D10+D14</f>
        <v>657822.33950000012</v>
      </c>
      <c r="E15" s="573"/>
      <c r="F15" s="573"/>
    </row>
    <row r="18" spans="3:4">
      <c r="C18" s="573"/>
      <c r="D18" s="573"/>
    </row>
    <row r="19" spans="3:4">
      <c r="C19" s="573"/>
      <c r="D19" s="573"/>
    </row>
    <row r="20" spans="3:4">
      <c r="C20" s="573"/>
      <c r="D20" s="573"/>
    </row>
    <row r="21" spans="3:4">
      <c r="C21" s="573"/>
      <c r="D21" s="573"/>
    </row>
    <row r="22" spans="3:4">
      <c r="C22" s="573"/>
      <c r="D22" s="573"/>
    </row>
    <row r="23" spans="3:4">
      <c r="C23" s="573"/>
      <c r="D23" s="573"/>
    </row>
    <row r="24" spans="3:4">
      <c r="C24" s="573"/>
      <c r="D24" s="573"/>
    </row>
    <row r="25" spans="3:4">
      <c r="C25" s="573"/>
      <c r="D25" s="573"/>
    </row>
    <row r="26" spans="3:4">
      <c r="C26" s="573"/>
      <c r="D26" s="573"/>
    </row>
    <row r="27" spans="3:4">
      <c r="C27" s="573"/>
      <c r="D27" s="573"/>
    </row>
    <row r="28" spans="3:4">
      <c r="C28" s="573"/>
      <c r="D28" s="573"/>
    </row>
    <row r="29" spans="3:4">
      <c r="C29" s="573"/>
      <c r="D29" s="573"/>
    </row>
    <row r="30" spans="3:4">
      <c r="C30" s="573"/>
      <c r="D30" s="573"/>
    </row>
  </sheetData>
  <mergeCells count="1">
    <mergeCell ref="A5:B5"/>
  </mergeCells>
  <pageMargins left="0.7" right="0.7" top="0.75" bottom="0.75" header="0.3" footer="0.3"/>
  <pageSetup paperSize="9" scale="45" orientation="portrait" horizontalDpi="300" verticalDpi="300" r:id="rId1"/>
  <headerFooter>
    <oddFooter>&amp;C_x000D_&amp;1#&amp;"Aptos"&amp;10&amp;K000000 C4 - EXTERNAL CONFIDENTIAL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E33"/>
  <sheetViews>
    <sheetView showGridLines="0" zoomScale="80" zoomScaleNormal="80" workbookViewId="0">
      <selection activeCell="C21" sqref="C21"/>
    </sheetView>
  </sheetViews>
  <sheetFormatPr defaultColWidth="9.21875" defaultRowHeight="12"/>
  <cols>
    <col min="1" max="1" width="11.77734375" style="297" bestFit="1" customWidth="1"/>
    <col min="2" max="2" width="128.88671875" style="297" bestFit="1" customWidth="1"/>
    <col min="3" max="3" width="37" style="297" customWidth="1"/>
    <col min="4" max="4" width="50.5546875" style="297" customWidth="1"/>
    <col min="5" max="16384" width="9.21875" style="297"/>
  </cols>
  <sheetData>
    <row r="1" spans="1:5" ht="13.8">
      <c r="A1" s="295" t="s">
        <v>30</v>
      </c>
      <c r="B1" s="357" t="str">
        <f>'Info '!C2</f>
        <v xml:space="preserve">PASHA Bank Georgia JSC </v>
      </c>
    </row>
    <row r="2" spans="1:5">
      <c r="A2" s="295" t="s">
        <v>31</v>
      </c>
      <c r="B2" s="356">
        <f>'1. key ratios '!B2</f>
        <v>46112</v>
      </c>
    </row>
    <row r="3" spans="1:5">
      <c r="A3" s="296" t="s">
        <v>424</v>
      </c>
    </row>
    <row r="4" spans="1:5">
      <c r="A4" s="296"/>
    </row>
    <row r="5" spans="1:5" ht="15" customHeight="1">
      <c r="A5" s="811" t="s">
        <v>494</v>
      </c>
      <c r="B5" s="812"/>
      <c r="C5" s="815" t="s">
        <v>425</v>
      </c>
      <c r="D5" s="815" t="s">
        <v>426</v>
      </c>
    </row>
    <row r="6" spans="1:5">
      <c r="A6" s="813"/>
      <c r="B6" s="814"/>
      <c r="C6" s="815"/>
      <c r="D6" s="815"/>
    </row>
    <row r="7" spans="1:5">
      <c r="A7" s="348">
        <v>1</v>
      </c>
      <c r="B7" s="348" t="s">
        <v>421</v>
      </c>
      <c r="C7" s="571">
        <v>28763436.1186</v>
      </c>
      <c r="D7" s="382"/>
      <c r="E7" s="573"/>
    </row>
    <row r="8" spans="1:5">
      <c r="A8" s="377">
        <v>2</v>
      </c>
      <c r="B8" s="377" t="s">
        <v>427</v>
      </c>
      <c r="C8" s="571">
        <v>477193.22610000003</v>
      </c>
      <c r="D8" s="382"/>
      <c r="E8" s="573"/>
    </row>
    <row r="9" spans="1:5">
      <c r="A9" s="377">
        <v>3</v>
      </c>
      <c r="B9" s="385" t="s">
        <v>637</v>
      </c>
      <c r="C9" s="571">
        <v>5851.2487000000001</v>
      </c>
      <c r="D9" s="382"/>
      <c r="E9" s="573"/>
    </row>
    <row r="10" spans="1:5">
      <c r="A10" s="377">
        <v>4</v>
      </c>
      <c r="B10" s="377" t="s">
        <v>428</v>
      </c>
      <c r="C10" s="572">
        <f>SUM(C11:C17)</f>
        <v>9525857.2679000013</v>
      </c>
      <c r="D10" s="382"/>
      <c r="E10" s="573"/>
    </row>
    <row r="11" spans="1:5">
      <c r="A11" s="377">
        <v>5</v>
      </c>
      <c r="B11" s="384" t="s">
        <v>636</v>
      </c>
      <c r="C11" s="571">
        <v>7740997.4420999996</v>
      </c>
      <c r="D11" s="382"/>
      <c r="E11" s="573"/>
    </row>
    <row r="12" spans="1:5">
      <c r="A12" s="377">
        <v>6</v>
      </c>
      <c r="B12" s="384" t="s">
        <v>429</v>
      </c>
      <c r="C12" s="571">
        <v>1551347.1444000001</v>
      </c>
      <c r="D12" s="382"/>
      <c r="E12" s="573"/>
    </row>
    <row r="13" spans="1:5">
      <c r="A13" s="377">
        <v>7</v>
      </c>
      <c r="B13" s="384" t="s">
        <v>432</v>
      </c>
      <c r="C13" s="571">
        <v>0</v>
      </c>
      <c r="D13" s="382"/>
      <c r="E13" s="573"/>
    </row>
    <row r="14" spans="1:5">
      <c r="A14" s="377">
        <v>8</v>
      </c>
      <c r="B14" s="384" t="s">
        <v>430</v>
      </c>
      <c r="C14" s="571">
        <v>0</v>
      </c>
      <c r="D14" s="377"/>
      <c r="E14" s="573"/>
    </row>
    <row r="15" spans="1:5">
      <c r="A15" s="377">
        <v>9</v>
      </c>
      <c r="B15" s="384" t="s">
        <v>431</v>
      </c>
      <c r="C15" s="571"/>
      <c r="D15" s="377"/>
      <c r="E15" s="573"/>
    </row>
    <row r="16" spans="1:5">
      <c r="A16" s="377">
        <v>10</v>
      </c>
      <c r="B16" s="384" t="s">
        <v>433</v>
      </c>
      <c r="C16" s="571"/>
      <c r="D16" s="377"/>
      <c r="E16" s="573"/>
    </row>
    <row r="17" spans="1:5">
      <c r="A17" s="377">
        <v>11</v>
      </c>
      <c r="B17" s="384" t="s">
        <v>635</v>
      </c>
      <c r="C17" s="571">
        <v>233512.68140000041</v>
      </c>
      <c r="D17" s="382"/>
      <c r="E17" s="573"/>
    </row>
    <row r="18" spans="1:5">
      <c r="A18" s="348">
        <v>12</v>
      </c>
      <c r="B18" s="383" t="s">
        <v>423</v>
      </c>
      <c r="C18" s="572">
        <f>C7+C8+C9-C10</f>
        <v>19720623.3255</v>
      </c>
      <c r="D18" s="382"/>
      <c r="E18" s="573"/>
    </row>
    <row r="21" spans="1:5">
      <c r="B21" s="295"/>
      <c r="C21" s="573"/>
    </row>
    <row r="22" spans="1:5">
      <c r="B22" s="295"/>
      <c r="C22" s="573"/>
    </row>
    <row r="23" spans="1:5">
      <c r="B23" s="296"/>
      <c r="C23" s="573"/>
    </row>
    <row r="24" spans="1:5">
      <c r="C24" s="573"/>
    </row>
    <row r="25" spans="1:5">
      <c r="C25" s="573"/>
    </row>
    <row r="26" spans="1:5">
      <c r="C26" s="573"/>
    </row>
    <row r="27" spans="1:5">
      <c r="C27" s="573"/>
    </row>
    <row r="28" spans="1:5">
      <c r="C28" s="573"/>
    </row>
    <row r="29" spans="1:5">
      <c r="C29" s="573"/>
    </row>
    <row r="30" spans="1:5">
      <c r="C30" s="573"/>
    </row>
    <row r="31" spans="1:5">
      <c r="C31" s="573"/>
    </row>
    <row r="32" spans="1:5">
      <c r="C32" s="573"/>
    </row>
    <row r="33" spans="3:3">
      <c r="C33" s="573"/>
    </row>
  </sheetData>
  <mergeCells count="3">
    <mergeCell ref="A5:B6"/>
    <mergeCell ref="C5:C6"/>
    <mergeCell ref="D5:D6"/>
  </mergeCells>
  <pageMargins left="0.7" right="0.7" top="0.75" bottom="0.75" header="0.3" footer="0.3"/>
  <pageSetup paperSize="9" scale="38" orientation="portrait" horizontalDpi="300" verticalDpi="300" r:id="rId1"/>
  <headerFooter>
    <oddFooter>&amp;C_x000D_&amp;1#&amp;"Aptos"&amp;10&amp;K000000 C4 - EXTERNAL CONFIDENTIAL</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7"/>
  <sheetViews>
    <sheetView showGridLines="0" zoomScale="80" zoomScaleNormal="80" workbookViewId="0">
      <selection activeCell="E42" sqref="E42"/>
    </sheetView>
  </sheetViews>
  <sheetFormatPr defaultColWidth="9.21875" defaultRowHeight="12"/>
  <cols>
    <col min="1" max="1" width="11.77734375" style="370" bestFit="1" customWidth="1"/>
    <col min="2" max="2" width="63.88671875" style="370" customWidth="1"/>
    <col min="3" max="3" width="17" style="370" customWidth="1"/>
    <col min="4" max="18" width="22.21875" style="370" customWidth="1"/>
    <col min="19" max="19" width="23.21875" style="370" bestFit="1" customWidth="1"/>
    <col min="20" max="26" width="22.21875" style="370" customWidth="1"/>
    <col min="27" max="27" width="23.21875" style="370" bestFit="1" customWidth="1"/>
    <col min="28" max="28" width="20" style="370" customWidth="1"/>
    <col min="29" max="16384" width="9.21875" style="370"/>
  </cols>
  <sheetData>
    <row r="1" spans="1:28" ht="13.8">
      <c r="A1" s="295" t="s">
        <v>30</v>
      </c>
      <c r="B1" s="357" t="str">
        <f>'Info '!C2</f>
        <v xml:space="preserve">PASHA Bank Georgia JSC </v>
      </c>
    </row>
    <row r="2" spans="1:28">
      <c r="A2" s="295" t="s">
        <v>31</v>
      </c>
      <c r="B2" s="356">
        <f>'1. key ratios '!B2</f>
        <v>46112</v>
      </c>
      <c r="C2" s="371"/>
    </row>
    <row r="3" spans="1:28">
      <c r="A3" s="296" t="s">
        <v>434</v>
      </c>
    </row>
    <row r="5" spans="1:28" ht="15" customHeight="1">
      <c r="A5" s="817" t="s">
        <v>649</v>
      </c>
      <c r="B5" s="818"/>
      <c r="C5" s="823" t="s">
        <v>435</v>
      </c>
      <c r="D5" s="824"/>
      <c r="E5" s="824"/>
      <c r="F5" s="824"/>
      <c r="G5" s="824"/>
      <c r="H5" s="824"/>
      <c r="I5" s="824"/>
      <c r="J5" s="824"/>
      <c r="K5" s="824"/>
      <c r="L5" s="824"/>
      <c r="M5" s="824"/>
      <c r="N5" s="824"/>
      <c r="O5" s="824"/>
      <c r="P5" s="824"/>
      <c r="Q5" s="824"/>
      <c r="R5" s="824"/>
      <c r="S5" s="824"/>
      <c r="T5" s="392"/>
      <c r="U5" s="392"/>
      <c r="V5" s="392"/>
      <c r="W5" s="392"/>
      <c r="X5" s="392"/>
      <c r="Y5" s="392"/>
      <c r="Z5" s="392"/>
      <c r="AA5" s="391"/>
      <c r="AB5" s="386"/>
    </row>
    <row r="6" spans="1:28" ht="12" customHeight="1">
      <c r="A6" s="819"/>
      <c r="B6" s="820"/>
      <c r="C6" s="825" t="s">
        <v>64</v>
      </c>
      <c r="D6" s="827" t="s">
        <v>648</v>
      </c>
      <c r="E6" s="827"/>
      <c r="F6" s="827"/>
      <c r="G6" s="827"/>
      <c r="H6" s="827" t="s">
        <v>647</v>
      </c>
      <c r="I6" s="827"/>
      <c r="J6" s="827"/>
      <c r="K6" s="827"/>
      <c r="L6" s="389"/>
      <c r="M6" s="828" t="s">
        <v>646</v>
      </c>
      <c r="N6" s="828"/>
      <c r="O6" s="828"/>
      <c r="P6" s="828"/>
      <c r="Q6" s="828"/>
      <c r="R6" s="828"/>
      <c r="S6" s="808"/>
      <c r="T6" s="390"/>
      <c r="U6" s="816" t="s">
        <v>645</v>
      </c>
      <c r="V6" s="816"/>
      <c r="W6" s="816"/>
      <c r="X6" s="816"/>
      <c r="Y6" s="816"/>
      <c r="Z6" s="816"/>
      <c r="AA6" s="809"/>
      <c r="AB6" s="389"/>
    </row>
    <row r="7" spans="1:28" ht="24">
      <c r="A7" s="821"/>
      <c r="B7" s="822"/>
      <c r="C7" s="826"/>
      <c r="D7" s="388"/>
      <c r="E7" s="367" t="s">
        <v>436</v>
      </c>
      <c r="F7" s="367" t="s">
        <v>643</v>
      </c>
      <c r="G7" s="369" t="s">
        <v>644</v>
      </c>
      <c r="H7" s="371"/>
      <c r="I7" s="367" t="s">
        <v>436</v>
      </c>
      <c r="J7" s="367" t="s">
        <v>643</v>
      </c>
      <c r="K7" s="369" t="s">
        <v>644</v>
      </c>
      <c r="L7" s="387"/>
      <c r="M7" s="367" t="s">
        <v>436</v>
      </c>
      <c r="N7" s="367" t="s">
        <v>643</v>
      </c>
      <c r="O7" s="367" t="s">
        <v>642</v>
      </c>
      <c r="P7" s="367" t="s">
        <v>641</v>
      </c>
      <c r="Q7" s="367" t="s">
        <v>640</v>
      </c>
      <c r="R7" s="367" t="s">
        <v>639</v>
      </c>
      <c r="S7" s="367" t="s">
        <v>638</v>
      </c>
      <c r="T7" s="387"/>
      <c r="U7" s="367" t="s">
        <v>436</v>
      </c>
      <c r="V7" s="367" t="s">
        <v>643</v>
      </c>
      <c r="W7" s="367" t="s">
        <v>642</v>
      </c>
      <c r="X7" s="367" t="s">
        <v>641</v>
      </c>
      <c r="Y7" s="367" t="s">
        <v>640</v>
      </c>
      <c r="Z7" s="367" t="s">
        <v>639</v>
      </c>
      <c r="AA7" s="367" t="s">
        <v>638</v>
      </c>
      <c r="AB7" s="386"/>
    </row>
    <row r="8" spans="1:28" s="669" customFormat="1" ht="13.8" customHeight="1">
      <c r="A8" s="369">
        <v>1</v>
      </c>
      <c r="B8" s="667" t="s">
        <v>437</v>
      </c>
      <c r="C8" s="668">
        <f>SUM(C9:C14)</f>
        <v>423844512.98499995</v>
      </c>
      <c r="D8" s="668">
        <f t="shared" ref="D8:AA8" si="0">SUM(D9:D14)</f>
        <v>389980663.38749999</v>
      </c>
      <c r="E8" s="668">
        <f t="shared" si="0"/>
        <v>8862191.4217000008</v>
      </c>
      <c r="F8" s="668">
        <f t="shared" si="0"/>
        <v>0</v>
      </c>
      <c r="G8" s="668">
        <f t="shared" si="0"/>
        <v>0</v>
      </c>
      <c r="H8" s="668">
        <f t="shared" si="0"/>
        <v>14143226.2719</v>
      </c>
      <c r="I8" s="668">
        <f t="shared" si="0"/>
        <v>233854.65119999999</v>
      </c>
      <c r="J8" s="668">
        <f t="shared" si="0"/>
        <v>6130570.8770000003</v>
      </c>
      <c r="K8" s="668">
        <f t="shared" si="0"/>
        <v>0</v>
      </c>
      <c r="L8" s="668">
        <f t="shared" si="0"/>
        <v>17082032.257599998</v>
      </c>
      <c r="M8" s="668">
        <f t="shared" si="0"/>
        <v>0</v>
      </c>
      <c r="N8" s="668">
        <f t="shared" si="0"/>
        <v>0</v>
      </c>
      <c r="O8" s="668">
        <f t="shared" si="0"/>
        <v>0</v>
      </c>
      <c r="P8" s="668">
        <f t="shared" si="0"/>
        <v>889550.10959999997</v>
      </c>
      <c r="Q8" s="668">
        <f t="shared" si="0"/>
        <v>1997782.7471999999</v>
      </c>
      <c r="R8" s="668">
        <f t="shared" si="0"/>
        <v>9072270.8208000008</v>
      </c>
      <c r="S8" s="668">
        <f t="shared" si="0"/>
        <v>4458545.9050000003</v>
      </c>
      <c r="T8" s="668">
        <f t="shared" si="0"/>
        <v>2638591.068</v>
      </c>
      <c r="U8" s="668">
        <f t="shared" si="0"/>
        <v>0</v>
      </c>
      <c r="V8" s="668">
        <f t="shared" si="0"/>
        <v>0</v>
      </c>
      <c r="W8" s="668">
        <f t="shared" si="0"/>
        <v>0</v>
      </c>
      <c r="X8" s="668">
        <f t="shared" si="0"/>
        <v>0</v>
      </c>
      <c r="Y8" s="668">
        <f t="shared" si="0"/>
        <v>0</v>
      </c>
      <c r="Z8" s="668">
        <f t="shared" si="0"/>
        <v>2638591.068</v>
      </c>
      <c r="AA8" s="668">
        <f t="shared" si="0"/>
        <v>0</v>
      </c>
    </row>
    <row r="9" spans="1:28" s="669" customFormat="1" ht="13.8" customHeight="1">
      <c r="A9" s="670">
        <v>1.1000000000000001</v>
      </c>
      <c r="B9" s="671" t="s">
        <v>438</v>
      </c>
      <c r="C9" s="672"/>
      <c r="D9" s="673"/>
      <c r="E9" s="673"/>
      <c r="F9" s="673"/>
      <c r="G9" s="673"/>
      <c r="H9" s="674"/>
      <c r="I9" s="673"/>
      <c r="J9" s="673"/>
      <c r="K9" s="673"/>
      <c r="L9" s="673"/>
      <c r="M9" s="673"/>
      <c r="N9" s="673"/>
      <c r="O9" s="673"/>
      <c r="P9" s="673"/>
      <c r="Q9" s="673"/>
      <c r="R9" s="673"/>
      <c r="S9" s="673"/>
      <c r="T9" s="673"/>
      <c r="U9" s="673"/>
      <c r="V9" s="673"/>
      <c r="W9" s="673"/>
      <c r="X9" s="673"/>
      <c r="Y9" s="673"/>
      <c r="Z9" s="673"/>
      <c r="AA9" s="673"/>
    </row>
    <row r="10" spans="1:28" s="669" customFormat="1" ht="13.8" customHeight="1">
      <c r="A10" s="670">
        <v>1.2</v>
      </c>
      <c r="B10" s="671" t="s">
        <v>439</v>
      </c>
      <c r="C10" s="718">
        <v>-541.4</v>
      </c>
      <c r="D10" s="673">
        <v>-541.4</v>
      </c>
      <c r="E10" s="673">
        <v>0</v>
      </c>
      <c r="F10" s="673">
        <v>0</v>
      </c>
      <c r="G10" s="673">
        <v>0</v>
      </c>
      <c r="H10" s="674">
        <v>0</v>
      </c>
      <c r="I10" s="673">
        <v>0</v>
      </c>
      <c r="J10" s="673">
        <v>0</v>
      </c>
      <c r="K10" s="673">
        <v>0</v>
      </c>
      <c r="L10" s="673">
        <v>0</v>
      </c>
      <c r="M10" s="673">
        <v>0</v>
      </c>
      <c r="N10" s="673">
        <v>0</v>
      </c>
      <c r="O10" s="673">
        <v>0</v>
      </c>
      <c r="P10" s="673">
        <v>0</v>
      </c>
      <c r="Q10" s="673">
        <v>0</v>
      </c>
      <c r="R10" s="673">
        <v>0</v>
      </c>
      <c r="S10" s="673">
        <v>0</v>
      </c>
      <c r="T10" s="673">
        <v>0</v>
      </c>
      <c r="U10" s="673">
        <v>0</v>
      </c>
      <c r="V10" s="673">
        <v>0</v>
      </c>
      <c r="W10" s="673">
        <v>0</v>
      </c>
      <c r="X10" s="673">
        <v>0</v>
      </c>
      <c r="Y10" s="673">
        <v>0</v>
      </c>
      <c r="Z10" s="673">
        <v>0</v>
      </c>
      <c r="AA10" s="673">
        <v>0</v>
      </c>
    </row>
    <row r="11" spans="1:28" s="669" customFormat="1" ht="13.8" customHeight="1">
      <c r="A11" s="670">
        <v>1.3</v>
      </c>
      <c r="B11" s="671" t="s">
        <v>440</v>
      </c>
      <c r="C11" s="675"/>
      <c r="D11" s="676"/>
      <c r="E11" s="674"/>
      <c r="F11" s="674"/>
      <c r="G11" s="674"/>
      <c r="H11" s="676"/>
      <c r="I11" s="674"/>
      <c r="J11" s="674"/>
      <c r="K11" s="674"/>
      <c r="L11" s="674"/>
      <c r="M11" s="674"/>
      <c r="N11" s="674"/>
      <c r="O11" s="674"/>
      <c r="P11" s="674"/>
      <c r="Q11" s="674"/>
      <c r="R11" s="674"/>
      <c r="S11" s="674"/>
      <c r="T11" s="674"/>
      <c r="U11" s="674"/>
      <c r="V11" s="674"/>
      <c r="W11" s="674"/>
      <c r="X11" s="674"/>
      <c r="Y11" s="674"/>
      <c r="Z11" s="674"/>
      <c r="AA11" s="674"/>
    </row>
    <row r="12" spans="1:28" s="669" customFormat="1" ht="13.8" customHeight="1">
      <c r="A12" s="670">
        <v>1.4</v>
      </c>
      <c r="B12" s="671" t="s">
        <v>441</v>
      </c>
      <c r="C12" s="675">
        <v>77697357.205899999</v>
      </c>
      <c r="D12" s="676">
        <v>77535369.205899999</v>
      </c>
      <c r="E12" s="674">
        <v>0</v>
      </c>
      <c r="F12" s="674">
        <v>0</v>
      </c>
      <c r="G12" s="674">
        <v>0</v>
      </c>
      <c r="H12" s="674">
        <v>0</v>
      </c>
      <c r="I12" s="674">
        <v>0</v>
      </c>
      <c r="J12" s="674">
        <v>0</v>
      </c>
      <c r="K12" s="674">
        <v>0</v>
      </c>
      <c r="L12" s="674">
        <v>161988</v>
      </c>
      <c r="M12" s="674">
        <v>0</v>
      </c>
      <c r="N12" s="674">
        <v>0</v>
      </c>
      <c r="O12" s="674">
        <v>0</v>
      </c>
      <c r="P12" s="674">
        <v>0</v>
      </c>
      <c r="Q12" s="674">
        <v>0</v>
      </c>
      <c r="R12" s="674">
        <v>161988</v>
      </c>
      <c r="S12" s="674">
        <v>0</v>
      </c>
      <c r="T12" s="674">
        <v>0</v>
      </c>
      <c r="U12" s="674">
        <v>0</v>
      </c>
      <c r="V12" s="674">
        <v>0</v>
      </c>
      <c r="W12" s="674">
        <v>0</v>
      </c>
      <c r="X12" s="674">
        <v>0</v>
      </c>
      <c r="Y12" s="674">
        <v>0</v>
      </c>
      <c r="Z12" s="674">
        <v>0</v>
      </c>
      <c r="AA12" s="674">
        <v>0</v>
      </c>
    </row>
    <row r="13" spans="1:28" s="669" customFormat="1" ht="13.8" customHeight="1">
      <c r="A13" s="670">
        <v>1.5</v>
      </c>
      <c r="B13" s="671" t="s">
        <v>442</v>
      </c>
      <c r="C13" s="677">
        <v>336696613.2852</v>
      </c>
      <c r="D13" s="674">
        <v>304940177.74959999</v>
      </c>
      <c r="E13" s="674">
        <v>8178143.4737</v>
      </c>
      <c r="F13" s="674">
        <v>0</v>
      </c>
      <c r="G13" s="674">
        <v>0</v>
      </c>
      <c r="H13" s="674">
        <v>14143226.2719</v>
      </c>
      <c r="I13" s="674">
        <v>233854.65119999999</v>
      </c>
      <c r="J13" s="674">
        <v>6130570.8770000003</v>
      </c>
      <c r="K13" s="674">
        <v>0</v>
      </c>
      <c r="L13" s="674">
        <v>14974618.195699999</v>
      </c>
      <c r="M13" s="674">
        <v>0</v>
      </c>
      <c r="N13" s="674">
        <v>0</v>
      </c>
      <c r="O13" s="674">
        <v>0</v>
      </c>
      <c r="P13" s="674">
        <v>774259.98320000002</v>
      </c>
      <c r="Q13" s="674">
        <v>1983863.0671999999</v>
      </c>
      <c r="R13" s="674">
        <v>7095307.6891000001</v>
      </c>
      <c r="S13" s="674">
        <v>4458545.9050000003</v>
      </c>
      <c r="T13" s="674">
        <v>2638591.068</v>
      </c>
      <c r="U13" s="674">
        <v>0</v>
      </c>
      <c r="V13" s="674">
        <v>0</v>
      </c>
      <c r="W13" s="674">
        <v>0</v>
      </c>
      <c r="X13" s="674">
        <v>0</v>
      </c>
      <c r="Y13" s="674">
        <v>0</v>
      </c>
      <c r="Z13" s="674">
        <v>2638591.068</v>
      </c>
      <c r="AA13" s="674">
        <v>0</v>
      </c>
    </row>
    <row r="14" spans="1:28" s="669" customFormat="1" ht="13.8" customHeight="1">
      <c r="A14" s="670">
        <v>1.6</v>
      </c>
      <c r="B14" s="671" t="s">
        <v>443</v>
      </c>
      <c r="C14" s="677">
        <v>9451083.8938999996</v>
      </c>
      <c r="D14" s="674">
        <v>7505657.8320000004</v>
      </c>
      <c r="E14" s="674">
        <v>684047.94799999997</v>
      </c>
      <c r="F14" s="674">
        <v>0</v>
      </c>
      <c r="G14" s="676">
        <v>0</v>
      </c>
      <c r="H14" s="674">
        <v>0</v>
      </c>
      <c r="I14" s="674">
        <v>0</v>
      </c>
      <c r="J14" s="674">
        <v>0</v>
      </c>
      <c r="K14" s="674">
        <v>0</v>
      </c>
      <c r="L14" s="674">
        <v>1945426.0619000001</v>
      </c>
      <c r="M14" s="674">
        <v>0</v>
      </c>
      <c r="N14" s="674">
        <v>0</v>
      </c>
      <c r="O14" s="674">
        <v>0</v>
      </c>
      <c r="P14" s="674">
        <v>115290.12639999999</v>
      </c>
      <c r="Q14" s="674">
        <v>13919.68</v>
      </c>
      <c r="R14" s="674">
        <v>1814975.1317</v>
      </c>
      <c r="S14" s="674">
        <v>0</v>
      </c>
      <c r="T14" s="674">
        <v>0</v>
      </c>
      <c r="U14" s="674">
        <v>0</v>
      </c>
      <c r="V14" s="674">
        <v>0</v>
      </c>
      <c r="W14" s="674">
        <v>0</v>
      </c>
      <c r="X14" s="674">
        <v>0</v>
      </c>
      <c r="Y14" s="674">
        <v>0</v>
      </c>
      <c r="Z14" s="674">
        <v>0</v>
      </c>
      <c r="AA14" s="674">
        <v>0</v>
      </c>
    </row>
    <row r="15" spans="1:28" s="669" customFormat="1" ht="13.8" customHeight="1">
      <c r="A15" s="369">
        <v>2</v>
      </c>
      <c r="B15" s="667" t="s">
        <v>444</v>
      </c>
      <c r="C15" s="668">
        <f>SUM(C16:C21)</f>
        <v>115430511.3435</v>
      </c>
      <c r="D15" s="668">
        <f t="shared" ref="D15:AA15" si="1">SUM(D16:D21)</f>
        <v>115430511.3435</v>
      </c>
      <c r="E15" s="668">
        <f t="shared" si="1"/>
        <v>0</v>
      </c>
      <c r="F15" s="668">
        <f t="shared" si="1"/>
        <v>0</v>
      </c>
      <c r="G15" s="668">
        <f t="shared" si="1"/>
        <v>0</v>
      </c>
      <c r="H15" s="668">
        <f t="shared" si="1"/>
        <v>0</v>
      </c>
      <c r="I15" s="668">
        <f t="shared" si="1"/>
        <v>0</v>
      </c>
      <c r="J15" s="668">
        <f t="shared" si="1"/>
        <v>0</v>
      </c>
      <c r="K15" s="668">
        <f t="shared" si="1"/>
        <v>0</v>
      </c>
      <c r="L15" s="668">
        <f t="shared" si="1"/>
        <v>0</v>
      </c>
      <c r="M15" s="668">
        <f t="shared" si="1"/>
        <v>0</v>
      </c>
      <c r="N15" s="668">
        <f t="shared" si="1"/>
        <v>0</v>
      </c>
      <c r="O15" s="668">
        <f t="shared" si="1"/>
        <v>0</v>
      </c>
      <c r="P15" s="668">
        <f t="shared" si="1"/>
        <v>0</v>
      </c>
      <c r="Q15" s="668">
        <f t="shared" si="1"/>
        <v>0</v>
      </c>
      <c r="R15" s="668">
        <f t="shared" si="1"/>
        <v>0</v>
      </c>
      <c r="S15" s="668">
        <f t="shared" si="1"/>
        <v>0</v>
      </c>
      <c r="T15" s="668">
        <f t="shared" si="1"/>
        <v>0</v>
      </c>
      <c r="U15" s="668">
        <f t="shared" si="1"/>
        <v>0</v>
      </c>
      <c r="V15" s="668">
        <f t="shared" si="1"/>
        <v>0</v>
      </c>
      <c r="W15" s="668">
        <f t="shared" si="1"/>
        <v>0</v>
      </c>
      <c r="X15" s="668">
        <f t="shared" si="1"/>
        <v>0</v>
      </c>
      <c r="Y15" s="668">
        <f t="shared" si="1"/>
        <v>0</v>
      </c>
      <c r="Z15" s="668">
        <f t="shared" si="1"/>
        <v>0</v>
      </c>
      <c r="AA15" s="668">
        <f t="shared" si="1"/>
        <v>0</v>
      </c>
    </row>
    <row r="16" spans="1:28" s="669" customFormat="1" ht="13.8" customHeight="1">
      <c r="A16" s="670">
        <v>2.1</v>
      </c>
      <c r="B16" s="671" t="s">
        <v>438</v>
      </c>
      <c r="C16" s="677"/>
      <c r="D16" s="674"/>
      <c r="E16" s="674"/>
      <c r="F16" s="674"/>
      <c r="G16" s="674"/>
      <c r="H16" s="674"/>
      <c r="I16" s="674"/>
      <c r="J16" s="674"/>
      <c r="K16" s="674"/>
      <c r="L16" s="674"/>
      <c r="M16" s="674"/>
      <c r="N16" s="674"/>
      <c r="O16" s="674"/>
      <c r="P16" s="674"/>
      <c r="Q16" s="674"/>
      <c r="R16" s="674"/>
      <c r="S16" s="674"/>
      <c r="T16" s="674"/>
      <c r="U16" s="674"/>
      <c r="V16" s="674"/>
      <c r="W16" s="673"/>
      <c r="X16" s="673"/>
      <c r="Y16" s="673"/>
      <c r="Z16" s="673"/>
      <c r="AA16" s="673"/>
    </row>
    <row r="17" spans="1:27" s="669" customFormat="1" ht="13.8" customHeight="1">
      <c r="A17" s="670">
        <v>2.2000000000000002</v>
      </c>
      <c r="B17" s="671" t="s">
        <v>439</v>
      </c>
      <c r="C17" s="675">
        <v>5346400</v>
      </c>
      <c r="D17" s="676">
        <v>5346400</v>
      </c>
      <c r="E17" s="674"/>
      <c r="F17" s="674"/>
      <c r="G17" s="674"/>
      <c r="H17" s="674"/>
      <c r="I17" s="674"/>
      <c r="J17" s="674"/>
      <c r="K17" s="674"/>
      <c r="L17" s="674"/>
      <c r="M17" s="674"/>
      <c r="N17" s="674"/>
      <c r="O17" s="674"/>
      <c r="P17" s="674"/>
      <c r="Q17" s="674"/>
      <c r="R17" s="674"/>
      <c r="S17" s="674"/>
      <c r="T17" s="674"/>
      <c r="U17" s="674"/>
      <c r="V17" s="674"/>
      <c r="W17" s="673"/>
      <c r="X17" s="673"/>
      <c r="Y17" s="673"/>
      <c r="Z17" s="673"/>
      <c r="AA17" s="673"/>
    </row>
    <row r="18" spans="1:27" s="669" customFormat="1" ht="13.8" customHeight="1">
      <c r="A18" s="670">
        <v>2.2999999999999998</v>
      </c>
      <c r="B18" s="671" t="s">
        <v>440</v>
      </c>
      <c r="C18" s="675">
        <v>11175890.789999999</v>
      </c>
      <c r="D18" s="676">
        <v>11175890.789999999</v>
      </c>
      <c r="E18" s="674">
        <v>0</v>
      </c>
      <c r="F18" s="674">
        <v>0</v>
      </c>
      <c r="G18" s="674">
        <v>0</v>
      </c>
      <c r="H18" s="674">
        <v>0</v>
      </c>
      <c r="I18" s="674">
        <v>0</v>
      </c>
      <c r="J18" s="674">
        <v>0</v>
      </c>
      <c r="K18" s="674">
        <v>0</v>
      </c>
      <c r="L18" s="674">
        <v>0</v>
      </c>
      <c r="M18" s="674">
        <v>0</v>
      </c>
      <c r="N18" s="674">
        <v>0</v>
      </c>
      <c r="O18" s="674">
        <v>0</v>
      </c>
      <c r="P18" s="674">
        <v>0</v>
      </c>
      <c r="Q18" s="674">
        <v>0</v>
      </c>
      <c r="R18" s="674">
        <v>0</v>
      </c>
      <c r="S18" s="674">
        <v>0</v>
      </c>
      <c r="T18" s="674">
        <v>0</v>
      </c>
      <c r="U18" s="674">
        <v>0</v>
      </c>
      <c r="V18" s="674">
        <v>0</v>
      </c>
      <c r="W18" s="673">
        <v>0</v>
      </c>
      <c r="X18" s="673">
        <v>0</v>
      </c>
      <c r="Y18" s="673">
        <v>0</v>
      </c>
      <c r="Z18" s="673">
        <v>0</v>
      </c>
      <c r="AA18" s="673">
        <v>0</v>
      </c>
    </row>
    <row r="19" spans="1:27" s="669" customFormat="1" ht="13.8" customHeight="1">
      <c r="A19" s="670">
        <v>2.4</v>
      </c>
      <c r="B19" s="671" t="s">
        <v>441</v>
      </c>
      <c r="C19" s="675">
        <v>40066721.520000003</v>
      </c>
      <c r="D19" s="676">
        <v>40066721.520000003</v>
      </c>
      <c r="E19" s="674">
        <v>0</v>
      </c>
      <c r="F19" s="674">
        <v>0</v>
      </c>
      <c r="G19" s="674">
        <v>0</v>
      </c>
      <c r="H19" s="674">
        <v>0</v>
      </c>
      <c r="I19" s="674">
        <v>0</v>
      </c>
      <c r="J19" s="674">
        <v>0</v>
      </c>
      <c r="K19" s="674">
        <v>0</v>
      </c>
      <c r="L19" s="674">
        <v>0</v>
      </c>
      <c r="M19" s="674">
        <v>0</v>
      </c>
      <c r="N19" s="674">
        <v>0</v>
      </c>
      <c r="O19" s="674">
        <v>0</v>
      </c>
      <c r="P19" s="674">
        <v>0</v>
      </c>
      <c r="Q19" s="674">
        <v>0</v>
      </c>
      <c r="R19" s="674">
        <v>0</v>
      </c>
      <c r="S19" s="674">
        <v>0</v>
      </c>
      <c r="T19" s="674">
        <v>0</v>
      </c>
      <c r="U19" s="674">
        <v>0</v>
      </c>
      <c r="V19" s="674">
        <v>0</v>
      </c>
      <c r="W19" s="673">
        <v>0</v>
      </c>
      <c r="X19" s="673">
        <v>0</v>
      </c>
      <c r="Y19" s="673">
        <v>0</v>
      </c>
      <c r="Z19" s="673">
        <v>0</v>
      </c>
      <c r="AA19" s="673">
        <v>0</v>
      </c>
    </row>
    <row r="20" spans="1:27" s="669" customFormat="1" ht="13.8" customHeight="1">
      <c r="A20" s="670">
        <v>2.5</v>
      </c>
      <c r="B20" s="671" t="s">
        <v>442</v>
      </c>
      <c r="C20" s="675">
        <v>58841499.033500001</v>
      </c>
      <c r="D20" s="676">
        <v>58841499.033500001</v>
      </c>
      <c r="E20" s="674">
        <v>0</v>
      </c>
      <c r="F20" s="674">
        <v>0</v>
      </c>
      <c r="G20" s="674">
        <v>0</v>
      </c>
      <c r="H20" s="674">
        <v>0</v>
      </c>
      <c r="I20" s="674">
        <v>0</v>
      </c>
      <c r="J20" s="674">
        <v>0</v>
      </c>
      <c r="K20" s="674">
        <v>0</v>
      </c>
      <c r="L20" s="674">
        <v>0</v>
      </c>
      <c r="M20" s="674">
        <v>0</v>
      </c>
      <c r="N20" s="674">
        <v>0</v>
      </c>
      <c r="O20" s="674">
        <v>0</v>
      </c>
      <c r="P20" s="674">
        <v>0</v>
      </c>
      <c r="Q20" s="674">
        <v>0</v>
      </c>
      <c r="R20" s="674">
        <v>0</v>
      </c>
      <c r="S20" s="674">
        <v>0</v>
      </c>
      <c r="T20" s="674">
        <v>0</v>
      </c>
      <c r="U20" s="674">
        <v>0</v>
      </c>
      <c r="V20" s="674">
        <v>0</v>
      </c>
      <c r="W20" s="673">
        <v>0</v>
      </c>
      <c r="X20" s="673">
        <v>0</v>
      </c>
      <c r="Y20" s="673">
        <v>0</v>
      </c>
      <c r="Z20" s="673">
        <v>0</v>
      </c>
      <c r="AA20" s="673">
        <v>0</v>
      </c>
    </row>
    <row r="21" spans="1:27" s="669" customFormat="1" ht="13.8" customHeight="1">
      <c r="A21" s="670">
        <v>2.6</v>
      </c>
      <c r="B21" s="671" t="s">
        <v>443</v>
      </c>
      <c r="C21" s="672"/>
      <c r="D21" s="673"/>
      <c r="E21" s="673"/>
      <c r="F21" s="673"/>
      <c r="G21" s="673"/>
      <c r="H21" s="674"/>
      <c r="I21" s="673"/>
      <c r="J21" s="673"/>
      <c r="K21" s="673"/>
      <c r="L21" s="673"/>
      <c r="M21" s="673"/>
      <c r="N21" s="673"/>
      <c r="O21" s="673"/>
      <c r="P21" s="673"/>
      <c r="Q21" s="673"/>
      <c r="R21" s="673"/>
      <c r="S21" s="673"/>
      <c r="T21" s="673"/>
      <c r="U21" s="673"/>
      <c r="V21" s="673"/>
      <c r="W21" s="673"/>
      <c r="X21" s="673"/>
      <c r="Y21" s="673"/>
      <c r="Z21" s="673"/>
      <c r="AA21" s="673"/>
    </row>
    <row r="22" spans="1:27" s="669" customFormat="1" ht="13.8" customHeight="1">
      <c r="A22" s="369">
        <v>3</v>
      </c>
      <c r="B22" s="667" t="s">
        <v>484</v>
      </c>
      <c r="C22" s="668">
        <f>SUM(C23:C28)</f>
        <v>100874450.4181</v>
      </c>
      <c r="D22" s="668">
        <f>SUM(D23:D28)</f>
        <v>98577314.018099993</v>
      </c>
      <c r="E22" s="678"/>
      <c r="F22" s="678"/>
      <c r="G22" s="678"/>
      <c r="H22" s="668">
        <f>SUM(H23:H28)</f>
        <v>2208436.4</v>
      </c>
      <c r="I22" s="678"/>
      <c r="J22" s="678"/>
      <c r="K22" s="678"/>
      <c r="L22" s="668">
        <f>SUM(L23:L28)</f>
        <v>88700</v>
      </c>
      <c r="M22" s="678"/>
      <c r="N22" s="678"/>
      <c r="O22" s="678"/>
      <c r="P22" s="678"/>
      <c r="Q22" s="678"/>
      <c r="R22" s="678"/>
      <c r="S22" s="678"/>
      <c r="T22" s="668">
        <f>SUM(T23:T28)</f>
        <v>0</v>
      </c>
      <c r="U22" s="678"/>
      <c r="V22" s="678"/>
      <c r="W22" s="678"/>
      <c r="X22" s="678"/>
      <c r="Y22" s="678"/>
      <c r="Z22" s="678"/>
      <c r="AA22" s="678"/>
    </row>
    <row r="23" spans="1:27" s="669" customFormat="1" ht="13.8" customHeight="1">
      <c r="A23" s="670">
        <v>3.1</v>
      </c>
      <c r="B23" s="671" t="s">
        <v>438</v>
      </c>
      <c r="C23" s="677"/>
      <c r="D23" s="668"/>
      <c r="E23" s="678"/>
      <c r="F23" s="678"/>
      <c r="G23" s="678"/>
      <c r="H23" s="668"/>
      <c r="I23" s="678"/>
      <c r="J23" s="678"/>
      <c r="K23" s="678"/>
      <c r="L23" s="668"/>
      <c r="M23" s="678"/>
      <c r="N23" s="678"/>
      <c r="O23" s="678"/>
      <c r="P23" s="678"/>
      <c r="Q23" s="678"/>
      <c r="R23" s="678"/>
      <c r="S23" s="678"/>
      <c r="T23" s="668"/>
      <c r="U23" s="678"/>
      <c r="V23" s="678"/>
      <c r="W23" s="678"/>
      <c r="X23" s="678"/>
      <c r="Y23" s="678"/>
      <c r="Z23" s="678"/>
      <c r="AA23" s="678"/>
    </row>
    <row r="24" spans="1:27" s="669" customFormat="1" ht="13.8" customHeight="1">
      <c r="A24" s="670">
        <v>3.2</v>
      </c>
      <c r="B24" s="671" t="s">
        <v>439</v>
      </c>
      <c r="C24" s="677"/>
      <c r="D24" s="668"/>
      <c r="E24" s="678"/>
      <c r="F24" s="678"/>
      <c r="G24" s="678"/>
      <c r="H24" s="668"/>
      <c r="I24" s="678"/>
      <c r="J24" s="678"/>
      <c r="K24" s="678"/>
      <c r="L24" s="668"/>
      <c r="M24" s="678"/>
      <c r="N24" s="678"/>
      <c r="O24" s="678"/>
      <c r="P24" s="678"/>
      <c r="Q24" s="678"/>
      <c r="R24" s="678"/>
      <c r="S24" s="678"/>
      <c r="T24" s="668"/>
      <c r="U24" s="678"/>
      <c r="V24" s="678"/>
      <c r="W24" s="678"/>
      <c r="X24" s="678"/>
      <c r="Y24" s="678"/>
      <c r="Z24" s="678"/>
      <c r="AA24" s="678"/>
    </row>
    <row r="25" spans="1:27" s="669" customFormat="1" ht="13.8" customHeight="1">
      <c r="A25" s="670">
        <v>3.3</v>
      </c>
      <c r="B25" s="671" t="s">
        <v>440</v>
      </c>
      <c r="C25" s="677">
        <v>1400000</v>
      </c>
      <c r="D25" s="674">
        <v>1400000</v>
      </c>
      <c r="E25" s="678"/>
      <c r="F25" s="678"/>
      <c r="G25" s="678"/>
      <c r="H25" s="668">
        <v>0</v>
      </c>
      <c r="I25" s="678"/>
      <c r="J25" s="678"/>
      <c r="K25" s="678"/>
      <c r="L25" s="668">
        <v>0</v>
      </c>
      <c r="M25" s="678"/>
      <c r="N25" s="678"/>
      <c r="O25" s="678"/>
      <c r="P25" s="678"/>
      <c r="Q25" s="678"/>
      <c r="R25" s="678"/>
      <c r="S25" s="678"/>
      <c r="T25" s="668">
        <v>0</v>
      </c>
      <c r="U25" s="678"/>
      <c r="V25" s="678"/>
      <c r="W25" s="678"/>
      <c r="X25" s="678"/>
      <c r="Y25" s="678"/>
      <c r="Z25" s="678"/>
      <c r="AA25" s="678"/>
    </row>
    <row r="26" spans="1:27" s="669" customFormat="1" ht="13.8" customHeight="1">
      <c r="A26" s="670">
        <v>3.4</v>
      </c>
      <c r="B26" s="671" t="s">
        <v>441</v>
      </c>
      <c r="C26" s="677">
        <v>3972751.18</v>
      </c>
      <c r="D26" s="674">
        <v>3972751.18</v>
      </c>
      <c r="E26" s="678"/>
      <c r="F26" s="678"/>
      <c r="G26" s="678"/>
      <c r="H26" s="668">
        <v>0</v>
      </c>
      <c r="I26" s="678"/>
      <c r="J26" s="678"/>
      <c r="K26" s="678"/>
      <c r="L26" s="668">
        <v>0</v>
      </c>
      <c r="M26" s="678"/>
      <c r="N26" s="678"/>
      <c r="O26" s="678"/>
      <c r="P26" s="678"/>
      <c r="Q26" s="678"/>
      <c r="R26" s="678"/>
      <c r="S26" s="678"/>
      <c r="T26" s="668">
        <v>0</v>
      </c>
      <c r="U26" s="678"/>
      <c r="V26" s="678"/>
      <c r="W26" s="678"/>
      <c r="X26" s="678"/>
      <c r="Y26" s="678"/>
      <c r="Z26" s="678"/>
      <c r="AA26" s="678"/>
    </row>
    <row r="27" spans="1:27" s="669" customFormat="1" ht="13.8" customHeight="1">
      <c r="A27" s="670">
        <v>3.5</v>
      </c>
      <c r="B27" s="671" t="s">
        <v>442</v>
      </c>
      <c r="C27" s="677">
        <v>94719114.888099998</v>
      </c>
      <c r="D27" s="674">
        <v>92421978.488100007</v>
      </c>
      <c r="E27" s="678"/>
      <c r="F27" s="678"/>
      <c r="G27" s="678"/>
      <c r="H27" s="674">
        <v>2208436.4</v>
      </c>
      <c r="I27" s="678"/>
      <c r="J27" s="678"/>
      <c r="K27" s="678"/>
      <c r="L27" s="668">
        <v>88700</v>
      </c>
      <c r="M27" s="678"/>
      <c r="N27" s="678"/>
      <c r="O27" s="678"/>
      <c r="P27" s="678"/>
      <c r="Q27" s="678"/>
      <c r="R27" s="678"/>
      <c r="S27" s="678"/>
      <c r="T27" s="668">
        <v>0</v>
      </c>
      <c r="U27" s="678"/>
      <c r="V27" s="678"/>
      <c r="W27" s="678"/>
      <c r="X27" s="678"/>
      <c r="Y27" s="678"/>
      <c r="Z27" s="678"/>
      <c r="AA27" s="678"/>
    </row>
    <row r="28" spans="1:27" s="669" customFormat="1" ht="13.8" customHeight="1">
      <c r="A28" s="670">
        <v>3.6</v>
      </c>
      <c r="B28" s="671" t="s">
        <v>443</v>
      </c>
      <c r="C28" s="677">
        <v>782584.35</v>
      </c>
      <c r="D28" s="674">
        <v>782584.35</v>
      </c>
      <c r="E28" s="678"/>
      <c r="F28" s="678"/>
      <c r="G28" s="678"/>
      <c r="H28" s="668">
        <v>0</v>
      </c>
      <c r="I28" s="678"/>
      <c r="J28" s="678"/>
      <c r="K28" s="678"/>
      <c r="L28" s="668">
        <v>0</v>
      </c>
      <c r="M28" s="678"/>
      <c r="N28" s="678"/>
      <c r="O28" s="678"/>
      <c r="P28" s="678"/>
      <c r="Q28" s="678"/>
      <c r="R28" s="678"/>
      <c r="S28" s="678"/>
      <c r="T28" s="668">
        <v>0</v>
      </c>
      <c r="U28" s="678"/>
      <c r="V28" s="678"/>
      <c r="W28" s="678"/>
      <c r="X28" s="678"/>
      <c r="Y28" s="678"/>
      <c r="Z28" s="678"/>
      <c r="AA28" s="678"/>
    </row>
    <row r="30" spans="1:27">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row>
    <row r="31" spans="1:27">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row>
    <row r="32" spans="1:27">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row>
    <row r="33" spans="3:27">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row>
    <row r="34" spans="3:27">
      <c r="C34" s="577"/>
      <c r="D34" s="577"/>
      <c r="E34" s="577"/>
      <c r="F34" s="577"/>
      <c r="G34" s="577"/>
      <c r="H34" s="577"/>
      <c r="I34" s="577"/>
      <c r="J34" s="577"/>
      <c r="K34" s="577"/>
      <c r="L34" s="577"/>
      <c r="M34" s="577"/>
      <c r="N34" s="577"/>
      <c r="O34" s="577"/>
      <c r="P34" s="577"/>
      <c r="Q34" s="577"/>
      <c r="R34" s="577"/>
      <c r="S34" s="577"/>
      <c r="T34" s="577"/>
      <c r="U34" s="577"/>
      <c r="V34" s="577"/>
      <c r="W34" s="577"/>
      <c r="X34" s="577"/>
      <c r="Y34" s="577"/>
      <c r="Z34" s="577"/>
      <c r="AA34" s="577"/>
    </row>
    <row r="35" spans="3:27">
      <c r="C35" s="577"/>
      <c r="D35" s="577"/>
      <c r="E35" s="577"/>
      <c r="F35" s="577"/>
      <c r="G35" s="577"/>
      <c r="H35" s="577"/>
      <c r="I35" s="577"/>
      <c r="J35" s="577"/>
      <c r="K35" s="577"/>
      <c r="L35" s="577"/>
      <c r="M35" s="577"/>
      <c r="N35" s="577"/>
      <c r="O35" s="577"/>
      <c r="P35" s="577"/>
      <c r="Q35" s="577"/>
      <c r="R35" s="577"/>
      <c r="S35" s="577"/>
      <c r="T35" s="577"/>
      <c r="U35" s="577"/>
      <c r="V35" s="577"/>
      <c r="W35" s="577"/>
      <c r="X35" s="577"/>
      <c r="Y35" s="577"/>
      <c r="Z35" s="577"/>
      <c r="AA35" s="577"/>
    </row>
    <row r="36" spans="3:27">
      <c r="C36" s="577"/>
      <c r="D36" s="577"/>
      <c r="E36" s="577"/>
      <c r="F36" s="577"/>
      <c r="G36" s="577"/>
      <c r="H36" s="577"/>
      <c r="I36" s="577"/>
      <c r="J36" s="577"/>
      <c r="K36" s="577"/>
      <c r="L36" s="577"/>
      <c r="M36" s="577"/>
      <c r="N36" s="577"/>
      <c r="O36" s="577"/>
      <c r="P36" s="577"/>
      <c r="Q36" s="577"/>
      <c r="R36" s="577"/>
      <c r="S36" s="577"/>
      <c r="T36" s="577"/>
      <c r="U36" s="577"/>
      <c r="V36" s="577"/>
      <c r="W36" s="577"/>
      <c r="X36" s="577"/>
      <c r="Y36" s="577"/>
      <c r="Z36" s="577"/>
      <c r="AA36" s="577"/>
    </row>
    <row r="37" spans="3:27">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row>
    <row r="38" spans="3:27">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row>
    <row r="39" spans="3:27">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row>
    <row r="40" spans="3:27">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row>
    <row r="41" spans="3:27">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row>
    <row r="42" spans="3:27">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row>
    <row r="43" spans="3:27">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row>
    <row r="44" spans="3:27">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row>
    <row r="45" spans="3:27">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row>
    <row r="46" spans="3:27">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row>
    <row r="47" spans="3:27">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row>
    <row r="48" spans="3:27">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row>
    <row r="49" spans="3:27">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row>
    <row r="50" spans="3:27">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row>
    <row r="51" spans="3:27">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row>
    <row r="52" spans="3:27">
      <c r="C52" s="577"/>
    </row>
    <row r="53" spans="3:27">
      <c r="C53" s="577"/>
    </row>
    <row r="54" spans="3:27">
      <c r="C54" s="577"/>
    </row>
    <row r="55" spans="3:27">
      <c r="C55" s="577"/>
    </row>
    <row r="56" spans="3:27">
      <c r="C56" s="577"/>
    </row>
    <row r="57" spans="3:27">
      <c r="C57" s="577"/>
    </row>
  </sheetData>
  <mergeCells count="7">
    <mergeCell ref="U6:AA6"/>
    <mergeCell ref="A5:B7"/>
    <mergeCell ref="C5:S5"/>
    <mergeCell ref="C6:C7"/>
    <mergeCell ref="D6:G6"/>
    <mergeCell ref="H6:K6"/>
    <mergeCell ref="M6:S6"/>
  </mergeCells>
  <pageMargins left="0.7" right="0.7" top="0.75" bottom="0.75" header="0.3" footer="0.3"/>
  <pageSetup paperSize="9" scale="13" orientation="portrait" horizontalDpi="300" verticalDpi="300" r:id="rId1"/>
  <headerFooter>
    <oddFooter>&amp;C_x000D_&amp;1#&amp;"Aptos"&amp;10&amp;K000000 C4 - EXTERNAL CONFIDENTIAL</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C39"/>
  <sheetViews>
    <sheetView showGridLines="0" zoomScale="80" zoomScaleNormal="80" workbookViewId="0">
      <selection activeCell="G8" sqref="G8"/>
    </sheetView>
  </sheetViews>
  <sheetFormatPr defaultColWidth="9.21875" defaultRowHeight="12"/>
  <cols>
    <col min="1" max="1" width="14.77734375" style="370" customWidth="1"/>
    <col min="2" max="2" width="90.21875" style="370" bestFit="1" customWidth="1"/>
    <col min="3" max="3" width="20.21875" style="370" customWidth="1"/>
    <col min="4" max="4" width="22.21875" style="370" customWidth="1"/>
    <col min="5" max="7" width="17.109375" style="370" customWidth="1"/>
    <col min="8" max="8" width="22.21875" style="370" customWidth="1"/>
    <col min="9" max="10" width="17.109375" style="370" customWidth="1"/>
    <col min="11" max="27" width="22.21875" style="370" customWidth="1"/>
    <col min="28" max="28" width="10.77734375" style="370" bestFit="1" customWidth="1"/>
    <col min="29" max="29" width="9.5546875" style="370" bestFit="1" customWidth="1"/>
    <col min="30" max="16384" width="9.21875" style="370"/>
  </cols>
  <sheetData>
    <row r="1" spans="1:29" ht="13.8">
      <c r="A1" s="295" t="s">
        <v>30</v>
      </c>
      <c r="B1" s="357" t="str">
        <f>'Info '!C2</f>
        <v xml:space="preserve">PASHA Bank Georgia JSC </v>
      </c>
    </row>
    <row r="2" spans="1:29">
      <c r="A2" s="295" t="s">
        <v>31</v>
      </c>
      <c r="B2" s="356">
        <f>'1. key ratios '!B2</f>
        <v>46112</v>
      </c>
    </row>
    <row r="3" spans="1:29">
      <c r="A3" s="296" t="s">
        <v>446</v>
      </c>
      <c r="C3" s="372"/>
    </row>
    <row r="4" spans="1:29" ht="12.6" thickBot="1">
      <c r="A4" s="296"/>
      <c r="B4" s="372"/>
      <c r="C4" s="372"/>
    </row>
    <row r="5" spans="1:29" ht="13.5" customHeight="1">
      <c r="A5" s="829" t="s">
        <v>652</v>
      </c>
      <c r="B5" s="830"/>
      <c r="C5" s="838" t="s">
        <v>651</v>
      </c>
      <c r="D5" s="839"/>
      <c r="E5" s="839"/>
      <c r="F5" s="839"/>
      <c r="G5" s="839"/>
      <c r="H5" s="839"/>
      <c r="I5" s="839"/>
      <c r="J5" s="839"/>
      <c r="K5" s="839"/>
      <c r="L5" s="839"/>
      <c r="M5" s="839"/>
      <c r="N5" s="839"/>
      <c r="O5" s="839"/>
      <c r="P5" s="839"/>
      <c r="Q5" s="839"/>
      <c r="R5" s="839"/>
      <c r="S5" s="840"/>
      <c r="T5" s="392"/>
      <c r="U5" s="392"/>
      <c r="V5" s="392"/>
      <c r="W5" s="392"/>
      <c r="X5" s="392"/>
      <c r="Y5" s="392"/>
      <c r="Z5" s="392"/>
      <c r="AA5" s="391"/>
    </row>
    <row r="6" spans="1:29" ht="12" customHeight="1">
      <c r="A6" s="831"/>
      <c r="B6" s="832"/>
      <c r="C6" s="835" t="s">
        <v>64</v>
      </c>
      <c r="D6" s="827" t="s">
        <v>648</v>
      </c>
      <c r="E6" s="827"/>
      <c r="F6" s="827"/>
      <c r="G6" s="827"/>
      <c r="H6" s="827" t="s">
        <v>647</v>
      </c>
      <c r="I6" s="827"/>
      <c r="J6" s="827"/>
      <c r="K6" s="827"/>
      <c r="L6" s="389"/>
      <c r="M6" s="828" t="s">
        <v>646</v>
      </c>
      <c r="N6" s="828"/>
      <c r="O6" s="828"/>
      <c r="P6" s="828"/>
      <c r="Q6" s="828"/>
      <c r="R6" s="828"/>
      <c r="S6" s="837"/>
      <c r="T6" s="392"/>
      <c r="U6" s="816" t="s">
        <v>645</v>
      </c>
      <c r="V6" s="816"/>
      <c r="W6" s="816"/>
      <c r="X6" s="816"/>
      <c r="Y6" s="816"/>
      <c r="Z6" s="816"/>
      <c r="AA6" s="809"/>
    </row>
    <row r="7" spans="1:29" ht="24">
      <c r="A7" s="833"/>
      <c r="B7" s="834"/>
      <c r="C7" s="836"/>
      <c r="D7" s="388"/>
      <c r="E7" s="367" t="s">
        <v>436</v>
      </c>
      <c r="F7" s="367" t="s">
        <v>643</v>
      </c>
      <c r="G7" s="369" t="s">
        <v>644</v>
      </c>
      <c r="H7" s="371"/>
      <c r="I7" s="367" t="s">
        <v>436</v>
      </c>
      <c r="J7" s="367" t="s">
        <v>643</v>
      </c>
      <c r="K7" s="369" t="s">
        <v>644</v>
      </c>
      <c r="L7" s="387"/>
      <c r="M7" s="367" t="s">
        <v>436</v>
      </c>
      <c r="N7" s="367" t="s">
        <v>643</v>
      </c>
      <c r="O7" s="367" t="s">
        <v>642</v>
      </c>
      <c r="P7" s="367" t="s">
        <v>641</v>
      </c>
      <c r="Q7" s="367" t="s">
        <v>640</v>
      </c>
      <c r="R7" s="367" t="s">
        <v>639</v>
      </c>
      <c r="S7" s="394" t="s">
        <v>638</v>
      </c>
      <c r="T7" s="393"/>
      <c r="U7" s="367" t="s">
        <v>436</v>
      </c>
      <c r="V7" s="367" t="s">
        <v>643</v>
      </c>
      <c r="W7" s="367" t="s">
        <v>642</v>
      </c>
      <c r="X7" s="367" t="s">
        <v>641</v>
      </c>
      <c r="Y7" s="367" t="s">
        <v>640</v>
      </c>
      <c r="Z7" s="367" t="s">
        <v>639</v>
      </c>
      <c r="AA7" s="367" t="s">
        <v>638</v>
      </c>
    </row>
    <row r="8" spans="1:29" s="669" customFormat="1" ht="22.8" customHeight="1">
      <c r="A8" s="679">
        <v>1</v>
      </c>
      <c r="B8" s="680" t="s">
        <v>437</v>
      </c>
      <c r="C8" s="681">
        <v>423844512.98500001</v>
      </c>
      <c r="D8" s="682">
        <v>389980663.38749999</v>
      </c>
      <c r="E8" s="682">
        <v>8862191.4217000008</v>
      </c>
      <c r="F8" s="682">
        <v>0</v>
      </c>
      <c r="G8" s="674">
        <v>0.108</v>
      </c>
      <c r="H8" s="682">
        <v>14143226.2719</v>
      </c>
      <c r="I8" s="682">
        <v>233854.65119999999</v>
      </c>
      <c r="J8" s="682">
        <v>6130570.8770000003</v>
      </c>
      <c r="K8" s="682">
        <v>0</v>
      </c>
      <c r="L8" s="682">
        <v>17082032.257599998</v>
      </c>
      <c r="M8" s="682">
        <v>0</v>
      </c>
      <c r="N8" s="682">
        <v>0</v>
      </c>
      <c r="O8" s="682">
        <v>0</v>
      </c>
      <c r="P8" s="682">
        <v>889550.10959999997</v>
      </c>
      <c r="Q8" s="682">
        <v>1997782.7472000001</v>
      </c>
      <c r="R8" s="682">
        <v>9072270.8208000008</v>
      </c>
      <c r="S8" s="682">
        <v>4459787.0288000004</v>
      </c>
      <c r="T8" s="682">
        <v>2638591.068</v>
      </c>
      <c r="U8" s="682">
        <v>0</v>
      </c>
      <c r="V8" s="682">
        <v>0</v>
      </c>
      <c r="W8" s="682">
        <v>0</v>
      </c>
      <c r="X8" s="682">
        <v>0</v>
      </c>
      <c r="Y8" s="682">
        <v>0</v>
      </c>
      <c r="Z8" s="682">
        <v>2638591.068</v>
      </c>
      <c r="AA8" s="683">
        <v>0</v>
      </c>
      <c r="AB8" s="684"/>
      <c r="AC8" s="684"/>
    </row>
    <row r="9" spans="1:29" s="669" customFormat="1" ht="22.8" customHeight="1">
      <c r="A9" s="685">
        <v>1.1000000000000001</v>
      </c>
      <c r="B9" s="686" t="s">
        <v>447</v>
      </c>
      <c r="C9" s="687">
        <v>399037248.01789999</v>
      </c>
      <c r="D9" s="682">
        <v>365208234.60259998</v>
      </c>
      <c r="E9" s="682">
        <v>8862191.4217000008</v>
      </c>
      <c r="F9" s="682">
        <v>0</v>
      </c>
      <c r="G9" s="682">
        <v>0</v>
      </c>
      <c r="H9" s="682">
        <v>14143226.2719</v>
      </c>
      <c r="I9" s="682">
        <v>233854.65119999999</v>
      </c>
      <c r="J9" s="682">
        <v>6130570.8770000003</v>
      </c>
      <c r="K9" s="682">
        <v>0</v>
      </c>
      <c r="L9" s="682">
        <v>17047196.075399999</v>
      </c>
      <c r="M9" s="682">
        <v>0</v>
      </c>
      <c r="N9" s="682">
        <v>0</v>
      </c>
      <c r="O9" s="682">
        <v>0</v>
      </c>
      <c r="P9" s="682">
        <v>889550.10959999997</v>
      </c>
      <c r="Q9" s="682">
        <v>1983863.1292999999</v>
      </c>
      <c r="R9" s="682">
        <v>9052595.3803000003</v>
      </c>
      <c r="S9" s="682">
        <v>4458545.9050000003</v>
      </c>
      <c r="T9" s="682">
        <v>2638591.068</v>
      </c>
      <c r="U9" s="682">
        <v>0</v>
      </c>
      <c r="V9" s="682">
        <v>0</v>
      </c>
      <c r="W9" s="682">
        <v>0</v>
      </c>
      <c r="X9" s="682">
        <v>0</v>
      </c>
      <c r="Y9" s="682">
        <v>0</v>
      </c>
      <c r="Z9" s="682">
        <v>2638591.068</v>
      </c>
      <c r="AA9" s="683">
        <v>0</v>
      </c>
      <c r="AB9" s="684"/>
      <c r="AC9" s="684"/>
    </row>
    <row r="10" spans="1:29" s="669" customFormat="1" ht="22.8" customHeight="1">
      <c r="A10" s="685" t="s">
        <v>14</v>
      </c>
      <c r="B10" s="686" t="s">
        <v>448</v>
      </c>
      <c r="C10" s="687">
        <v>264123304.89250001</v>
      </c>
      <c r="D10" s="682">
        <v>230456279.4772</v>
      </c>
      <c r="E10" s="682">
        <v>8862191.4217000008</v>
      </c>
      <c r="F10" s="682">
        <v>0</v>
      </c>
      <c r="G10" s="682">
        <v>0</v>
      </c>
      <c r="H10" s="682">
        <v>14143226.2719</v>
      </c>
      <c r="I10" s="682">
        <v>233854.65119999999</v>
      </c>
      <c r="J10" s="682">
        <v>6130570.8770000003</v>
      </c>
      <c r="K10" s="682">
        <v>0</v>
      </c>
      <c r="L10" s="682">
        <v>16885208.075399999</v>
      </c>
      <c r="M10" s="682">
        <v>0</v>
      </c>
      <c r="N10" s="682">
        <v>0</v>
      </c>
      <c r="O10" s="682">
        <v>0</v>
      </c>
      <c r="P10" s="682">
        <v>889550.10959999997</v>
      </c>
      <c r="Q10" s="682">
        <v>1983863.1292999999</v>
      </c>
      <c r="R10" s="682">
        <v>8890607.3803000003</v>
      </c>
      <c r="S10" s="682">
        <v>4458545.9050000003</v>
      </c>
      <c r="T10" s="682">
        <v>2638591.068</v>
      </c>
      <c r="U10" s="682">
        <v>0</v>
      </c>
      <c r="V10" s="682">
        <v>0</v>
      </c>
      <c r="W10" s="682">
        <v>0</v>
      </c>
      <c r="X10" s="682">
        <v>0</v>
      </c>
      <c r="Y10" s="682">
        <v>0</v>
      </c>
      <c r="Z10" s="682">
        <v>2638591.068</v>
      </c>
      <c r="AA10" s="683">
        <v>0</v>
      </c>
      <c r="AB10" s="684"/>
      <c r="AC10" s="684"/>
    </row>
    <row r="11" spans="1:29" s="669" customFormat="1" ht="22.8" customHeight="1">
      <c r="A11" s="688" t="s">
        <v>449</v>
      </c>
      <c r="B11" s="689" t="s">
        <v>450</v>
      </c>
      <c r="C11" s="687">
        <v>129124798.88330001</v>
      </c>
      <c r="D11" s="682">
        <v>121081942.295</v>
      </c>
      <c r="E11" s="682">
        <v>684047.94799999997</v>
      </c>
      <c r="F11" s="682">
        <v>0</v>
      </c>
      <c r="G11" s="682">
        <v>0</v>
      </c>
      <c r="H11" s="682">
        <v>784125.13340000005</v>
      </c>
      <c r="I11" s="682">
        <v>233854.65119999999</v>
      </c>
      <c r="J11" s="682">
        <v>550270.48219999997</v>
      </c>
      <c r="K11" s="682">
        <v>0</v>
      </c>
      <c r="L11" s="682">
        <v>7258731.4549000002</v>
      </c>
      <c r="M11" s="682">
        <v>0</v>
      </c>
      <c r="N11" s="682">
        <v>0</v>
      </c>
      <c r="O11" s="682">
        <v>0</v>
      </c>
      <c r="P11" s="682">
        <v>889550.10959999997</v>
      </c>
      <c r="Q11" s="682">
        <v>1983863.1292999999</v>
      </c>
      <c r="R11" s="682">
        <v>3721779.6660000002</v>
      </c>
      <c r="S11" s="682">
        <v>0</v>
      </c>
      <c r="T11" s="682">
        <v>0</v>
      </c>
      <c r="U11" s="682">
        <v>0</v>
      </c>
      <c r="V11" s="682">
        <v>0</v>
      </c>
      <c r="W11" s="682">
        <v>0</v>
      </c>
      <c r="X11" s="682">
        <v>0</v>
      </c>
      <c r="Y11" s="682">
        <v>0</v>
      </c>
      <c r="Z11" s="682">
        <v>0</v>
      </c>
      <c r="AA11" s="683">
        <v>0</v>
      </c>
      <c r="AB11" s="684"/>
      <c r="AC11" s="684"/>
    </row>
    <row r="12" spans="1:29" s="669" customFormat="1" ht="22.8" customHeight="1">
      <c r="A12" s="688" t="s">
        <v>451</v>
      </c>
      <c r="B12" s="689" t="s">
        <v>452</v>
      </c>
      <c r="C12" s="687">
        <v>16152039.6357</v>
      </c>
      <c r="D12" s="682">
        <v>6297600.5396999996</v>
      </c>
      <c r="E12" s="682">
        <v>0</v>
      </c>
      <c r="F12" s="682">
        <v>0</v>
      </c>
      <c r="G12" s="682">
        <v>0</v>
      </c>
      <c r="H12" s="682">
        <v>4682911.1459999997</v>
      </c>
      <c r="I12" s="682">
        <v>0</v>
      </c>
      <c r="J12" s="682">
        <v>4682911.1459999997</v>
      </c>
      <c r="K12" s="682">
        <v>0</v>
      </c>
      <c r="L12" s="682">
        <v>5171527.95</v>
      </c>
      <c r="M12" s="682">
        <v>0</v>
      </c>
      <c r="N12" s="682">
        <v>0</v>
      </c>
      <c r="O12" s="682">
        <v>0</v>
      </c>
      <c r="P12" s="682">
        <v>0</v>
      </c>
      <c r="Q12" s="682">
        <v>0</v>
      </c>
      <c r="R12" s="682">
        <v>5171527.95</v>
      </c>
      <c r="S12" s="682">
        <v>0</v>
      </c>
      <c r="T12" s="682">
        <v>0</v>
      </c>
      <c r="U12" s="682">
        <v>0</v>
      </c>
      <c r="V12" s="682">
        <v>0</v>
      </c>
      <c r="W12" s="682">
        <v>0</v>
      </c>
      <c r="X12" s="682">
        <v>0</v>
      </c>
      <c r="Y12" s="682">
        <v>0</v>
      </c>
      <c r="Z12" s="682">
        <v>0</v>
      </c>
      <c r="AA12" s="683">
        <v>0</v>
      </c>
      <c r="AB12" s="684"/>
      <c r="AC12" s="684"/>
    </row>
    <row r="13" spans="1:29" s="669" customFormat="1" ht="22.8" customHeight="1">
      <c r="A13" s="688" t="s">
        <v>453</v>
      </c>
      <c r="B13" s="689" t="s">
        <v>454</v>
      </c>
      <c r="C13" s="687">
        <v>59582510.537500001</v>
      </c>
      <c r="D13" s="682">
        <v>51841513.095399998</v>
      </c>
      <c r="E13" s="682">
        <v>0</v>
      </c>
      <c r="F13" s="682">
        <v>0</v>
      </c>
      <c r="G13" s="682">
        <v>0</v>
      </c>
      <c r="H13" s="682">
        <v>7740997.4420999996</v>
      </c>
      <c r="I13" s="682">
        <v>0</v>
      </c>
      <c r="J13" s="682">
        <v>0</v>
      </c>
      <c r="K13" s="682">
        <v>0</v>
      </c>
      <c r="L13" s="682">
        <v>0</v>
      </c>
      <c r="M13" s="682">
        <v>0</v>
      </c>
      <c r="N13" s="682">
        <v>0</v>
      </c>
      <c r="O13" s="682">
        <v>0</v>
      </c>
      <c r="P13" s="682">
        <v>0</v>
      </c>
      <c r="Q13" s="682">
        <v>0</v>
      </c>
      <c r="R13" s="682">
        <v>0</v>
      </c>
      <c r="S13" s="682">
        <v>0</v>
      </c>
      <c r="T13" s="682">
        <v>0</v>
      </c>
      <c r="U13" s="682">
        <v>0</v>
      </c>
      <c r="V13" s="682">
        <v>0</v>
      </c>
      <c r="W13" s="682">
        <v>0</v>
      </c>
      <c r="X13" s="682">
        <v>0</v>
      </c>
      <c r="Y13" s="682">
        <v>0</v>
      </c>
      <c r="Z13" s="682">
        <v>0</v>
      </c>
      <c r="AA13" s="683">
        <v>0</v>
      </c>
      <c r="AB13" s="684"/>
      <c r="AC13" s="684"/>
    </row>
    <row r="14" spans="1:29" s="669" customFormat="1" ht="22.8" customHeight="1">
      <c r="A14" s="688" t="s">
        <v>455</v>
      </c>
      <c r="B14" s="689" t="s">
        <v>456</v>
      </c>
      <c r="C14" s="687">
        <v>59590762.933600001</v>
      </c>
      <c r="D14" s="682">
        <v>51555989.227300003</v>
      </c>
      <c r="E14" s="682">
        <v>8178143.4737</v>
      </c>
      <c r="F14" s="682">
        <v>0</v>
      </c>
      <c r="G14" s="682">
        <v>0</v>
      </c>
      <c r="H14" s="682">
        <v>937636.73329999996</v>
      </c>
      <c r="I14" s="682">
        <v>0</v>
      </c>
      <c r="J14" s="682">
        <v>899833.43169999996</v>
      </c>
      <c r="K14" s="682">
        <v>0</v>
      </c>
      <c r="L14" s="682">
        <v>4458545.9050000003</v>
      </c>
      <c r="M14" s="682">
        <v>0</v>
      </c>
      <c r="N14" s="682">
        <v>0</v>
      </c>
      <c r="O14" s="682">
        <v>0</v>
      </c>
      <c r="P14" s="682">
        <v>0</v>
      </c>
      <c r="Q14" s="682">
        <v>0</v>
      </c>
      <c r="R14" s="682">
        <v>0</v>
      </c>
      <c r="S14" s="682">
        <v>4458545.9050000003</v>
      </c>
      <c r="T14" s="682">
        <v>2638591.068</v>
      </c>
      <c r="U14" s="682">
        <v>0</v>
      </c>
      <c r="V14" s="682">
        <v>0</v>
      </c>
      <c r="W14" s="682">
        <v>0</v>
      </c>
      <c r="X14" s="682">
        <v>0</v>
      </c>
      <c r="Y14" s="682">
        <v>0</v>
      </c>
      <c r="Z14" s="682">
        <v>2638591.068</v>
      </c>
      <c r="AA14" s="683">
        <v>0</v>
      </c>
      <c r="AB14" s="684"/>
      <c r="AC14" s="684"/>
    </row>
    <row r="15" spans="1:29" s="669" customFormat="1" ht="22.8" customHeight="1">
      <c r="A15" s="688">
        <v>1.2</v>
      </c>
      <c r="B15" s="689" t="s">
        <v>650</v>
      </c>
      <c r="C15" s="687">
        <v>6281804.4051000001</v>
      </c>
      <c r="D15" s="682">
        <v>1985283.0208999999</v>
      </c>
      <c r="E15" s="682">
        <v>32591.7791</v>
      </c>
      <c r="F15" s="682">
        <v>0</v>
      </c>
      <c r="G15" s="682">
        <v>0</v>
      </c>
      <c r="H15" s="682">
        <v>683067.23849999998</v>
      </c>
      <c r="I15" s="682">
        <v>10042.108700000001</v>
      </c>
      <c r="J15" s="682">
        <v>256225.81450000001</v>
      </c>
      <c r="K15" s="682">
        <v>0</v>
      </c>
      <c r="L15" s="682">
        <v>2418247.2979000001</v>
      </c>
      <c r="M15" s="682">
        <v>0</v>
      </c>
      <c r="N15" s="682">
        <v>0</v>
      </c>
      <c r="O15" s="682">
        <v>0</v>
      </c>
      <c r="P15" s="682">
        <v>85349.039300000004</v>
      </c>
      <c r="Q15" s="682">
        <v>179851.53599999999</v>
      </c>
      <c r="R15" s="682">
        <v>916948.96900000004</v>
      </c>
      <c r="S15" s="682">
        <v>1170443.2535999999</v>
      </c>
      <c r="T15" s="682">
        <v>1195206.8478000001</v>
      </c>
      <c r="U15" s="682">
        <v>0</v>
      </c>
      <c r="V15" s="682">
        <v>0</v>
      </c>
      <c r="W15" s="682">
        <v>0</v>
      </c>
      <c r="X15" s="682">
        <v>0</v>
      </c>
      <c r="Y15" s="682">
        <v>0</v>
      </c>
      <c r="Z15" s="682">
        <v>1195206.8478000001</v>
      </c>
      <c r="AA15" s="683">
        <v>0</v>
      </c>
      <c r="AB15" s="684"/>
      <c r="AC15" s="684"/>
    </row>
    <row r="16" spans="1:29" s="669" customFormat="1" ht="22.8" customHeight="1">
      <c r="A16" s="685">
        <v>1.3</v>
      </c>
      <c r="B16" s="689" t="s">
        <v>495</v>
      </c>
      <c r="C16" s="690"/>
      <c r="D16" s="691"/>
      <c r="E16" s="691"/>
      <c r="F16" s="691"/>
      <c r="G16" s="691"/>
      <c r="H16" s="691"/>
      <c r="I16" s="691"/>
      <c r="J16" s="691"/>
      <c r="K16" s="691"/>
      <c r="L16" s="691"/>
      <c r="M16" s="691"/>
      <c r="N16" s="691"/>
      <c r="O16" s="691"/>
      <c r="P16" s="691"/>
      <c r="Q16" s="691"/>
      <c r="R16" s="691"/>
      <c r="S16" s="691"/>
      <c r="T16" s="691"/>
      <c r="U16" s="691"/>
      <c r="V16" s="691"/>
      <c r="W16" s="691"/>
      <c r="X16" s="691"/>
      <c r="Y16" s="691"/>
      <c r="Z16" s="691"/>
      <c r="AA16" s="692"/>
      <c r="AB16" s="684"/>
      <c r="AC16" s="684"/>
    </row>
    <row r="17" spans="1:29" s="669" customFormat="1" ht="22.8" customHeight="1">
      <c r="A17" s="693" t="s">
        <v>457</v>
      </c>
      <c r="B17" s="694" t="s">
        <v>458</v>
      </c>
      <c r="C17" s="695">
        <v>238672754.9179</v>
      </c>
      <c r="D17" s="682">
        <v>208586187.84079999</v>
      </c>
      <c r="E17" s="682">
        <v>674952.75399999996</v>
      </c>
      <c r="F17" s="682">
        <v>0</v>
      </c>
      <c r="G17" s="682">
        <v>0</v>
      </c>
      <c r="H17" s="682">
        <v>13543258.077500001</v>
      </c>
      <c r="I17" s="682">
        <v>231767.59779999999</v>
      </c>
      <c r="J17" s="682">
        <v>5666583.6568999998</v>
      </c>
      <c r="K17" s="682">
        <v>0</v>
      </c>
      <c r="L17" s="682">
        <v>14302712.441400001</v>
      </c>
      <c r="M17" s="682">
        <v>0</v>
      </c>
      <c r="N17" s="682">
        <v>0</v>
      </c>
      <c r="O17" s="682">
        <v>0</v>
      </c>
      <c r="P17" s="682">
        <v>853490.39289999998</v>
      </c>
      <c r="Q17" s="682">
        <v>1798515.3596000001</v>
      </c>
      <c r="R17" s="682">
        <v>7549609.6889000004</v>
      </c>
      <c r="S17" s="682">
        <v>3444552</v>
      </c>
      <c r="T17" s="682">
        <v>2240596.5581999999</v>
      </c>
      <c r="U17" s="682">
        <v>0</v>
      </c>
      <c r="V17" s="682">
        <v>0</v>
      </c>
      <c r="W17" s="682">
        <v>0</v>
      </c>
      <c r="X17" s="682">
        <v>0</v>
      </c>
      <c r="Y17" s="682">
        <v>0</v>
      </c>
      <c r="Z17" s="682">
        <v>2240596.5581999999</v>
      </c>
      <c r="AA17" s="683">
        <v>0</v>
      </c>
      <c r="AB17" s="684"/>
      <c r="AC17" s="684"/>
    </row>
    <row r="18" spans="1:29" s="669" customFormat="1" ht="22.8" customHeight="1">
      <c r="A18" s="693" t="s">
        <v>459</v>
      </c>
      <c r="B18" s="694" t="s">
        <v>460</v>
      </c>
      <c r="C18" s="695">
        <v>232693839.4578</v>
      </c>
      <c r="D18" s="682">
        <v>202607274.99829999</v>
      </c>
      <c r="E18" s="682">
        <v>674952.75399999996</v>
      </c>
      <c r="F18" s="682">
        <v>0</v>
      </c>
      <c r="G18" s="682">
        <v>0</v>
      </c>
      <c r="H18" s="682">
        <v>13543258.077500001</v>
      </c>
      <c r="I18" s="682">
        <v>231767.59779999999</v>
      </c>
      <c r="J18" s="682">
        <v>5666583.6568999998</v>
      </c>
      <c r="K18" s="682">
        <v>0</v>
      </c>
      <c r="L18" s="682">
        <v>14302712.441400001</v>
      </c>
      <c r="M18" s="682">
        <v>0</v>
      </c>
      <c r="N18" s="682">
        <v>0</v>
      </c>
      <c r="O18" s="682">
        <v>0</v>
      </c>
      <c r="P18" s="682">
        <v>853490.39289999998</v>
      </c>
      <c r="Q18" s="682">
        <v>1798515.3596000001</v>
      </c>
      <c r="R18" s="682">
        <v>7549609.6889000004</v>
      </c>
      <c r="S18" s="682">
        <v>3444552</v>
      </c>
      <c r="T18" s="682">
        <v>2240593.9405999999</v>
      </c>
      <c r="U18" s="682">
        <v>0</v>
      </c>
      <c r="V18" s="682">
        <v>0</v>
      </c>
      <c r="W18" s="682">
        <v>0</v>
      </c>
      <c r="X18" s="682">
        <v>0</v>
      </c>
      <c r="Y18" s="682">
        <v>0</v>
      </c>
      <c r="Z18" s="682">
        <v>2240593.9405999999</v>
      </c>
      <c r="AA18" s="683">
        <v>0</v>
      </c>
      <c r="AB18" s="684"/>
      <c r="AC18" s="684"/>
    </row>
    <row r="19" spans="1:29" s="669" customFormat="1" ht="22.8" customHeight="1">
      <c r="A19" s="693" t="s">
        <v>461</v>
      </c>
      <c r="B19" s="694" t="s">
        <v>462</v>
      </c>
      <c r="C19" s="696">
        <v>335803760.25580001</v>
      </c>
      <c r="D19" s="682">
        <v>316630306.96210003</v>
      </c>
      <c r="E19" s="682">
        <v>598357.05200000003</v>
      </c>
      <c r="F19" s="682">
        <v>0</v>
      </c>
      <c r="G19" s="682">
        <v>0</v>
      </c>
      <c r="H19" s="682">
        <v>4415799.0126999998</v>
      </c>
      <c r="I19" s="682">
        <v>540987.94869999995</v>
      </c>
      <c r="J19" s="682">
        <v>2310059.5718</v>
      </c>
      <c r="K19" s="682">
        <v>0</v>
      </c>
      <c r="L19" s="682">
        <v>14757654.280999999</v>
      </c>
      <c r="M19" s="682">
        <v>0</v>
      </c>
      <c r="N19" s="682">
        <v>0</v>
      </c>
      <c r="O19" s="682">
        <v>0</v>
      </c>
      <c r="P19" s="682">
        <v>1260763.9798000001</v>
      </c>
      <c r="Q19" s="682">
        <v>3641091.4449999998</v>
      </c>
      <c r="R19" s="682">
        <v>7708845.6062000003</v>
      </c>
      <c r="S19" s="682">
        <v>0</v>
      </c>
      <c r="T19" s="682">
        <v>0</v>
      </c>
      <c r="U19" s="682">
        <v>0</v>
      </c>
      <c r="V19" s="682">
        <v>0</v>
      </c>
      <c r="W19" s="682">
        <v>0</v>
      </c>
      <c r="X19" s="682">
        <v>0</v>
      </c>
      <c r="Y19" s="682">
        <v>0</v>
      </c>
      <c r="Z19" s="682">
        <v>0</v>
      </c>
      <c r="AA19" s="683">
        <v>0</v>
      </c>
      <c r="AB19" s="684"/>
      <c r="AC19" s="684"/>
    </row>
    <row r="20" spans="1:29" s="669" customFormat="1" ht="22.8" customHeight="1">
      <c r="A20" s="693" t="s">
        <v>463</v>
      </c>
      <c r="B20" s="694" t="s">
        <v>460</v>
      </c>
      <c r="C20" s="696">
        <v>315967671.86570001</v>
      </c>
      <c r="D20" s="682">
        <v>297553642.9382</v>
      </c>
      <c r="E20" s="682">
        <v>598357.05200000003</v>
      </c>
      <c r="F20" s="682">
        <v>0</v>
      </c>
      <c r="G20" s="682">
        <v>0</v>
      </c>
      <c r="H20" s="682">
        <v>3878703.5005000001</v>
      </c>
      <c r="I20" s="682">
        <v>540987.94869999995</v>
      </c>
      <c r="J20" s="682">
        <v>2231765.3717999998</v>
      </c>
      <c r="K20" s="682">
        <v>0</v>
      </c>
      <c r="L20" s="682">
        <v>14535325.426999999</v>
      </c>
      <c r="M20" s="682">
        <v>0</v>
      </c>
      <c r="N20" s="682">
        <v>0</v>
      </c>
      <c r="O20" s="682">
        <v>0</v>
      </c>
      <c r="P20" s="682">
        <v>1183591.2634999999</v>
      </c>
      <c r="Q20" s="682">
        <v>3562871.8813999998</v>
      </c>
      <c r="R20" s="682">
        <v>7641909.0321000004</v>
      </c>
      <c r="S20" s="682">
        <v>0</v>
      </c>
      <c r="T20" s="682">
        <v>0</v>
      </c>
      <c r="U20" s="682">
        <v>0</v>
      </c>
      <c r="V20" s="682">
        <v>0</v>
      </c>
      <c r="W20" s="682">
        <v>0</v>
      </c>
      <c r="X20" s="682">
        <v>0</v>
      </c>
      <c r="Y20" s="682">
        <v>0</v>
      </c>
      <c r="Z20" s="682">
        <v>0</v>
      </c>
      <c r="AA20" s="683">
        <v>0</v>
      </c>
      <c r="AB20" s="684"/>
      <c r="AC20" s="684"/>
    </row>
    <row r="21" spans="1:29" s="669" customFormat="1" ht="22.8" customHeight="1">
      <c r="A21" s="697">
        <v>1.4</v>
      </c>
      <c r="B21" s="694" t="s">
        <v>464</v>
      </c>
      <c r="C21" s="696"/>
      <c r="D21" s="682"/>
      <c r="E21" s="682"/>
      <c r="F21" s="682"/>
      <c r="G21" s="682"/>
      <c r="H21" s="682"/>
      <c r="I21" s="682"/>
      <c r="J21" s="682"/>
      <c r="K21" s="682"/>
      <c r="L21" s="682"/>
      <c r="M21" s="682"/>
      <c r="N21" s="682"/>
      <c r="O21" s="682"/>
      <c r="P21" s="682"/>
      <c r="Q21" s="682"/>
      <c r="R21" s="682"/>
      <c r="S21" s="682"/>
      <c r="T21" s="682"/>
      <c r="U21" s="682"/>
      <c r="V21" s="682"/>
      <c r="W21" s="682"/>
      <c r="X21" s="682"/>
      <c r="Y21" s="682"/>
      <c r="Z21" s="682"/>
      <c r="AA21" s="683"/>
      <c r="AB21" s="684"/>
      <c r="AC21" s="684"/>
    </row>
    <row r="22" spans="1:29" s="669" customFormat="1" ht="22.8" customHeight="1" thickBot="1">
      <c r="A22" s="698">
        <v>1.5</v>
      </c>
      <c r="B22" s="699" t="s">
        <v>465</v>
      </c>
      <c r="C22" s="700"/>
      <c r="D22" s="701"/>
      <c r="E22" s="701"/>
      <c r="F22" s="701"/>
      <c r="G22" s="701"/>
      <c r="H22" s="701"/>
      <c r="I22" s="701"/>
      <c r="J22" s="701"/>
      <c r="K22" s="701"/>
      <c r="L22" s="701"/>
      <c r="M22" s="701"/>
      <c r="N22" s="701"/>
      <c r="O22" s="701"/>
      <c r="P22" s="701"/>
      <c r="Q22" s="701"/>
      <c r="R22" s="701"/>
      <c r="S22" s="701"/>
      <c r="T22" s="701"/>
      <c r="U22" s="701"/>
      <c r="V22" s="701"/>
      <c r="W22" s="701"/>
      <c r="X22" s="701"/>
      <c r="Y22" s="701"/>
      <c r="Z22" s="701"/>
      <c r="AA22" s="702"/>
      <c r="AB22" s="684"/>
      <c r="AC22" s="684"/>
    </row>
    <row r="24" spans="1:29">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row>
    <row r="25" spans="1:29">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row>
    <row r="26" spans="1:29">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row>
    <row r="27" spans="1:29">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row>
    <row r="28" spans="1:29">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row>
    <row r="29" spans="1:29">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row>
    <row r="30" spans="1:29">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row>
    <row r="31" spans="1:29">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row>
    <row r="32" spans="1:29">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row>
    <row r="33" spans="3:27">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row>
    <row r="34" spans="3:27">
      <c r="C34" s="577"/>
      <c r="D34" s="577"/>
      <c r="E34" s="577"/>
      <c r="F34" s="577"/>
      <c r="G34" s="577"/>
      <c r="H34" s="577"/>
      <c r="I34" s="577"/>
      <c r="J34" s="577"/>
      <c r="K34" s="577"/>
      <c r="L34" s="577"/>
      <c r="M34" s="577"/>
      <c r="N34" s="577"/>
      <c r="O34" s="577"/>
      <c r="P34" s="577"/>
      <c r="Q34" s="577"/>
      <c r="R34" s="577"/>
      <c r="S34" s="577"/>
      <c r="T34" s="577"/>
      <c r="U34" s="577"/>
      <c r="V34" s="577"/>
      <c r="W34" s="577"/>
      <c r="X34" s="577"/>
      <c r="Y34" s="577"/>
      <c r="Z34" s="577"/>
      <c r="AA34" s="577"/>
    </row>
    <row r="35" spans="3:27">
      <c r="C35" s="577"/>
      <c r="D35" s="577"/>
      <c r="E35" s="577"/>
      <c r="F35" s="577"/>
      <c r="G35" s="577"/>
      <c r="H35" s="577"/>
      <c r="I35" s="577"/>
      <c r="J35" s="577"/>
      <c r="K35" s="577"/>
      <c r="L35" s="577"/>
      <c r="M35" s="577"/>
      <c r="N35" s="577"/>
      <c r="O35" s="577"/>
      <c r="P35" s="577"/>
      <c r="Q35" s="577"/>
      <c r="R35" s="577"/>
      <c r="S35" s="577"/>
      <c r="T35" s="577"/>
      <c r="U35" s="577"/>
      <c r="V35" s="577"/>
      <c r="W35" s="577"/>
      <c r="X35" s="577"/>
      <c r="Y35" s="577"/>
      <c r="Z35" s="577"/>
      <c r="AA35" s="577"/>
    </row>
    <row r="36" spans="3:27">
      <c r="C36" s="577"/>
      <c r="D36" s="577"/>
      <c r="E36" s="577"/>
      <c r="F36" s="577"/>
      <c r="G36" s="577"/>
      <c r="H36" s="577"/>
      <c r="I36" s="577"/>
      <c r="J36" s="577"/>
      <c r="K36" s="577"/>
      <c r="L36" s="577"/>
      <c r="M36" s="577"/>
      <c r="N36" s="577"/>
      <c r="O36" s="577"/>
      <c r="P36" s="577"/>
      <c r="Q36" s="577"/>
      <c r="R36" s="577"/>
      <c r="S36" s="577"/>
      <c r="T36" s="577"/>
      <c r="U36" s="577"/>
      <c r="V36" s="577"/>
      <c r="W36" s="577"/>
      <c r="X36" s="577"/>
      <c r="Y36" s="577"/>
      <c r="Z36" s="577"/>
      <c r="AA36" s="577"/>
    </row>
    <row r="37" spans="3:27">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row>
    <row r="38" spans="3:27">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row>
    <row r="39" spans="3:27">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paperSize="9" scale="13" orientation="portrait" horizontalDpi="300" verticalDpi="300" r:id="rId1"/>
  <headerFooter>
    <oddFooter>&amp;C_x000D_&amp;1#&amp;"Aptos"&amp;10&amp;K000000 C4 - EXTERNAL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N72"/>
  <sheetViews>
    <sheetView zoomScale="80" zoomScaleNormal="80" workbookViewId="0">
      <selection activeCell="M10" sqref="M10"/>
    </sheetView>
  </sheetViews>
  <sheetFormatPr defaultColWidth="8.77734375" defaultRowHeight="13.8"/>
  <cols>
    <col min="1" max="1" width="8.77734375" style="456"/>
    <col min="2" max="2" width="69.21875" style="457" customWidth="1"/>
    <col min="3" max="3" width="14.77734375" style="445" bestFit="1" customWidth="1"/>
    <col min="4" max="4" width="14.44140625" style="445" customWidth="1"/>
    <col min="5" max="5" width="14.77734375" style="445" bestFit="1" customWidth="1"/>
    <col min="6" max="6" width="14.33203125" style="445" customWidth="1"/>
    <col min="7" max="8" width="14.77734375" style="445" bestFit="1" customWidth="1"/>
    <col min="9" max="16384" width="8.77734375" style="445"/>
  </cols>
  <sheetData>
    <row r="1" spans="1:14">
      <c r="A1" s="125" t="s">
        <v>30</v>
      </c>
      <c r="B1" s="444" t="str">
        <f>'Info '!C2</f>
        <v xml:space="preserve">PASHA Bank Georgia JSC </v>
      </c>
      <c r="C1" s="444"/>
    </row>
    <row r="2" spans="1:14">
      <c r="A2" s="125" t="s">
        <v>31</v>
      </c>
      <c r="B2" s="446">
        <f>'1. key ratios '!B2</f>
        <v>46112</v>
      </c>
      <c r="C2" s="444"/>
    </row>
    <row r="3" spans="1:14">
      <c r="A3" s="125"/>
      <c r="B3" s="444"/>
      <c r="C3" s="444"/>
    </row>
    <row r="4" spans="1:14" ht="21" customHeight="1">
      <c r="A4" s="733" t="s">
        <v>6</v>
      </c>
      <c r="B4" s="734" t="s">
        <v>521</v>
      </c>
      <c r="C4" s="736" t="s">
        <v>522</v>
      </c>
      <c r="D4" s="736"/>
      <c r="E4" s="736"/>
      <c r="F4" s="736" t="s">
        <v>523</v>
      </c>
      <c r="G4" s="736"/>
      <c r="H4" s="737"/>
    </row>
    <row r="5" spans="1:14" ht="21" customHeight="1">
      <c r="A5" s="733"/>
      <c r="B5" s="735"/>
      <c r="C5" s="447" t="s">
        <v>32</v>
      </c>
      <c r="D5" s="447" t="s">
        <v>33</v>
      </c>
      <c r="E5" s="447" t="s">
        <v>34</v>
      </c>
      <c r="F5" s="447" t="s">
        <v>32</v>
      </c>
      <c r="G5" s="447" t="s">
        <v>33</v>
      </c>
      <c r="H5" s="447" t="s">
        <v>34</v>
      </c>
    </row>
    <row r="6" spans="1:14" ht="26.55" customHeight="1">
      <c r="A6" s="733"/>
      <c r="B6" s="448" t="s">
        <v>524</v>
      </c>
      <c r="C6" s="738"/>
      <c r="D6" s="739"/>
      <c r="E6" s="739"/>
      <c r="F6" s="739"/>
      <c r="G6" s="739"/>
      <c r="H6" s="740"/>
    </row>
    <row r="7" spans="1:14" ht="22.95" customHeight="1">
      <c r="A7" s="449">
        <v>1</v>
      </c>
      <c r="B7" s="593" t="s">
        <v>525</v>
      </c>
      <c r="C7" s="514">
        <f>SUM(C8:C10)</f>
        <v>31233008.089400001</v>
      </c>
      <c r="D7" s="514">
        <f>SUM(D8:D10)</f>
        <v>79480349.214300007</v>
      </c>
      <c r="E7" s="515">
        <f>C7+D7</f>
        <v>110713357.3037</v>
      </c>
      <c r="F7" s="514">
        <f>SUM(F8:F10)</f>
        <v>26890963.09</v>
      </c>
      <c r="G7" s="514">
        <f>SUM(G8:G10)</f>
        <v>171397753.3071</v>
      </c>
      <c r="H7" s="515">
        <f>F7+G7</f>
        <v>198288716.3971</v>
      </c>
      <c r="I7" s="518"/>
      <c r="J7" s="518"/>
      <c r="K7" s="518"/>
      <c r="L7" s="518"/>
      <c r="M7" s="518"/>
      <c r="N7" s="518"/>
    </row>
    <row r="8" spans="1:14">
      <c r="A8" s="449">
        <v>1.1000000000000001</v>
      </c>
      <c r="B8" s="592" t="s">
        <v>526</v>
      </c>
      <c r="C8" s="514">
        <v>435172.6</v>
      </c>
      <c r="D8" s="514">
        <v>2199544.9413999999</v>
      </c>
      <c r="E8" s="515">
        <f t="shared" ref="E8:E36" si="0">C8+D8</f>
        <v>2634717.5414</v>
      </c>
      <c r="F8" s="514">
        <v>444219.65</v>
      </c>
      <c r="G8" s="514">
        <v>2994383.4077000003</v>
      </c>
      <c r="H8" s="515">
        <f t="shared" ref="H8:H36" si="1">F8+G8</f>
        <v>3438603.0577000002</v>
      </c>
      <c r="I8" s="518"/>
      <c r="J8" s="518"/>
      <c r="K8" s="518"/>
      <c r="L8" s="518"/>
      <c r="M8" s="518"/>
      <c r="N8" s="518"/>
    </row>
    <row r="9" spans="1:14">
      <c r="A9" s="449">
        <v>1.2</v>
      </c>
      <c r="B9" s="592" t="s">
        <v>527</v>
      </c>
      <c r="C9" s="514">
        <v>4702929.57</v>
      </c>
      <c r="D9" s="514">
        <v>27052007.615200002</v>
      </c>
      <c r="E9" s="515">
        <f t="shared" si="0"/>
        <v>31754937.185200002</v>
      </c>
      <c r="F9" s="514">
        <v>26381683.23</v>
      </c>
      <c r="G9" s="514">
        <v>63034700.241699994</v>
      </c>
      <c r="H9" s="515">
        <f t="shared" si="1"/>
        <v>89416383.471699998</v>
      </c>
      <c r="I9" s="518"/>
      <c r="J9" s="518"/>
      <c r="K9" s="518"/>
      <c r="L9" s="518"/>
      <c r="M9" s="518"/>
      <c r="N9" s="518"/>
    </row>
    <row r="10" spans="1:14">
      <c r="A10" s="449">
        <v>1.3</v>
      </c>
      <c r="B10" s="592" t="s">
        <v>528</v>
      </c>
      <c r="C10" s="514">
        <v>26094905.919399999</v>
      </c>
      <c r="D10" s="514">
        <v>50228796.657700002</v>
      </c>
      <c r="E10" s="515">
        <f t="shared" si="0"/>
        <v>76323702.577100009</v>
      </c>
      <c r="F10" s="514">
        <v>65060.21</v>
      </c>
      <c r="G10" s="514">
        <v>105368669.6577</v>
      </c>
      <c r="H10" s="515">
        <f t="shared" si="1"/>
        <v>105433729.8677</v>
      </c>
      <c r="I10" s="518"/>
      <c r="J10" s="518"/>
      <c r="K10" s="518"/>
      <c r="L10" s="518"/>
      <c r="M10" s="518"/>
      <c r="N10" s="518"/>
    </row>
    <row r="11" spans="1:14">
      <c r="A11" s="449">
        <v>2</v>
      </c>
      <c r="B11" s="590" t="s">
        <v>529</v>
      </c>
      <c r="C11" s="514">
        <v>2402357.3711000001</v>
      </c>
      <c r="D11" s="514">
        <v>0</v>
      </c>
      <c r="E11" s="515">
        <f t="shared" si="0"/>
        <v>2402357.3711000001</v>
      </c>
      <c r="F11" s="514">
        <v>590873.73609999998</v>
      </c>
      <c r="G11" s="514">
        <v>0</v>
      </c>
      <c r="H11" s="515">
        <f t="shared" si="1"/>
        <v>590873.73609999998</v>
      </c>
      <c r="I11" s="518"/>
      <c r="J11" s="518"/>
      <c r="K11" s="518"/>
      <c r="L11" s="518"/>
      <c r="M11" s="518"/>
      <c r="N11" s="518"/>
    </row>
    <row r="12" spans="1:14">
      <c r="A12" s="449">
        <v>2.1</v>
      </c>
      <c r="B12" s="591" t="s">
        <v>530</v>
      </c>
      <c r="C12" s="514">
        <v>2402357.3711000001</v>
      </c>
      <c r="D12" s="514"/>
      <c r="E12" s="515">
        <f t="shared" si="0"/>
        <v>2402357.3711000001</v>
      </c>
      <c r="F12" s="514">
        <v>590873.73609999998</v>
      </c>
      <c r="G12" s="514">
        <v>0</v>
      </c>
      <c r="H12" s="515">
        <f t="shared" si="1"/>
        <v>590873.73609999998</v>
      </c>
      <c r="I12" s="518"/>
      <c r="J12" s="518"/>
      <c r="K12" s="518"/>
      <c r="L12" s="518"/>
      <c r="M12" s="518"/>
      <c r="N12" s="518"/>
    </row>
    <row r="13" spans="1:14" ht="26.55" customHeight="1">
      <c r="A13" s="449">
        <v>3</v>
      </c>
      <c r="B13" s="594" t="s">
        <v>531</v>
      </c>
      <c r="C13" s="514"/>
      <c r="D13" s="514"/>
      <c r="E13" s="515">
        <f t="shared" si="0"/>
        <v>0</v>
      </c>
      <c r="F13" s="514"/>
      <c r="G13" s="514"/>
      <c r="H13" s="515">
        <f t="shared" si="1"/>
        <v>0</v>
      </c>
      <c r="I13" s="518"/>
      <c r="J13" s="518"/>
      <c r="K13" s="518"/>
      <c r="L13" s="518"/>
      <c r="M13" s="518"/>
      <c r="N13" s="518"/>
    </row>
    <row r="14" spans="1:14" ht="26.55" customHeight="1">
      <c r="A14" s="449">
        <v>4</v>
      </c>
      <c r="B14" s="585" t="s">
        <v>532</v>
      </c>
      <c r="C14" s="514"/>
      <c r="D14" s="514"/>
      <c r="E14" s="515">
        <f t="shared" si="0"/>
        <v>0</v>
      </c>
      <c r="F14" s="514"/>
      <c r="G14" s="514"/>
      <c r="H14" s="515">
        <f t="shared" si="1"/>
        <v>0</v>
      </c>
      <c r="I14" s="518"/>
      <c r="J14" s="518"/>
      <c r="K14" s="518"/>
      <c r="L14" s="518"/>
      <c r="M14" s="518"/>
      <c r="N14" s="518"/>
    </row>
    <row r="15" spans="1:14" ht="24.45" customHeight="1">
      <c r="A15" s="449">
        <v>5</v>
      </c>
      <c r="B15" s="595" t="s">
        <v>533</v>
      </c>
      <c r="C15" s="516">
        <f>SUM(C16:C18)</f>
        <v>0</v>
      </c>
      <c r="D15" s="516">
        <f>SUM(D16:D18)</f>
        <v>0</v>
      </c>
      <c r="E15" s="517">
        <f t="shared" si="0"/>
        <v>0</v>
      </c>
      <c r="F15" s="516">
        <f>SUM(F16:F18)</f>
        <v>0</v>
      </c>
      <c r="G15" s="516">
        <f>SUM(G16:G18)</f>
        <v>0</v>
      </c>
      <c r="H15" s="517">
        <f t="shared" si="1"/>
        <v>0</v>
      </c>
      <c r="I15" s="518"/>
      <c r="J15" s="518"/>
      <c r="K15" s="518"/>
      <c r="L15" s="518"/>
      <c r="M15" s="518"/>
      <c r="N15" s="518"/>
    </row>
    <row r="16" spans="1:14">
      <c r="A16" s="449">
        <v>5.0999999999999996</v>
      </c>
      <c r="B16" s="596" t="s">
        <v>534</v>
      </c>
      <c r="C16" s="514"/>
      <c r="D16" s="514"/>
      <c r="E16" s="515">
        <f t="shared" si="0"/>
        <v>0</v>
      </c>
      <c r="F16" s="514"/>
      <c r="G16" s="514"/>
      <c r="H16" s="515">
        <f t="shared" si="1"/>
        <v>0</v>
      </c>
      <c r="I16" s="518"/>
      <c r="J16" s="518"/>
      <c r="K16" s="518"/>
      <c r="L16" s="518"/>
      <c r="M16" s="518"/>
      <c r="N16" s="518"/>
    </row>
    <row r="17" spans="1:14">
      <c r="A17" s="449">
        <v>5.2</v>
      </c>
      <c r="B17" s="596" t="s">
        <v>535</v>
      </c>
      <c r="C17" s="514"/>
      <c r="D17" s="514"/>
      <c r="E17" s="515">
        <f t="shared" si="0"/>
        <v>0</v>
      </c>
      <c r="F17" s="514"/>
      <c r="G17" s="514"/>
      <c r="H17" s="515">
        <f t="shared" si="1"/>
        <v>0</v>
      </c>
      <c r="I17" s="518"/>
      <c r="J17" s="518"/>
      <c r="K17" s="518"/>
      <c r="L17" s="518"/>
      <c r="M17" s="518"/>
      <c r="N17" s="518"/>
    </row>
    <row r="18" spans="1:14">
      <c r="A18" s="449">
        <v>5.3</v>
      </c>
      <c r="B18" s="588" t="s">
        <v>536</v>
      </c>
      <c r="C18" s="514"/>
      <c r="D18" s="514"/>
      <c r="E18" s="515">
        <f t="shared" si="0"/>
        <v>0</v>
      </c>
      <c r="F18" s="514"/>
      <c r="G18" s="514"/>
      <c r="H18" s="515">
        <f t="shared" si="1"/>
        <v>0</v>
      </c>
      <c r="I18" s="518"/>
      <c r="J18" s="518"/>
      <c r="K18" s="518"/>
      <c r="L18" s="518"/>
      <c r="M18" s="518"/>
      <c r="N18" s="518"/>
    </row>
    <row r="19" spans="1:14">
      <c r="A19" s="449">
        <v>6</v>
      </c>
      <c r="B19" s="594" t="s">
        <v>537</v>
      </c>
      <c r="C19" s="514">
        <f>SUM(C20:C21)</f>
        <v>233609653.82100001</v>
      </c>
      <c r="D19" s="514">
        <f>SUM(D20:D21)</f>
        <v>298328005.32029998</v>
      </c>
      <c r="E19" s="515">
        <f t="shared" si="0"/>
        <v>531937659.14129996</v>
      </c>
      <c r="F19" s="514">
        <f>SUM(F20:F21)</f>
        <v>243303838.4425</v>
      </c>
      <c r="G19" s="514">
        <f>SUM(G20:G21)</f>
        <v>224817550.0925</v>
      </c>
      <c r="H19" s="515">
        <f t="shared" si="1"/>
        <v>468121388.53499997</v>
      </c>
      <c r="I19" s="518"/>
      <c r="J19" s="518"/>
      <c r="K19" s="518"/>
      <c r="L19" s="518"/>
      <c r="M19" s="518"/>
      <c r="N19" s="518"/>
    </row>
    <row r="20" spans="1:14">
      <c r="A20" s="449">
        <v>6.1</v>
      </c>
      <c r="B20" s="596" t="s">
        <v>535</v>
      </c>
      <c r="C20" s="514">
        <v>111881909.98649999</v>
      </c>
      <c r="D20" s="514">
        <v>2777116.1179</v>
      </c>
      <c r="E20" s="515">
        <f t="shared" si="0"/>
        <v>114659026.10439999</v>
      </c>
      <c r="F20" s="514">
        <v>75345818.162300006</v>
      </c>
      <c r="G20" s="514">
        <v>5721700.0875000004</v>
      </c>
      <c r="H20" s="515">
        <f t="shared" si="1"/>
        <v>81067518.249800012</v>
      </c>
      <c r="I20" s="518"/>
      <c r="J20" s="518"/>
      <c r="K20" s="518"/>
      <c r="L20" s="518"/>
      <c r="M20" s="518"/>
      <c r="N20" s="518"/>
    </row>
    <row r="21" spans="1:14">
      <c r="A21" s="449">
        <v>6.2</v>
      </c>
      <c r="B21" s="588" t="s">
        <v>536</v>
      </c>
      <c r="C21" s="514">
        <v>121727743.83450001</v>
      </c>
      <c r="D21" s="514">
        <v>295550889.20239997</v>
      </c>
      <c r="E21" s="515">
        <f t="shared" si="0"/>
        <v>417278633.03689998</v>
      </c>
      <c r="F21" s="514">
        <v>167958020.2802</v>
      </c>
      <c r="G21" s="514">
        <v>219095850.005</v>
      </c>
      <c r="H21" s="515">
        <f t="shared" si="1"/>
        <v>387053870.2852</v>
      </c>
      <c r="I21" s="518"/>
      <c r="J21" s="518"/>
      <c r="K21" s="518"/>
      <c r="L21" s="518"/>
      <c r="M21" s="518"/>
      <c r="N21" s="518"/>
    </row>
    <row r="22" spans="1:14">
      <c r="A22" s="449">
        <v>7</v>
      </c>
      <c r="B22" s="590" t="s">
        <v>538</v>
      </c>
      <c r="C22" s="514"/>
      <c r="D22" s="514"/>
      <c r="E22" s="515">
        <f t="shared" si="0"/>
        <v>0</v>
      </c>
      <c r="F22" s="514"/>
      <c r="G22" s="514"/>
      <c r="H22" s="515">
        <f t="shared" si="1"/>
        <v>0</v>
      </c>
      <c r="I22" s="518"/>
      <c r="J22" s="518"/>
      <c r="K22" s="518"/>
      <c r="L22" s="518"/>
      <c r="M22" s="518"/>
      <c r="N22" s="518"/>
    </row>
    <row r="23" spans="1:14">
      <c r="A23" s="449">
        <v>8</v>
      </c>
      <c r="B23" s="590" t="s">
        <v>539</v>
      </c>
      <c r="C23" s="514"/>
      <c r="D23" s="514"/>
      <c r="E23" s="515">
        <f t="shared" si="0"/>
        <v>0</v>
      </c>
      <c r="F23" s="514"/>
      <c r="G23" s="514"/>
      <c r="H23" s="515">
        <f t="shared" si="1"/>
        <v>0</v>
      </c>
      <c r="I23" s="518"/>
      <c r="J23" s="518"/>
      <c r="K23" s="518"/>
      <c r="L23" s="518"/>
      <c r="M23" s="518"/>
      <c r="N23" s="518"/>
    </row>
    <row r="24" spans="1:14">
      <c r="A24" s="449">
        <v>9</v>
      </c>
      <c r="B24" s="585" t="s">
        <v>540</v>
      </c>
      <c r="C24" s="514">
        <f>SUM(C25:C26)</f>
        <v>4352788.33</v>
      </c>
      <c r="D24" s="514">
        <f>SUM(D25:D26)</f>
        <v>0</v>
      </c>
      <c r="E24" s="515">
        <f t="shared" si="0"/>
        <v>4352788.33</v>
      </c>
      <c r="F24" s="514">
        <f>SUM(F25:F26)</f>
        <v>6718453.9199999999</v>
      </c>
      <c r="G24" s="514">
        <f>SUM(G25:G26)</f>
        <v>0</v>
      </c>
      <c r="H24" s="515">
        <f t="shared" si="1"/>
        <v>6718453.9199999999</v>
      </c>
      <c r="I24" s="518"/>
      <c r="J24" s="518"/>
      <c r="K24" s="518"/>
      <c r="L24" s="518"/>
      <c r="M24" s="518"/>
      <c r="N24" s="518"/>
    </row>
    <row r="25" spans="1:14">
      <c r="A25" s="449">
        <v>9.1</v>
      </c>
      <c r="B25" s="596" t="s">
        <v>541</v>
      </c>
      <c r="C25" s="514">
        <v>4352788.33</v>
      </c>
      <c r="D25" s="514"/>
      <c r="E25" s="515">
        <f t="shared" si="0"/>
        <v>4352788.33</v>
      </c>
      <c r="F25" s="514">
        <v>6718453.9199999999</v>
      </c>
      <c r="G25" s="514"/>
      <c r="H25" s="515">
        <f t="shared" si="1"/>
        <v>6718453.9199999999</v>
      </c>
      <c r="I25" s="518"/>
      <c r="J25" s="518"/>
      <c r="K25" s="518"/>
      <c r="L25" s="518"/>
      <c r="M25" s="518"/>
      <c r="N25" s="518"/>
    </row>
    <row r="26" spans="1:14">
      <c r="A26" s="449">
        <v>9.1999999999999993</v>
      </c>
      <c r="B26" s="596" t="s">
        <v>542</v>
      </c>
      <c r="C26" s="514"/>
      <c r="D26" s="514"/>
      <c r="E26" s="515">
        <f t="shared" si="0"/>
        <v>0</v>
      </c>
      <c r="F26" s="514"/>
      <c r="G26" s="514"/>
      <c r="H26" s="515">
        <f t="shared" si="1"/>
        <v>0</v>
      </c>
      <c r="I26" s="518"/>
      <c r="J26" s="518"/>
      <c r="K26" s="518"/>
      <c r="L26" s="518"/>
      <c r="M26" s="518"/>
      <c r="N26" s="518"/>
    </row>
    <row r="27" spans="1:14">
      <c r="A27" s="449">
        <v>10</v>
      </c>
      <c r="B27" s="585" t="s">
        <v>543</v>
      </c>
      <c r="C27" s="514">
        <f>SUM(C28:C29)</f>
        <v>3179177.82</v>
      </c>
      <c r="D27" s="514">
        <f>SUM(D28:D29)</f>
        <v>0</v>
      </c>
      <c r="E27" s="515">
        <f t="shared" si="0"/>
        <v>3179177.82</v>
      </c>
      <c r="F27" s="514">
        <f>SUM(F28:F29)</f>
        <v>3583917.36</v>
      </c>
      <c r="G27" s="514">
        <f>SUM(G28:G29)</f>
        <v>0</v>
      </c>
      <c r="H27" s="515">
        <f t="shared" si="1"/>
        <v>3583917.36</v>
      </c>
      <c r="I27" s="518"/>
      <c r="J27" s="518"/>
      <c r="K27" s="518"/>
      <c r="L27" s="518"/>
      <c r="M27" s="518"/>
      <c r="N27" s="518"/>
    </row>
    <row r="28" spans="1:14">
      <c r="A28" s="449">
        <v>10.1</v>
      </c>
      <c r="B28" s="596" t="s">
        <v>544</v>
      </c>
      <c r="C28" s="514"/>
      <c r="D28" s="514"/>
      <c r="E28" s="515">
        <f t="shared" si="0"/>
        <v>0</v>
      </c>
      <c r="F28" s="514"/>
      <c r="G28" s="514"/>
      <c r="H28" s="515">
        <f t="shared" si="1"/>
        <v>0</v>
      </c>
      <c r="I28" s="518"/>
      <c r="J28" s="518"/>
      <c r="K28" s="518"/>
      <c r="L28" s="518"/>
      <c r="M28" s="518"/>
      <c r="N28" s="518"/>
    </row>
    <row r="29" spans="1:14">
      <c r="A29" s="449">
        <v>10.199999999999999</v>
      </c>
      <c r="B29" s="596" t="s">
        <v>545</v>
      </c>
      <c r="C29" s="514">
        <v>3179177.82</v>
      </c>
      <c r="D29" s="514"/>
      <c r="E29" s="515">
        <f t="shared" si="0"/>
        <v>3179177.82</v>
      </c>
      <c r="F29" s="514">
        <v>3583917.36</v>
      </c>
      <c r="G29" s="514"/>
      <c r="H29" s="515">
        <f t="shared" si="1"/>
        <v>3583917.36</v>
      </c>
      <c r="I29" s="518"/>
      <c r="J29" s="518"/>
      <c r="K29" s="518"/>
      <c r="L29" s="518"/>
      <c r="M29" s="518"/>
      <c r="N29" s="518"/>
    </row>
    <row r="30" spans="1:14">
      <c r="A30" s="449">
        <v>11</v>
      </c>
      <c r="B30" s="585" t="s">
        <v>546</v>
      </c>
      <c r="C30" s="514">
        <f>SUM(C31:C32)</f>
        <v>2243732.91</v>
      </c>
      <c r="D30" s="514">
        <f>SUM(D31:D32)</f>
        <v>0</v>
      </c>
      <c r="E30" s="515">
        <f t="shared" si="0"/>
        <v>2243732.91</v>
      </c>
      <c r="F30" s="514">
        <f>SUM(F31:F32)</f>
        <v>3795103.27</v>
      </c>
      <c r="G30" s="514">
        <f>SUM(G31:G32)</f>
        <v>0</v>
      </c>
      <c r="H30" s="515">
        <f t="shared" si="1"/>
        <v>3795103.27</v>
      </c>
      <c r="I30" s="518"/>
      <c r="J30" s="518"/>
      <c r="K30" s="518"/>
      <c r="L30" s="518"/>
      <c r="M30" s="518"/>
      <c r="N30" s="518"/>
    </row>
    <row r="31" spans="1:14">
      <c r="A31" s="449">
        <v>11.1</v>
      </c>
      <c r="B31" s="596" t="s">
        <v>547</v>
      </c>
      <c r="C31" s="514"/>
      <c r="D31" s="514"/>
      <c r="E31" s="515">
        <f t="shared" si="0"/>
        <v>0</v>
      </c>
      <c r="F31" s="514"/>
      <c r="G31" s="514"/>
      <c r="H31" s="515">
        <f t="shared" si="1"/>
        <v>0</v>
      </c>
      <c r="I31" s="518"/>
      <c r="J31" s="518"/>
      <c r="K31" s="518"/>
      <c r="L31" s="518"/>
      <c r="M31" s="518"/>
      <c r="N31" s="518"/>
    </row>
    <row r="32" spans="1:14">
      <c r="A32" s="449">
        <v>11.2</v>
      </c>
      <c r="B32" s="596" t="s">
        <v>548</v>
      </c>
      <c r="C32" s="514">
        <v>2243732.91</v>
      </c>
      <c r="D32" s="514"/>
      <c r="E32" s="515">
        <f t="shared" si="0"/>
        <v>2243732.91</v>
      </c>
      <c r="F32" s="514">
        <v>3795103.27</v>
      </c>
      <c r="G32" s="514"/>
      <c r="H32" s="515">
        <f t="shared" si="1"/>
        <v>3795103.27</v>
      </c>
      <c r="I32" s="518"/>
      <c r="J32" s="518"/>
      <c r="K32" s="518"/>
      <c r="L32" s="518"/>
      <c r="M32" s="518"/>
      <c r="N32" s="518"/>
    </row>
    <row r="33" spans="1:14">
      <c r="A33" s="449">
        <v>13</v>
      </c>
      <c r="B33" s="585" t="s">
        <v>549</v>
      </c>
      <c r="C33" s="514">
        <v>13481340.8851</v>
      </c>
      <c r="D33" s="514">
        <v>736060.86469999992</v>
      </c>
      <c r="E33" s="515">
        <f t="shared" si="0"/>
        <v>14217401.7498</v>
      </c>
      <c r="F33" s="514">
        <v>18956868.537499998</v>
      </c>
      <c r="G33" s="514">
        <v>172823.4</v>
      </c>
      <c r="H33" s="515">
        <f t="shared" si="1"/>
        <v>19129691.937499996</v>
      </c>
      <c r="I33" s="518"/>
      <c r="J33" s="518"/>
      <c r="K33" s="518"/>
      <c r="L33" s="518"/>
      <c r="M33" s="518"/>
      <c r="N33" s="518"/>
    </row>
    <row r="34" spans="1:14">
      <c r="A34" s="449">
        <v>13.1</v>
      </c>
      <c r="B34" s="597" t="s">
        <v>550</v>
      </c>
      <c r="C34" s="514">
        <v>11874297.84</v>
      </c>
      <c r="D34" s="514"/>
      <c r="E34" s="515">
        <f t="shared" si="0"/>
        <v>11874297.84</v>
      </c>
      <c r="F34" s="514">
        <v>16895117.84</v>
      </c>
      <c r="G34" s="514"/>
      <c r="H34" s="515">
        <f t="shared" si="1"/>
        <v>16895117.84</v>
      </c>
      <c r="I34" s="518"/>
      <c r="J34" s="518"/>
      <c r="K34" s="518"/>
      <c r="L34" s="518"/>
      <c r="M34" s="518"/>
      <c r="N34" s="518"/>
    </row>
    <row r="35" spans="1:14">
      <c r="A35" s="449">
        <v>13.2</v>
      </c>
      <c r="B35" s="597" t="s">
        <v>551</v>
      </c>
      <c r="C35" s="514"/>
      <c r="D35" s="514"/>
      <c r="E35" s="515">
        <f t="shared" si="0"/>
        <v>0</v>
      </c>
      <c r="F35" s="514"/>
      <c r="G35" s="514"/>
      <c r="H35" s="515">
        <f t="shared" si="1"/>
        <v>0</v>
      </c>
      <c r="I35" s="518"/>
      <c r="J35" s="518"/>
      <c r="K35" s="518"/>
      <c r="L35" s="518"/>
      <c r="M35" s="518"/>
      <c r="N35" s="518"/>
    </row>
    <row r="36" spans="1:14">
      <c r="A36" s="449">
        <v>14</v>
      </c>
      <c r="B36" s="585" t="s">
        <v>552</v>
      </c>
      <c r="C36" s="514">
        <f>SUM(C7,C11,C13,C14,C15,C19,C22,C23,C24,C27,C30,C33)</f>
        <v>290502059.22660005</v>
      </c>
      <c r="D36" s="514">
        <f>SUM(D7,D11,D13,D14,D15,D19,D22,D23,D24,D27,D30,D33)</f>
        <v>378544415.39930004</v>
      </c>
      <c r="E36" s="515">
        <f t="shared" si="0"/>
        <v>669046474.62590003</v>
      </c>
      <c r="F36" s="514">
        <f>SUM(F7,F11,F13,F14,F15,F19,F22,F23,F24,F27,F30,F33)</f>
        <v>303840018.35610002</v>
      </c>
      <c r="G36" s="514">
        <f>SUM(G7,G11,G13,G14,G15,G19,G22,G23,G24,G27,G30,G33)</f>
        <v>396388126.79960001</v>
      </c>
      <c r="H36" s="515">
        <f t="shared" si="1"/>
        <v>700228145.15569997</v>
      </c>
      <c r="I36" s="518"/>
      <c r="J36" s="518"/>
      <c r="K36" s="518"/>
      <c r="L36" s="518"/>
      <c r="M36" s="518"/>
      <c r="N36" s="518"/>
    </row>
    <row r="37" spans="1:14" ht="22.5" customHeight="1">
      <c r="A37" s="449"/>
      <c r="B37" s="450" t="s">
        <v>553</v>
      </c>
      <c r="C37" s="741"/>
      <c r="D37" s="742"/>
      <c r="E37" s="742"/>
      <c r="F37" s="742"/>
      <c r="G37" s="742"/>
      <c r="H37" s="743"/>
      <c r="I37" s="518"/>
      <c r="J37" s="518"/>
      <c r="K37" s="518"/>
      <c r="L37" s="518"/>
      <c r="M37" s="518"/>
      <c r="N37" s="518"/>
    </row>
    <row r="38" spans="1:14" ht="14.4">
      <c r="A38" s="449">
        <v>15</v>
      </c>
      <c r="B38" s="590" t="s">
        <v>554</v>
      </c>
      <c r="C38" s="511">
        <f>C39</f>
        <v>190805.30929999999</v>
      </c>
      <c r="D38" s="642">
        <f>D39</f>
        <v>0</v>
      </c>
      <c r="E38" s="512">
        <f>C38+D38</f>
        <v>190805.30929999999</v>
      </c>
      <c r="F38" s="642">
        <f>F39</f>
        <v>549092.5</v>
      </c>
      <c r="G38" s="642">
        <f>G39</f>
        <v>0</v>
      </c>
      <c r="H38" s="512">
        <f>F38+G38</f>
        <v>549092.5</v>
      </c>
      <c r="I38" s="518"/>
      <c r="J38" s="518"/>
      <c r="K38" s="518"/>
      <c r="L38" s="518"/>
      <c r="M38" s="518"/>
      <c r="N38" s="518"/>
    </row>
    <row r="39" spans="1:14">
      <c r="A39" s="451">
        <v>15.1</v>
      </c>
      <c r="B39" s="591" t="s">
        <v>530</v>
      </c>
      <c r="C39" s="511">
        <v>190805.30929999999</v>
      </c>
      <c r="D39" s="511">
        <v>0</v>
      </c>
      <c r="E39" s="512">
        <f t="shared" ref="E39:E53" si="2">C39+D39</f>
        <v>190805.30929999999</v>
      </c>
      <c r="F39" s="511">
        <v>549092.5</v>
      </c>
      <c r="G39" s="511">
        <v>0</v>
      </c>
      <c r="H39" s="512">
        <f t="shared" ref="H39:H53" si="3">F39+G39</f>
        <v>549092.5</v>
      </c>
      <c r="I39" s="518"/>
      <c r="J39" s="518"/>
      <c r="K39" s="518"/>
      <c r="L39" s="518"/>
      <c r="M39" s="518"/>
      <c r="N39" s="518"/>
    </row>
    <row r="40" spans="1:14" ht="24" customHeight="1">
      <c r="A40" s="451">
        <v>16</v>
      </c>
      <c r="B40" s="590" t="s">
        <v>555</v>
      </c>
      <c r="C40" s="511"/>
      <c r="D40" s="511"/>
      <c r="E40" s="512">
        <f t="shared" si="2"/>
        <v>0</v>
      </c>
      <c r="F40" s="511"/>
      <c r="G40" s="511"/>
      <c r="H40" s="512">
        <f t="shared" si="3"/>
        <v>0</v>
      </c>
      <c r="I40" s="518"/>
      <c r="J40" s="518"/>
      <c r="K40" s="518"/>
      <c r="L40" s="518"/>
      <c r="M40" s="518"/>
      <c r="N40" s="518"/>
    </row>
    <row r="41" spans="1:14">
      <c r="A41" s="451">
        <v>17</v>
      </c>
      <c r="B41" s="590" t="s">
        <v>556</v>
      </c>
      <c r="C41" s="511">
        <f>SUM(C42:C45)</f>
        <v>265332048.64999998</v>
      </c>
      <c r="D41" s="511">
        <f>SUM(D42:D45)</f>
        <v>216210093.8107</v>
      </c>
      <c r="E41" s="512">
        <f t="shared" si="2"/>
        <v>481542142.46069998</v>
      </c>
      <c r="F41" s="511">
        <f>SUM(F42:F45)</f>
        <v>161784907.31</v>
      </c>
      <c r="G41" s="511">
        <f>SUM(G42:G45)</f>
        <v>373622851.63730001</v>
      </c>
      <c r="H41" s="512">
        <f t="shared" si="3"/>
        <v>535407758.94730002</v>
      </c>
      <c r="I41" s="518"/>
      <c r="J41" s="518"/>
      <c r="K41" s="518"/>
      <c r="L41" s="518"/>
      <c r="M41" s="518"/>
      <c r="N41" s="518"/>
    </row>
    <row r="42" spans="1:14">
      <c r="A42" s="451">
        <v>17.100000000000001</v>
      </c>
      <c r="B42" s="586" t="s">
        <v>557</v>
      </c>
      <c r="C42" s="511">
        <v>245248448.64999998</v>
      </c>
      <c r="D42" s="511">
        <v>181482584.2714</v>
      </c>
      <c r="E42" s="512">
        <f t="shared" si="2"/>
        <v>426731032.92139995</v>
      </c>
      <c r="F42" s="511">
        <v>131659301.83</v>
      </c>
      <c r="G42" s="511">
        <v>360713499.73250002</v>
      </c>
      <c r="H42" s="512">
        <f t="shared" si="3"/>
        <v>492372801.5625</v>
      </c>
      <c r="I42" s="518"/>
      <c r="J42" s="518"/>
      <c r="K42" s="518"/>
      <c r="L42" s="518"/>
      <c r="M42" s="518"/>
      <c r="N42" s="518"/>
    </row>
    <row r="43" spans="1:14">
      <c r="A43" s="451">
        <v>17.2</v>
      </c>
      <c r="B43" s="592" t="s">
        <v>558</v>
      </c>
      <c r="C43" s="511">
        <v>20083600</v>
      </c>
      <c r="D43" s="511">
        <v>31247499.986200001</v>
      </c>
      <c r="E43" s="512">
        <f t="shared" si="2"/>
        <v>51331099.986200005</v>
      </c>
      <c r="F43" s="511">
        <v>30125605.48</v>
      </c>
      <c r="G43" s="511">
        <v>7775240.5257000001</v>
      </c>
      <c r="H43" s="512">
        <f t="shared" si="3"/>
        <v>37900846.0057</v>
      </c>
      <c r="I43" s="518"/>
      <c r="J43" s="518"/>
      <c r="K43" s="518"/>
      <c r="L43" s="518"/>
      <c r="M43" s="518"/>
      <c r="N43" s="518"/>
    </row>
    <row r="44" spans="1:14">
      <c r="A44" s="451">
        <v>17.3</v>
      </c>
      <c r="B44" s="586" t="s">
        <v>559</v>
      </c>
      <c r="C44" s="511"/>
      <c r="D44" s="511"/>
      <c r="E44" s="512">
        <f t="shared" si="2"/>
        <v>0</v>
      </c>
      <c r="F44" s="511"/>
      <c r="G44" s="511"/>
      <c r="H44" s="512">
        <f t="shared" si="3"/>
        <v>0</v>
      </c>
      <c r="I44" s="518"/>
      <c r="J44" s="518"/>
      <c r="K44" s="518"/>
      <c r="L44" s="518"/>
      <c r="M44" s="518"/>
      <c r="N44" s="518"/>
    </row>
    <row r="45" spans="1:14">
      <c r="A45" s="451">
        <v>17.399999999999999</v>
      </c>
      <c r="B45" s="586" t="s">
        <v>560</v>
      </c>
      <c r="C45" s="511">
        <v>0</v>
      </c>
      <c r="D45" s="511">
        <v>3480009.5530999997</v>
      </c>
      <c r="E45" s="512">
        <f t="shared" si="2"/>
        <v>3480009.5530999997</v>
      </c>
      <c r="F45" s="511">
        <v>0</v>
      </c>
      <c r="G45" s="511">
        <v>5134111.3790999996</v>
      </c>
      <c r="H45" s="512">
        <f t="shared" si="3"/>
        <v>5134111.3790999996</v>
      </c>
      <c r="I45" s="518"/>
      <c r="J45" s="518"/>
      <c r="K45" s="518"/>
      <c r="L45" s="518"/>
      <c r="M45" s="518"/>
      <c r="N45" s="518"/>
    </row>
    <row r="46" spans="1:14">
      <c r="A46" s="451">
        <v>18</v>
      </c>
      <c r="B46" s="585" t="s">
        <v>561</v>
      </c>
      <c r="C46" s="511">
        <v>85527.621099999989</v>
      </c>
      <c r="D46" s="511">
        <v>210361.2757</v>
      </c>
      <c r="E46" s="512">
        <f t="shared" si="2"/>
        <v>295888.89679999999</v>
      </c>
      <c r="F46" s="511">
        <v>309877.49680000002</v>
      </c>
      <c r="G46" s="511">
        <v>229794.0687</v>
      </c>
      <c r="H46" s="512">
        <f t="shared" si="3"/>
        <v>539671.56550000003</v>
      </c>
      <c r="I46" s="518"/>
      <c r="J46" s="518"/>
      <c r="K46" s="518"/>
      <c r="L46" s="518"/>
      <c r="M46" s="518"/>
      <c r="N46" s="518"/>
    </row>
    <row r="47" spans="1:14">
      <c r="A47" s="451">
        <v>19</v>
      </c>
      <c r="B47" s="585" t="s">
        <v>562</v>
      </c>
      <c r="C47" s="511">
        <f>SUM(C48:C49)</f>
        <v>0</v>
      </c>
      <c r="D47" s="511">
        <f>SUM(D48:D49)</f>
        <v>0</v>
      </c>
      <c r="E47" s="512">
        <f t="shared" si="2"/>
        <v>0</v>
      </c>
      <c r="F47" s="511">
        <f>SUM(F48:F49)</f>
        <v>0</v>
      </c>
      <c r="G47" s="511">
        <f>SUM(G48:G49)</f>
        <v>0</v>
      </c>
      <c r="H47" s="512">
        <f t="shared" si="3"/>
        <v>0</v>
      </c>
      <c r="I47" s="518"/>
      <c r="J47" s="518"/>
      <c r="K47" s="518"/>
      <c r="L47" s="518"/>
      <c r="M47" s="518"/>
      <c r="N47" s="518"/>
    </row>
    <row r="48" spans="1:14">
      <c r="A48" s="451">
        <v>19.100000000000001</v>
      </c>
      <c r="B48" s="589" t="s">
        <v>563</v>
      </c>
      <c r="C48" s="511"/>
      <c r="D48" s="511"/>
      <c r="E48" s="512">
        <f t="shared" si="2"/>
        <v>0</v>
      </c>
      <c r="F48" s="511"/>
      <c r="G48" s="511"/>
      <c r="H48" s="512">
        <f t="shared" si="3"/>
        <v>0</v>
      </c>
      <c r="I48" s="518"/>
      <c r="J48" s="518"/>
      <c r="K48" s="518"/>
      <c r="L48" s="518"/>
      <c r="M48" s="518"/>
      <c r="N48" s="518"/>
    </row>
    <row r="49" spans="1:14">
      <c r="A49" s="451">
        <v>19.2</v>
      </c>
      <c r="B49" s="589" t="s">
        <v>564</v>
      </c>
      <c r="C49" s="511"/>
      <c r="D49" s="511"/>
      <c r="E49" s="512">
        <f t="shared" si="2"/>
        <v>0</v>
      </c>
      <c r="F49" s="511"/>
      <c r="G49" s="511"/>
      <c r="H49" s="512">
        <f t="shared" si="3"/>
        <v>0</v>
      </c>
      <c r="I49" s="518"/>
      <c r="J49" s="518"/>
      <c r="K49" s="518"/>
      <c r="L49" s="518"/>
      <c r="M49" s="518"/>
      <c r="N49" s="518"/>
    </row>
    <row r="50" spans="1:14">
      <c r="A50" s="451">
        <v>20</v>
      </c>
      <c r="B50" s="464" t="s">
        <v>565</v>
      </c>
      <c r="C50" s="511">
        <v>0</v>
      </c>
      <c r="D50" s="511">
        <v>33018455.823399998</v>
      </c>
      <c r="E50" s="512">
        <f t="shared" si="2"/>
        <v>33018455.823399998</v>
      </c>
      <c r="F50" s="511">
        <v>0</v>
      </c>
      <c r="G50" s="511">
        <v>33651416.677900001</v>
      </c>
      <c r="H50" s="512">
        <f t="shared" si="3"/>
        <v>33651416.677900001</v>
      </c>
      <c r="I50" s="518"/>
      <c r="J50" s="518"/>
      <c r="K50" s="518"/>
      <c r="L50" s="518"/>
      <c r="M50" s="518"/>
      <c r="N50" s="518"/>
    </row>
    <row r="51" spans="1:14">
      <c r="A51" s="451">
        <v>21</v>
      </c>
      <c r="B51" s="590" t="s">
        <v>566</v>
      </c>
      <c r="C51" s="511">
        <v>7888786.4199999999</v>
      </c>
      <c r="D51" s="511">
        <v>2036586.2397000003</v>
      </c>
      <c r="E51" s="512">
        <f t="shared" si="2"/>
        <v>9925372.6597000007</v>
      </c>
      <c r="F51" s="511">
        <v>6553199.6900000004</v>
      </c>
      <c r="G51" s="511">
        <v>416995.78919999994</v>
      </c>
      <c r="H51" s="512">
        <f t="shared" si="3"/>
        <v>6970195.4791999999</v>
      </c>
      <c r="I51" s="518"/>
      <c r="J51" s="518"/>
      <c r="K51" s="518"/>
      <c r="L51" s="518"/>
      <c r="M51" s="518"/>
      <c r="N51" s="518"/>
    </row>
    <row r="52" spans="1:14">
      <c r="A52" s="451">
        <v>21.1</v>
      </c>
      <c r="B52" s="592" t="s">
        <v>567</v>
      </c>
      <c r="C52" s="511"/>
      <c r="D52" s="511"/>
      <c r="E52" s="512">
        <f t="shared" si="2"/>
        <v>0</v>
      </c>
      <c r="F52" s="511"/>
      <c r="G52" s="511"/>
      <c r="H52" s="512">
        <f t="shared" si="3"/>
        <v>0</v>
      </c>
      <c r="I52" s="518"/>
      <c r="J52" s="518"/>
      <c r="K52" s="518"/>
      <c r="L52" s="518"/>
      <c r="M52" s="518"/>
      <c r="N52" s="518"/>
    </row>
    <row r="53" spans="1:14">
      <c r="A53" s="451">
        <v>22</v>
      </c>
      <c r="B53" s="452" t="s">
        <v>568</v>
      </c>
      <c r="C53" s="511">
        <f>SUM(C38,C40,C41,C46,C47,C50,C51)</f>
        <v>273497168.00040001</v>
      </c>
      <c r="D53" s="511">
        <f>SUM(D38,D40,D41,D46,D47,D50,D51)</f>
        <v>251475497.14949998</v>
      </c>
      <c r="E53" s="512">
        <f t="shared" si="2"/>
        <v>524972665.14989996</v>
      </c>
      <c r="F53" s="511">
        <f>SUM(F38,F40,F41,F46,F47,F50,F51)</f>
        <v>169197076.99680001</v>
      </c>
      <c r="G53" s="511">
        <f>SUM(G38,G40,G41,G46,G47,G50,G51)</f>
        <v>407921058.17310005</v>
      </c>
      <c r="H53" s="512">
        <f t="shared" si="3"/>
        <v>577118135.16990006</v>
      </c>
      <c r="I53" s="518"/>
      <c r="J53" s="518"/>
      <c r="K53" s="518"/>
      <c r="L53" s="518"/>
      <c r="M53" s="518"/>
      <c r="N53" s="518"/>
    </row>
    <row r="54" spans="1:14" ht="24" customHeight="1">
      <c r="A54" s="451"/>
      <c r="B54" s="453" t="s">
        <v>569</v>
      </c>
      <c r="C54" s="730"/>
      <c r="D54" s="731"/>
      <c r="E54" s="731"/>
      <c r="F54" s="731"/>
      <c r="G54" s="731"/>
      <c r="H54" s="732"/>
      <c r="I54" s="518"/>
      <c r="J54" s="518"/>
      <c r="K54" s="518"/>
      <c r="L54" s="518"/>
      <c r="M54" s="518"/>
      <c r="N54" s="518"/>
    </row>
    <row r="55" spans="1:14">
      <c r="A55" s="451">
        <v>23</v>
      </c>
      <c r="B55" s="464" t="s">
        <v>710</v>
      </c>
      <c r="C55" s="511">
        <v>136800000</v>
      </c>
      <c r="D55" s="511">
        <v>0</v>
      </c>
      <c r="E55" s="512">
        <f>C55+D55</f>
        <v>136800000</v>
      </c>
      <c r="F55" s="511">
        <v>136800000</v>
      </c>
      <c r="G55" s="511">
        <v>0</v>
      </c>
      <c r="H55" s="512">
        <f>F55+G55</f>
        <v>136800000</v>
      </c>
      <c r="I55" s="518"/>
      <c r="J55" s="518"/>
      <c r="K55" s="518"/>
      <c r="L55" s="518"/>
      <c r="M55" s="518"/>
      <c r="N55" s="518"/>
    </row>
    <row r="56" spans="1:14">
      <c r="A56" s="451">
        <v>24</v>
      </c>
      <c r="B56" s="464" t="s">
        <v>571</v>
      </c>
      <c r="C56" s="511"/>
      <c r="D56" s="511"/>
      <c r="E56" s="512">
        <f t="shared" ref="E56:E69" si="4">C56+D56</f>
        <v>0</v>
      </c>
      <c r="F56" s="511"/>
      <c r="G56" s="511"/>
      <c r="H56" s="512">
        <f t="shared" ref="H56:H69" si="5">F56+G56</f>
        <v>0</v>
      </c>
      <c r="I56" s="518"/>
      <c r="J56" s="518"/>
      <c r="K56" s="518"/>
      <c r="L56" s="518"/>
      <c r="M56" s="518"/>
      <c r="N56" s="518"/>
    </row>
    <row r="57" spans="1:14">
      <c r="A57" s="451">
        <v>25</v>
      </c>
      <c r="B57" s="585" t="s">
        <v>572</v>
      </c>
      <c r="C57" s="511"/>
      <c r="D57" s="511"/>
      <c r="E57" s="512">
        <f t="shared" si="4"/>
        <v>0</v>
      </c>
      <c r="F57" s="511"/>
      <c r="G57" s="511"/>
      <c r="H57" s="512">
        <f t="shared" si="5"/>
        <v>0</v>
      </c>
      <c r="I57" s="518"/>
      <c r="J57" s="518"/>
      <c r="K57" s="518"/>
      <c r="L57" s="518"/>
      <c r="M57" s="518"/>
      <c r="N57" s="518"/>
    </row>
    <row r="58" spans="1:14">
      <c r="A58" s="451">
        <v>26</v>
      </c>
      <c r="B58" s="585" t="s">
        <v>573</v>
      </c>
      <c r="C58" s="511"/>
      <c r="D58" s="511"/>
      <c r="E58" s="512">
        <f t="shared" si="4"/>
        <v>0</v>
      </c>
      <c r="F58" s="511"/>
      <c r="G58" s="511"/>
      <c r="H58" s="512">
        <f t="shared" si="5"/>
        <v>0</v>
      </c>
      <c r="I58" s="518"/>
      <c r="J58" s="518"/>
      <c r="K58" s="518"/>
      <c r="L58" s="518"/>
      <c r="M58" s="518"/>
      <c r="N58" s="518"/>
    </row>
    <row r="59" spans="1:14" ht="14.4">
      <c r="A59" s="451">
        <v>27</v>
      </c>
      <c r="B59" s="585" t="s">
        <v>574</v>
      </c>
      <c r="C59" s="511">
        <f>SUM(C60:C61)</f>
        <v>1154910.5</v>
      </c>
      <c r="D59" s="511">
        <f>SUM(D60:D61)</f>
        <v>13499000</v>
      </c>
      <c r="E59" s="512">
        <f t="shared" si="4"/>
        <v>14653910.5</v>
      </c>
      <c r="F59" s="513">
        <f>SUM(F60:F61)</f>
        <v>1154910.5</v>
      </c>
      <c r="G59" s="513">
        <f>SUM(G60:G61)</f>
        <v>0</v>
      </c>
      <c r="H59" s="512">
        <f t="shared" si="5"/>
        <v>1154910.5</v>
      </c>
      <c r="I59" s="518"/>
      <c r="J59" s="518"/>
      <c r="K59" s="518"/>
      <c r="L59" s="518"/>
      <c r="M59" s="518"/>
      <c r="N59" s="518"/>
    </row>
    <row r="60" spans="1:14">
      <c r="A60" s="451">
        <v>27.1</v>
      </c>
      <c r="B60" s="586" t="s">
        <v>575</v>
      </c>
      <c r="C60" s="511">
        <v>1154910.5</v>
      </c>
      <c r="D60" s="511">
        <v>0</v>
      </c>
      <c r="E60" s="512">
        <f t="shared" si="4"/>
        <v>1154910.5</v>
      </c>
      <c r="F60" s="511">
        <v>1154910.5</v>
      </c>
      <c r="G60" s="511"/>
      <c r="H60" s="512">
        <f t="shared" si="5"/>
        <v>1154910.5</v>
      </c>
      <c r="I60" s="518"/>
      <c r="J60" s="518"/>
      <c r="K60" s="518"/>
      <c r="L60" s="518"/>
      <c r="M60" s="518"/>
      <c r="N60" s="518"/>
    </row>
    <row r="61" spans="1:14">
      <c r="A61" s="451">
        <v>27.2</v>
      </c>
      <c r="B61" s="586" t="s">
        <v>576</v>
      </c>
      <c r="C61" s="511"/>
      <c r="D61" s="511">
        <v>13499000</v>
      </c>
      <c r="E61" s="512">
        <f t="shared" si="4"/>
        <v>13499000</v>
      </c>
      <c r="F61" s="511"/>
      <c r="G61" s="511"/>
      <c r="H61" s="512">
        <f t="shared" si="5"/>
        <v>0</v>
      </c>
      <c r="I61" s="518"/>
      <c r="J61" s="518"/>
      <c r="K61" s="518"/>
      <c r="L61" s="518"/>
      <c r="M61" s="518"/>
      <c r="N61" s="518"/>
    </row>
    <row r="62" spans="1:14">
      <c r="A62" s="451">
        <v>28</v>
      </c>
      <c r="B62" s="587" t="s">
        <v>577</v>
      </c>
      <c r="C62" s="511"/>
      <c r="D62" s="511"/>
      <c r="E62" s="512">
        <f t="shared" si="4"/>
        <v>0</v>
      </c>
      <c r="F62" s="511"/>
      <c r="G62" s="511"/>
      <c r="H62" s="512">
        <f t="shared" si="5"/>
        <v>0</v>
      </c>
      <c r="I62" s="518"/>
      <c r="J62" s="518"/>
      <c r="K62" s="518"/>
      <c r="L62" s="518"/>
      <c r="M62" s="518"/>
      <c r="N62" s="518"/>
    </row>
    <row r="63" spans="1:14">
      <c r="A63" s="451">
        <v>29</v>
      </c>
      <c r="B63" s="585" t="s">
        <v>578</v>
      </c>
      <c r="C63" s="511">
        <f>SUM(C64:C66)</f>
        <v>0</v>
      </c>
      <c r="D63" s="511">
        <f>SUM(D64:D66)</f>
        <v>0</v>
      </c>
      <c r="E63" s="512">
        <f t="shared" si="4"/>
        <v>0</v>
      </c>
      <c r="F63" s="511">
        <f>SUM(F64:F66)</f>
        <v>0</v>
      </c>
      <c r="G63" s="511">
        <f>SUM(G64:G66)</f>
        <v>0</v>
      </c>
      <c r="H63" s="512">
        <f t="shared" si="5"/>
        <v>0</v>
      </c>
      <c r="I63" s="518"/>
      <c r="J63" s="518"/>
      <c r="K63" s="518"/>
      <c r="L63" s="518"/>
      <c r="M63" s="518"/>
      <c r="N63" s="518"/>
    </row>
    <row r="64" spans="1:14">
      <c r="A64" s="451">
        <v>29.1</v>
      </c>
      <c r="B64" s="588" t="s">
        <v>579</v>
      </c>
      <c r="C64" s="511"/>
      <c r="D64" s="511"/>
      <c r="E64" s="512">
        <f t="shared" si="4"/>
        <v>0</v>
      </c>
      <c r="F64" s="511"/>
      <c r="G64" s="511"/>
      <c r="H64" s="512">
        <f t="shared" si="5"/>
        <v>0</v>
      </c>
      <c r="I64" s="518"/>
      <c r="J64" s="518"/>
      <c r="K64" s="518"/>
      <c r="L64" s="518"/>
      <c r="M64" s="518"/>
      <c r="N64" s="518"/>
    </row>
    <row r="65" spans="1:14" ht="25.05" customHeight="1">
      <c r="A65" s="451">
        <v>29.2</v>
      </c>
      <c r="B65" s="589" t="s">
        <v>580</v>
      </c>
      <c r="C65" s="511"/>
      <c r="D65" s="511"/>
      <c r="E65" s="512">
        <f t="shared" si="4"/>
        <v>0</v>
      </c>
      <c r="F65" s="511"/>
      <c r="G65" s="511"/>
      <c r="H65" s="512">
        <f t="shared" si="5"/>
        <v>0</v>
      </c>
      <c r="I65" s="518"/>
      <c r="J65" s="518"/>
      <c r="K65" s="518"/>
      <c r="L65" s="518"/>
      <c r="M65" s="518"/>
      <c r="N65" s="518"/>
    </row>
    <row r="66" spans="1:14" ht="22.5" customHeight="1">
      <c r="A66" s="451">
        <v>29.3</v>
      </c>
      <c r="B66" s="589" t="s">
        <v>581</v>
      </c>
      <c r="C66" s="511"/>
      <c r="D66" s="511"/>
      <c r="E66" s="512">
        <f t="shared" si="4"/>
        <v>0</v>
      </c>
      <c r="F66" s="511"/>
      <c r="G66" s="511"/>
      <c r="H66" s="512">
        <f t="shared" si="5"/>
        <v>0</v>
      </c>
      <c r="I66" s="518"/>
      <c r="J66" s="518"/>
      <c r="K66" s="518"/>
      <c r="L66" s="518"/>
      <c r="M66" s="518"/>
      <c r="N66" s="518"/>
    </row>
    <row r="67" spans="1:14">
      <c r="A67" s="451">
        <v>30</v>
      </c>
      <c r="B67" s="585" t="s">
        <v>582</v>
      </c>
      <c r="C67" s="511">
        <v>-7380101.0300000003</v>
      </c>
      <c r="D67" s="511"/>
      <c r="E67" s="512">
        <f t="shared" si="4"/>
        <v>-7380101.0300000003</v>
      </c>
      <c r="F67" s="511">
        <v>-14844900.41</v>
      </c>
      <c r="G67" s="511"/>
      <c r="H67" s="512">
        <f t="shared" si="5"/>
        <v>-14844900.41</v>
      </c>
      <c r="I67" s="518"/>
      <c r="J67" s="518"/>
      <c r="K67" s="518"/>
      <c r="L67" s="518"/>
      <c r="M67" s="518"/>
      <c r="N67" s="518"/>
    </row>
    <row r="68" spans="1:14">
      <c r="A68" s="451">
        <v>31</v>
      </c>
      <c r="B68" s="454" t="s">
        <v>780</v>
      </c>
      <c r="C68" s="511">
        <f>SUM(C55,C56,C57,C58,C59,C62,C63,C67)</f>
        <v>130574809.47</v>
      </c>
      <c r="D68" s="511">
        <f>SUM(D55,D56,D57,D58,D59,D62,D63,D67)</f>
        <v>13499000</v>
      </c>
      <c r="E68" s="512">
        <f t="shared" si="4"/>
        <v>144073809.47</v>
      </c>
      <c r="F68" s="511">
        <f>SUM(F55,F56,F57,F58,F59,F62,F63,F67)</f>
        <v>123110010.09</v>
      </c>
      <c r="G68" s="511">
        <f>SUM(G55,G56,G57,G58,G59,G62,G63,G67)</f>
        <v>0</v>
      </c>
      <c r="H68" s="512">
        <f t="shared" si="5"/>
        <v>123110010.09</v>
      </c>
      <c r="I68" s="518"/>
      <c r="J68" s="518"/>
      <c r="K68" s="518"/>
      <c r="L68" s="518"/>
      <c r="M68" s="518"/>
      <c r="N68" s="518"/>
    </row>
    <row r="69" spans="1:14">
      <c r="A69" s="451">
        <v>32</v>
      </c>
      <c r="B69" s="455" t="s">
        <v>584</v>
      </c>
      <c r="C69" s="511">
        <f>SUM(C53,C68)</f>
        <v>404071977.47039998</v>
      </c>
      <c r="D69" s="511">
        <f>SUM(D53,D68)</f>
        <v>264974497.14949998</v>
      </c>
      <c r="E69" s="512">
        <f t="shared" si="4"/>
        <v>669046474.61989999</v>
      </c>
      <c r="F69" s="511">
        <f>SUM(F53,F68)</f>
        <v>292307087.08679998</v>
      </c>
      <c r="G69" s="511">
        <f>SUM(G53,G68)</f>
        <v>407921058.17310005</v>
      </c>
      <c r="H69" s="512">
        <f t="shared" si="5"/>
        <v>700228145.25990009</v>
      </c>
      <c r="I69" s="518"/>
      <c r="J69" s="518"/>
      <c r="K69" s="518"/>
      <c r="L69" s="518"/>
      <c r="M69" s="518"/>
      <c r="N69" s="518"/>
    </row>
    <row r="72" spans="1:14">
      <c r="B72" s="620" t="s">
        <v>781</v>
      </c>
    </row>
  </sheetData>
  <mergeCells count="7">
    <mergeCell ref="C54:H54"/>
    <mergeCell ref="A4:A6"/>
    <mergeCell ref="B4:B5"/>
    <mergeCell ref="C4:E4"/>
    <mergeCell ref="F4:H4"/>
    <mergeCell ref="C6:H6"/>
    <mergeCell ref="C37:H37"/>
  </mergeCells>
  <pageMargins left="0.7" right="0.7" top="0.75" bottom="0.75" header="0.3" footer="0.3"/>
  <pageSetup paperSize="9" scale="52" orientation="portrait" horizontalDpi="300" verticalDpi="300" r:id="rId1"/>
  <headerFooter>
    <oddFooter>&amp;C_x000D_&amp;1#&amp;"Aptos"&amp;10&amp;K000000 C4 - EXTERNAL CONFIDENTIAL</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N71"/>
  <sheetViews>
    <sheetView showGridLines="0" zoomScale="80" zoomScaleNormal="80" workbookViewId="0">
      <selection activeCell="O39" sqref="O39"/>
    </sheetView>
  </sheetViews>
  <sheetFormatPr defaultColWidth="9.21875" defaultRowHeight="12"/>
  <cols>
    <col min="1" max="1" width="11.77734375" style="370" bestFit="1" customWidth="1"/>
    <col min="2" max="2" width="93.44140625" style="370" customWidth="1"/>
    <col min="3" max="3" width="16.33203125" style="370" customWidth="1"/>
    <col min="4" max="5" width="16.109375" style="370" customWidth="1"/>
    <col min="6" max="6" width="16.109375" style="386" customWidth="1"/>
    <col min="7" max="7" width="25.21875" style="386" customWidth="1"/>
    <col min="8" max="8" width="16.109375" style="370" customWidth="1"/>
    <col min="9" max="11" width="16.109375" style="386" customWidth="1"/>
    <col min="12" max="12" width="26.21875" style="386" customWidth="1"/>
    <col min="13" max="16384" width="9.21875" style="370"/>
  </cols>
  <sheetData>
    <row r="1" spans="1:14" ht="13.8">
      <c r="A1" s="295" t="s">
        <v>30</v>
      </c>
      <c r="B1" s="357" t="str">
        <f>'Info '!C2</f>
        <v xml:space="preserve">PASHA Bank Georgia JSC </v>
      </c>
      <c r="F1" s="370"/>
      <c r="G1" s="370"/>
      <c r="I1" s="370"/>
      <c r="J1" s="370"/>
      <c r="K1" s="370"/>
      <c r="L1" s="370"/>
    </row>
    <row r="2" spans="1:14">
      <c r="A2" s="295" t="s">
        <v>31</v>
      </c>
      <c r="B2" s="356">
        <f>'1. key ratios '!B2</f>
        <v>46112</v>
      </c>
      <c r="F2" s="370"/>
      <c r="G2" s="370"/>
      <c r="I2" s="370"/>
      <c r="J2" s="370"/>
      <c r="K2" s="370"/>
      <c r="L2" s="370"/>
    </row>
    <row r="3" spans="1:14">
      <c r="A3" s="296" t="s">
        <v>466</v>
      </c>
      <c r="F3" s="370"/>
      <c r="G3" s="370"/>
      <c r="I3" s="370"/>
      <c r="J3" s="370"/>
      <c r="K3" s="370"/>
      <c r="L3" s="370"/>
    </row>
    <row r="4" spans="1:14">
      <c r="F4" s="370"/>
      <c r="G4" s="370"/>
      <c r="I4" s="370"/>
      <c r="J4" s="370"/>
      <c r="K4" s="370"/>
      <c r="L4" s="370"/>
    </row>
    <row r="5" spans="1:14" ht="37.5" customHeight="1">
      <c r="A5" s="795" t="s">
        <v>483</v>
      </c>
      <c r="B5" s="796"/>
      <c r="C5" s="841" t="s">
        <v>467</v>
      </c>
      <c r="D5" s="842"/>
      <c r="E5" s="842"/>
      <c r="F5" s="842"/>
      <c r="G5" s="842"/>
      <c r="H5" s="841" t="s">
        <v>627</v>
      </c>
      <c r="I5" s="843"/>
      <c r="J5" s="843"/>
      <c r="K5" s="843"/>
      <c r="L5" s="844"/>
    </row>
    <row r="6" spans="1:14" ht="39.450000000000003" customHeight="1">
      <c r="A6" s="799"/>
      <c r="B6" s="800"/>
      <c r="C6" s="298"/>
      <c r="D6" s="368" t="s">
        <v>648</v>
      </c>
      <c r="E6" s="368" t="s">
        <v>647</v>
      </c>
      <c r="F6" s="368" t="s">
        <v>646</v>
      </c>
      <c r="G6" s="368" t="s">
        <v>645</v>
      </c>
      <c r="H6" s="387"/>
      <c r="I6" s="368" t="s">
        <v>648</v>
      </c>
      <c r="J6" s="368" t="s">
        <v>647</v>
      </c>
      <c r="K6" s="368" t="s">
        <v>646</v>
      </c>
      <c r="L6" s="368" t="s">
        <v>645</v>
      </c>
    </row>
    <row r="7" spans="1:14">
      <c r="A7" s="359">
        <v>1</v>
      </c>
      <c r="B7" s="374" t="s">
        <v>486</v>
      </c>
      <c r="C7" s="580">
        <v>-541.4</v>
      </c>
      <c r="D7" s="578">
        <v>-541.4</v>
      </c>
      <c r="E7" s="578">
        <v>0</v>
      </c>
      <c r="F7" s="578">
        <v>0</v>
      </c>
      <c r="G7" s="578">
        <v>0</v>
      </c>
      <c r="H7" s="578">
        <v>0</v>
      </c>
      <c r="I7" s="578">
        <v>0</v>
      </c>
      <c r="J7" s="578">
        <v>0</v>
      </c>
      <c r="K7" s="578">
        <v>0</v>
      </c>
      <c r="L7" s="578">
        <v>0</v>
      </c>
      <c r="M7" s="579"/>
      <c r="N7" s="579"/>
    </row>
    <row r="8" spans="1:14">
      <c r="A8" s="359">
        <v>2</v>
      </c>
      <c r="B8" s="374" t="s">
        <v>399</v>
      </c>
      <c r="C8" s="580">
        <v>77753198.9859</v>
      </c>
      <c r="D8" s="578">
        <v>77577291.305899993</v>
      </c>
      <c r="E8" s="578">
        <v>0</v>
      </c>
      <c r="F8" s="581">
        <v>175907.68</v>
      </c>
      <c r="G8" s="581">
        <v>0</v>
      </c>
      <c r="H8" s="578">
        <v>528794.48549999995</v>
      </c>
      <c r="I8" s="581">
        <v>355059.6997</v>
      </c>
      <c r="J8" s="581">
        <v>0</v>
      </c>
      <c r="K8" s="581">
        <v>173734.78580000001</v>
      </c>
      <c r="L8" s="581">
        <v>0</v>
      </c>
      <c r="M8" s="579"/>
      <c r="N8" s="579"/>
    </row>
    <row r="9" spans="1:14">
      <c r="A9" s="359">
        <v>3</v>
      </c>
      <c r="B9" s="374" t="s">
        <v>400</v>
      </c>
      <c r="C9" s="580"/>
      <c r="D9" s="578"/>
      <c r="E9" s="578"/>
      <c r="F9" s="582"/>
      <c r="G9" s="582"/>
      <c r="H9" s="578"/>
      <c r="I9" s="582"/>
      <c r="J9" s="582"/>
      <c r="K9" s="582"/>
      <c r="L9" s="582"/>
      <c r="M9" s="579"/>
      <c r="N9" s="579"/>
    </row>
    <row r="10" spans="1:14">
      <c r="A10" s="359">
        <v>4</v>
      </c>
      <c r="B10" s="374" t="s">
        <v>487</v>
      </c>
      <c r="C10" s="580">
        <v>41445097.675300002</v>
      </c>
      <c r="D10" s="578">
        <v>35115601.646600001</v>
      </c>
      <c r="E10" s="578">
        <v>4682911.1459999997</v>
      </c>
      <c r="F10" s="582">
        <v>1646584.8827</v>
      </c>
      <c r="G10" s="582">
        <v>0</v>
      </c>
      <c r="H10" s="578">
        <v>343080.75799999997</v>
      </c>
      <c r="I10" s="582">
        <v>171332.71429999999</v>
      </c>
      <c r="J10" s="582">
        <v>13304.821599999999</v>
      </c>
      <c r="K10" s="582">
        <v>158443.22210000001</v>
      </c>
      <c r="L10" s="582">
        <v>0</v>
      </c>
      <c r="M10" s="579"/>
      <c r="N10" s="579"/>
    </row>
    <row r="11" spans="1:14">
      <c r="A11" s="359">
        <v>5</v>
      </c>
      <c r="B11" s="374" t="s">
        <v>401</v>
      </c>
      <c r="C11" s="580">
        <v>50616407.755199999</v>
      </c>
      <c r="D11" s="578">
        <v>50382553.104000002</v>
      </c>
      <c r="E11" s="578">
        <v>233854.65119999999</v>
      </c>
      <c r="F11" s="582">
        <v>0</v>
      </c>
      <c r="G11" s="582">
        <v>0</v>
      </c>
      <c r="H11" s="578">
        <v>108114.76149999999</v>
      </c>
      <c r="I11" s="582">
        <v>98072.652799999996</v>
      </c>
      <c r="J11" s="582">
        <v>10042.108700000001</v>
      </c>
      <c r="K11" s="582">
        <v>0</v>
      </c>
      <c r="L11" s="582">
        <v>0</v>
      </c>
      <c r="M11" s="579"/>
      <c r="N11" s="579"/>
    </row>
    <row r="12" spans="1:14">
      <c r="A12" s="359">
        <v>6</v>
      </c>
      <c r="B12" s="374" t="s">
        <v>402</v>
      </c>
      <c r="C12" s="580">
        <v>6884863.6528000003</v>
      </c>
      <c r="D12" s="578">
        <v>6884863.6528000003</v>
      </c>
      <c r="E12" s="578">
        <v>0</v>
      </c>
      <c r="F12" s="582">
        <v>0</v>
      </c>
      <c r="G12" s="582">
        <v>0</v>
      </c>
      <c r="H12" s="578">
        <v>29387.0432</v>
      </c>
      <c r="I12" s="582">
        <v>29387.0432</v>
      </c>
      <c r="J12" s="582">
        <v>0</v>
      </c>
      <c r="K12" s="582">
        <v>0</v>
      </c>
      <c r="L12" s="582">
        <v>0</v>
      </c>
      <c r="M12" s="579"/>
      <c r="N12" s="579"/>
    </row>
    <row r="13" spans="1:14">
      <c r="A13" s="359">
        <v>7</v>
      </c>
      <c r="B13" s="374" t="s">
        <v>403</v>
      </c>
      <c r="C13" s="580">
        <v>16836289.246599998</v>
      </c>
      <c r="D13" s="578">
        <v>16836289.246599998</v>
      </c>
      <c r="E13" s="578">
        <v>0</v>
      </c>
      <c r="F13" s="582">
        <v>0</v>
      </c>
      <c r="G13" s="582">
        <v>0</v>
      </c>
      <c r="H13" s="578">
        <v>234057.54329999999</v>
      </c>
      <c r="I13" s="582">
        <v>234057.54329999999</v>
      </c>
      <c r="J13" s="582">
        <v>0</v>
      </c>
      <c r="K13" s="582">
        <v>0</v>
      </c>
      <c r="L13" s="582">
        <v>0</v>
      </c>
      <c r="M13" s="579"/>
      <c r="N13" s="579"/>
    </row>
    <row r="14" spans="1:14">
      <c r="A14" s="359">
        <v>8</v>
      </c>
      <c r="B14" s="374" t="s">
        <v>404</v>
      </c>
      <c r="C14" s="580">
        <v>3487504.1693000002</v>
      </c>
      <c r="D14" s="578">
        <v>2437933.9789999998</v>
      </c>
      <c r="E14" s="578">
        <v>0</v>
      </c>
      <c r="F14" s="582">
        <v>1049570.1902999999</v>
      </c>
      <c r="G14" s="582">
        <v>0</v>
      </c>
      <c r="H14" s="578">
        <v>130433.27370000001</v>
      </c>
      <c r="I14" s="582">
        <v>29330.307400000002</v>
      </c>
      <c r="J14" s="582">
        <v>0</v>
      </c>
      <c r="K14" s="582">
        <v>101102.9663</v>
      </c>
      <c r="L14" s="582">
        <v>0</v>
      </c>
      <c r="M14" s="579"/>
      <c r="N14" s="579"/>
    </row>
    <row r="15" spans="1:14">
      <c r="A15" s="359">
        <v>9</v>
      </c>
      <c r="B15" s="374" t="s">
        <v>405</v>
      </c>
      <c r="C15" s="580">
        <v>2925579.7056999998</v>
      </c>
      <c r="D15" s="578">
        <v>2925579.7056999998</v>
      </c>
      <c r="E15" s="578">
        <v>0</v>
      </c>
      <c r="F15" s="582">
        <v>0</v>
      </c>
      <c r="G15" s="582">
        <v>0</v>
      </c>
      <c r="H15" s="578">
        <v>6407.3870999999999</v>
      </c>
      <c r="I15" s="582">
        <v>6407.3870999999999</v>
      </c>
      <c r="J15" s="582">
        <v>0</v>
      </c>
      <c r="K15" s="582">
        <v>0</v>
      </c>
      <c r="L15" s="582">
        <v>0</v>
      </c>
      <c r="M15" s="579"/>
      <c r="N15" s="579"/>
    </row>
    <row r="16" spans="1:14">
      <c r="A16" s="359">
        <v>10</v>
      </c>
      <c r="B16" s="374" t="s">
        <v>406</v>
      </c>
      <c r="C16" s="580">
        <v>991584.44990000001</v>
      </c>
      <c r="D16" s="578">
        <v>991584.44990000001</v>
      </c>
      <c r="E16" s="578">
        <v>0</v>
      </c>
      <c r="F16" s="582">
        <v>0</v>
      </c>
      <c r="G16" s="582">
        <v>0</v>
      </c>
      <c r="H16" s="578">
        <v>3478.7509</v>
      </c>
      <c r="I16" s="582">
        <v>3478.7509</v>
      </c>
      <c r="J16" s="582">
        <v>0</v>
      </c>
      <c r="K16" s="582">
        <v>0</v>
      </c>
      <c r="L16" s="582">
        <v>0</v>
      </c>
      <c r="M16" s="579"/>
      <c r="N16" s="579"/>
    </row>
    <row r="17" spans="1:14">
      <c r="A17" s="359">
        <v>11</v>
      </c>
      <c r="B17" s="374" t="s">
        <v>407</v>
      </c>
      <c r="C17" s="580"/>
      <c r="D17" s="578"/>
      <c r="E17" s="578"/>
      <c r="F17" s="582"/>
      <c r="G17" s="582"/>
      <c r="H17" s="578"/>
      <c r="I17" s="582"/>
      <c r="J17" s="582"/>
      <c r="K17" s="582"/>
      <c r="L17" s="582"/>
      <c r="M17" s="579"/>
      <c r="N17" s="579"/>
    </row>
    <row r="18" spans="1:14">
      <c r="A18" s="359">
        <v>12</v>
      </c>
      <c r="B18" s="374" t="s">
        <v>408</v>
      </c>
      <c r="C18" s="580">
        <v>17166473.2212</v>
      </c>
      <c r="D18" s="578">
        <v>17165833.541200001</v>
      </c>
      <c r="E18" s="578">
        <v>0</v>
      </c>
      <c r="F18" s="582">
        <v>639.67999999999995</v>
      </c>
      <c r="G18" s="582">
        <v>0</v>
      </c>
      <c r="H18" s="578">
        <v>120864.9823</v>
      </c>
      <c r="I18" s="582">
        <v>120225.3023</v>
      </c>
      <c r="J18" s="582">
        <v>0</v>
      </c>
      <c r="K18" s="582">
        <v>639.67999999999995</v>
      </c>
      <c r="L18" s="582">
        <v>0</v>
      </c>
      <c r="M18" s="579"/>
      <c r="N18" s="579"/>
    </row>
    <row r="19" spans="1:14">
      <c r="A19" s="359">
        <v>13</v>
      </c>
      <c r="B19" s="374" t="s">
        <v>409</v>
      </c>
      <c r="C19" s="580">
        <v>1589085.3524</v>
      </c>
      <c r="D19" s="578">
        <v>1140121.6794</v>
      </c>
      <c r="E19" s="578">
        <v>0</v>
      </c>
      <c r="F19" s="582">
        <v>448963.67300000001</v>
      </c>
      <c r="G19" s="582">
        <v>0</v>
      </c>
      <c r="H19" s="578">
        <v>48642.279799999997</v>
      </c>
      <c r="I19" s="582">
        <v>5849.3590999999997</v>
      </c>
      <c r="J19" s="582">
        <v>0</v>
      </c>
      <c r="K19" s="582">
        <v>42792.920700000002</v>
      </c>
      <c r="L19" s="582">
        <v>0</v>
      </c>
      <c r="M19" s="579"/>
      <c r="N19" s="579"/>
    </row>
    <row r="20" spans="1:14">
      <c r="A20" s="359">
        <v>14</v>
      </c>
      <c r="B20" s="374" t="s">
        <v>410</v>
      </c>
      <c r="C20" s="580">
        <v>7890465.8054</v>
      </c>
      <c r="D20" s="578">
        <v>4638436.9139</v>
      </c>
      <c r="E20" s="578">
        <v>935192.55039999995</v>
      </c>
      <c r="F20" s="582">
        <v>2316836.3410999998</v>
      </c>
      <c r="G20" s="582">
        <v>0</v>
      </c>
      <c r="H20" s="578">
        <v>397432.14010000002</v>
      </c>
      <c r="I20" s="582">
        <v>4615.5682999999999</v>
      </c>
      <c r="J20" s="582">
        <v>178859.3835</v>
      </c>
      <c r="K20" s="582">
        <v>213957.18830000001</v>
      </c>
      <c r="L20" s="582">
        <v>0</v>
      </c>
      <c r="M20" s="579"/>
      <c r="N20" s="579"/>
    </row>
    <row r="21" spans="1:14">
      <c r="A21" s="359">
        <v>15</v>
      </c>
      <c r="B21" s="374" t="s">
        <v>411</v>
      </c>
      <c r="C21" s="580">
        <v>24616318.633000001</v>
      </c>
      <c r="D21" s="578">
        <v>14988365.398</v>
      </c>
      <c r="E21" s="578">
        <v>0</v>
      </c>
      <c r="F21" s="582">
        <v>9627953.2349999994</v>
      </c>
      <c r="G21" s="582">
        <v>0</v>
      </c>
      <c r="H21" s="578">
        <v>1644875.1272</v>
      </c>
      <c r="I21" s="582">
        <v>57718.897599999997</v>
      </c>
      <c r="J21" s="582">
        <v>0</v>
      </c>
      <c r="K21" s="582">
        <v>1587156.2296</v>
      </c>
      <c r="L21" s="582">
        <v>0</v>
      </c>
      <c r="M21" s="579"/>
      <c r="N21" s="579"/>
    </row>
    <row r="22" spans="1:14">
      <c r="A22" s="359">
        <v>16</v>
      </c>
      <c r="B22" s="374" t="s">
        <v>412</v>
      </c>
      <c r="C22" s="580"/>
      <c r="D22" s="578"/>
      <c r="E22" s="578"/>
      <c r="F22" s="582"/>
      <c r="G22" s="582"/>
      <c r="H22" s="578"/>
      <c r="I22" s="582"/>
      <c r="J22" s="582"/>
      <c r="K22" s="582"/>
      <c r="L22" s="582"/>
      <c r="M22" s="579"/>
      <c r="N22" s="579"/>
    </row>
    <row r="23" spans="1:14">
      <c r="A23" s="359">
        <v>17</v>
      </c>
      <c r="B23" s="374" t="s">
        <v>490</v>
      </c>
      <c r="C23" s="580">
        <v>8610719.8822000008</v>
      </c>
      <c r="D23" s="578">
        <v>8060449.4000000004</v>
      </c>
      <c r="E23" s="578">
        <v>550270.48219999997</v>
      </c>
      <c r="F23" s="582">
        <v>0</v>
      </c>
      <c r="G23" s="582">
        <v>0</v>
      </c>
      <c r="H23" s="578">
        <v>35160.561399999999</v>
      </c>
      <c r="I23" s="582">
        <v>34827.317600000002</v>
      </c>
      <c r="J23" s="582">
        <v>333.24380000000002</v>
      </c>
      <c r="K23" s="582">
        <v>0</v>
      </c>
      <c r="L23" s="582">
        <v>0</v>
      </c>
      <c r="M23" s="579"/>
      <c r="N23" s="579"/>
    </row>
    <row r="24" spans="1:14">
      <c r="A24" s="359">
        <v>18</v>
      </c>
      <c r="B24" s="374" t="s">
        <v>413</v>
      </c>
      <c r="C24" s="580">
        <v>110902341.08670001</v>
      </c>
      <c r="D24" s="578">
        <v>110902341.08670001</v>
      </c>
      <c r="E24" s="578">
        <v>0</v>
      </c>
      <c r="F24" s="582">
        <v>0</v>
      </c>
      <c r="G24" s="582">
        <v>0</v>
      </c>
      <c r="H24" s="578">
        <v>590325.75139999995</v>
      </c>
      <c r="I24" s="582">
        <v>590325.75139999995</v>
      </c>
      <c r="J24" s="582">
        <v>0</v>
      </c>
      <c r="K24" s="582">
        <v>0</v>
      </c>
      <c r="L24" s="582">
        <v>0</v>
      </c>
      <c r="M24" s="579"/>
      <c r="N24" s="579"/>
    </row>
    <row r="25" spans="1:14">
      <c r="A25" s="359">
        <v>19</v>
      </c>
      <c r="B25" s="374" t="s">
        <v>414</v>
      </c>
      <c r="C25" s="580"/>
      <c r="D25" s="578"/>
      <c r="E25" s="578"/>
      <c r="F25" s="582"/>
      <c r="G25" s="582"/>
      <c r="H25" s="578"/>
      <c r="I25" s="582"/>
      <c r="J25" s="582"/>
      <c r="K25" s="582"/>
      <c r="L25" s="582"/>
      <c r="M25" s="579"/>
      <c r="N25" s="579"/>
    </row>
    <row r="26" spans="1:14">
      <c r="A26" s="359">
        <v>20</v>
      </c>
      <c r="B26" s="374" t="s">
        <v>489</v>
      </c>
      <c r="C26" s="580">
        <v>7201467.0756000001</v>
      </c>
      <c r="D26" s="578">
        <v>7201467.0756000001</v>
      </c>
      <c r="E26" s="578">
        <v>0</v>
      </c>
      <c r="F26" s="582">
        <v>0</v>
      </c>
      <c r="G26" s="582">
        <v>0</v>
      </c>
      <c r="H26" s="578">
        <v>143755.8358</v>
      </c>
      <c r="I26" s="582">
        <v>143755.8358</v>
      </c>
      <c r="J26" s="582">
        <v>0</v>
      </c>
      <c r="K26" s="582">
        <v>0</v>
      </c>
      <c r="L26" s="582">
        <v>0</v>
      </c>
      <c r="M26" s="579"/>
      <c r="N26" s="579"/>
    </row>
    <row r="27" spans="1:14">
      <c r="A27" s="359">
        <v>21</v>
      </c>
      <c r="B27" s="374" t="s">
        <v>415</v>
      </c>
      <c r="C27" s="580"/>
      <c r="D27" s="578"/>
      <c r="E27" s="578"/>
      <c r="F27" s="582"/>
      <c r="G27" s="582"/>
      <c r="H27" s="578"/>
      <c r="I27" s="582"/>
      <c r="J27" s="582"/>
      <c r="K27" s="582"/>
      <c r="L27" s="582"/>
      <c r="M27" s="579"/>
      <c r="N27" s="579"/>
    </row>
    <row r="28" spans="1:14">
      <c r="A28" s="359">
        <v>22</v>
      </c>
      <c r="B28" s="374" t="s">
        <v>416</v>
      </c>
      <c r="C28" s="580">
        <v>16252844.8664</v>
      </c>
      <c r="D28" s="578">
        <v>16252844.8664</v>
      </c>
      <c r="E28" s="578">
        <v>0</v>
      </c>
      <c r="F28" s="582">
        <v>0</v>
      </c>
      <c r="G28" s="582">
        <v>0</v>
      </c>
      <c r="H28" s="578">
        <v>261799.9333</v>
      </c>
      <c r="I28" s="582">
        <v>261799.9333</v>
      </c>
      <c r="J28" s="582">
        <v>0</v>
      </c>
      <c r="K28" s="582">
        <v>0</v>
      </c>
      <c r="L28" s="582">
        <v>0</v>
      </c>
      <c r="M28" s="579"/>
      <c r="N28" s="579"/>
    </row>
    <row r="29" spans="1:14">
      <c r="A29" s="359">
        <v>23</v>
      </c>
      <c r="B29" s="374" t="s">
        <v>417</v>
      </c>
      <c r="C29" s="580">
        <v>10451307.263900001</v>
      </c>
      <c r="D29" s="578">
        <v>8636332.1322000008</v>
      </c>
      <c r="E29" s="578">
        <v>0</v>
      </c>
      <c r="F29" s="582">
        <v>1814975.1317</v>
      </c>
      <c r="G29" s="582">
        <v>0</v>
      </c>
      <c r="H29" s="578">
        <v>175085.29509999999</v>
      </c>
      <c r="I29" s="582">
        <v>2603.0837000000001</v>
      </c>
      <c r="J29" s="582">
        <v>0</v>
      </c>
      <c r="K29" s="582">
        <v>172482.2114</v>
      </c>
      <c r="L29" s="582">
        <v>0</v>
      </c>
      <c r="M29" s="579"/>
      <c r="N29" s="579"/>
    </row>
    <row r="30" spans="1:14">
      <c r="A30" s="359">
        <v>24</v>
      </c>
      <c r="B30" s="374" t="s">
        <v>488</v>
      </c>
      <c r="C30" s="580">
        <v>16683013.4301</v>
      </c>
      <c r="D30" s="578">
        <v>6303424.9199999999</v>
      </c>
      <c r="E30" s="578">
        <v>7740997.4420999996</v>
      </c>
      <c r="F30" s="582">
        <v>0</v>
      </c>
      <c r="G30" s="582">
        <v>2638591.068</v>
      </c>
      <c r="H30" s="578">
        <v>1752404.6794</v>
      </c>
      <c r="I30" s="582">
        <v>143441.44399999999</v>
      </c>
      <c r="J30" s="582">
        <v>413756.38760000002</v>
      </c>
      <c r="K30" s="582">
        <v>0</v>
      </c>
      <c r="L30" s="582">
        <v>1195206.8478000001</v>
      </c>
      <c r="M30" s="579"/>
      <c r="N30" s="579"/>
    </row>
    <row r="31" spans="1:14">
      <c r="A31" s="359">
        <v>25</v>
      </c>
      <c r="B31" s="374" t="s">
        <v>418</v>
      </c>
      <c r="C31" s="580">
        <v>1526409.9856</v>
      </c>
      <c r="D31" s="578">
        <v>1526409.9856</v>
      </c>
      <c r="E31" s="578">
        <v>0</v>
      </c>
      <c r="F31" s="582">
        <v>0</v>
      </c>
      <c r="G31" s="582">
        <v>0</v>
      </c>
      <c r="H31" s="578">
        <v>11167.9581</v>
      </c>
      <c r="I31" s="582">
        <v>11167.9581</v>
      </c>
      <c r="J31" s="582">
        <v>0</v>
      </c>
      <c r="K31" s="582">
        <v>0</v>
      </c>
      <c r="L31" s="582">
        <v>0</v>
      </c>
      <c r="M31" s="579"/>
      <c r="N31" s="579"/>
    </row>
    <row r="32" spans="1:14">
      <c r="A32" s="359">
        <v>26</v>
      </c>
      <c r="B32" s="374" t="s">
        <v>485</v>
      </c>
      <c r="C32" s="580">
        <v>14082.141799999999</v>
      </c>
      <c r="D32" s="578">
        <v>13480.698</v>
      </c>
      <c r="E32" s="578">
        <v>0</v>
      </c>
      <c r="F32" s="582">
        <v>601.44380000000001</v>
      </c>
      <c r="G32" s="582">
        <v>0</v>
      </c>
      <c r="H32" s="578">
        <v>611.40089999999998</v>
      </c>
      <c r="I32" s="582">
        <v>351.25569999999999</v>
      </c>
      <c r="J32" s="582">
        <v>0</v>
      </c>
      <c r="K32" s="582">
        <v>260.14519999999999</v>
      </c>
      <c r="L32" s="582">
        <v>0</v>
      </c>
      <c r="M32" s="579"/>
      <c r="N32" s="579"/>
    </row>
    <row r="33" spans="1:14">
      <c r="A33" s="359">
        <v>27</v>
      </c>
      <c r="B33" s="396" t="s">
        <v>64</v>
      </c>
      <c r="C33" s="583">
        <f>SUM(C7:C32)</f>
        <v>423844512.98500001</v>
      </c>
      <c r="D33" s="583">
        <f t="shared" ref="D33:L33" si="0">SUM(D7:D32)</f>
        <v>389980663.38750005</v>
      </c>
      <c r="E33" s="583">
        <f t="shared" si="0"/>
        <v>14143226.2719</v>
      </c>
      <c r="F33" s="583">
        <f t="shared" si="0"/>
        <v>17082032.257599998</v>
      </c>
      <c r="G33" s="583">
        <f t="shared" si="0"/>
        <v>2638591.068</v>
      </c>
      <c r="H33" s="583">
        <f t="shared" si="0"/>
        <v>6565879.9479999989</v>
      </c>
      <c r="I33" s="583">
        <f t="shared" si="0"/>
        <v>2303807.8056000001</v>
      </c>
      <c r="J33" s="583">
        <f t="shared" si="0"/>
        <v>616295.94519999996</v>
      </c>
      <c r="K33" s="583">
        <f t="shared" si="0"/>
        <v>2450569.3494000002</v>
      </c>
      <c r="L33" s="583">
        <f t="shared" si="0"/>
        <v>1195206.8478000001</v>
      </c>
      <c r="M33" s="579"/>
      <c r="N33" s="579"/>
    </row>
    <row r="35" spans="1:14">
      <c r="B35" s="395"/>
      <c r="C35" s="649"/>
      <c r="D35" s="649"/>
      <c r="E35" s="649"/>
      <c r="F35" s="649"/>
      <c r="G35" s="649"/>
      <c r="H35" s="649"/>
      <c r="I35" s="649"/>
      <c r="J35" s="649"/>
      <c r="K35" s="649"/>
      <c r="L35" s="649"/>
    </row>
    <row r="36" spans="1:14">
      <c r="C36" s="649"/>
      <c r="D36" s="649"/>
      <c r="E36" s="649"/>
      <c r="F36" s="649"/>
      <c r="G36" s="649"/>
      <c r="H36" s="649"/>
      <c r="I36" s="649"/>
      <c r="J36" s="649"/>
      <c r="K36" s="649"/>
      <c r="L36" s="649"/>
    </row>
    <row r="37" spans="1:14">
      <c r="C37" s="649"/>
      <c r="D37" s="649"/>
      <c r="E37" s="649"/>
      <c r="F37" s="649"/>
      <c r="G37" s="649"/>
      <c r="H37" s="649"/>
      <c r="I37" s="649"/>
      <c r="J37" s="649"/>
      <c r="K37" s="649"/>
      <c r="L37" s="649"/>
    </row>
    <row r="38" spans="1:14">
      <c r="C38" s="649"/>
      <c r="D38" s="649"/>
      <c r="E38" s="649"/>
      <c r="F38" s="649"/>
      <c r="G38" s="649"/>
      <c r="H38" s="649"/>
      <c r="I38" s="649"/>
      <c r="J38" s="649"/>
      <c r="K38" s="649"/>
      <c r="L38" s="649"/>
    </row>
    <row r="39" spans="1:14">
      <c r="C39" s="649"/>
      <c r="D39" s="649"/>
      <c r="E39" s="649"/>
      <c r="F39" s="649"/>
      <c r="G39" s="649"/>
      <c r="H39" s="649"/>
      <c r="I39" s="649"/>
      <c r="J39" s="649"/>
      <c r="K39" s="649"/>
      <c r="L39" s="649"/>
    </row>
    <row r="40" spans="1:14">
      <c r="C40" s="649"/>
      <c r="D40" s="649"/>
      <c r="E40" s="649"/>
      <c r="F40" s="649"/>
      <c r="G40" s="649"/>
      <c r="H40" s="649"/>
      <c r="I40" s="649"/>
      <c r="J40" s="649"/>
      <c r="K40" s="649"/>
      <c r="L40" s="649"/>
    </row>
    <row r="41" spans="1:14">
      <c r="C41" s="649"/>
      <c r="D41" s="649"/>
      <c r="E41" s="649"/>
      <c r="F41" s="649"/>
      <c r="G41" s="649"/>
      <c r="H41" s="649"/>
      <c r="I41" s="649"/>
      <c r="J41" s="649"/>
      <c r="K41" s="649"/>
      <c r="L41" s="649"/>
    </row>
    <row r="42" spans="1:14">
      <c r="C42" s="649"/>
      <c r="D42" s="649"/>
      <c r="E42" s="649"/>
      <c r="F42" s="649"/>
      <c r="G42" s="649"/>
      <c r="H42" s="649"/>
      <c r="I42" s="649"/>
      <c r="J42" s="649"/>
      <c r="K42" s="649"/>
      <c r="L42" s="649"/>
    </row>
    <row r="43" spans="1:14">
      <c r="C43" s="649"/>
      <c r="D43" s="649"/>
      <c r="E43" s="649"/>
      <c r="F43" s="649"/>
      <c r="G43" s="649"/>
      <c r="H43" s="649"/>
      <c r="I43" s="649"/>
      <c r="J43" s="649"/>
      <c r="K43" s="649"/>
      <c r="L43" s="649"/>
    </row>
    <row r="44" spans="1:14">
      <c r="C44" s="649"/>
      <c r="D44" s="649"/>
      <c r="E44" s="649"/>
      <c r="F44" s="649"/>
      <c r="G44" s="649"/>
      <c r="H44" s="649"/>
      <c r="I44" s="649"/>
      <c r="J44" s="649"/>
      <c r="K44" s="649"/>
      <c r="L44" s="649"/>
    </row>
    <row r="45" spans="1:14">
      <c r="C45" s="649"/>
      <c r="D45" s="649"/>
      <c r="E45" s="649"/>
      <c r="F45" s="649"/>
      <c r="G45" s="649"/>
      <c r="H45" s="649"/>
      <c r="I45" s="649"/>
      <c r="J45" s="649"/>
      <c r="K45" s="649"/>
      <c r="L45" s="649"/>
    </row>
    <row r="46" spans="1:14">
      <c r="C46" s="649"/>
      <c r="D46" s="649"/>
      <c r="E46" s="649"/>
      <c r="F46" s="649"/>
      <c r="G46" s="649"/>
      <c r="H46" s="649"/>
      <c r="I46" s="649"/>
      <c r="J46" s="649"/>
      <c r="K46" s="649"/>
      <c r="L46" s="649"/>
    </row>
    <row r="47" spans="1:14">
      <c r="C47" s="649"/>
      <c r="D47" s="649"/>
      <c r="E47" s="649"/>
      <c r="F47" s="649"/>
      <c r="G47" s="649"/>
      <c r="H47" s="649"/>
      <c r="I47" s="649"/>
      <c r="J47" s="649"/>
      <c r="K47" s="649"/>
      <c r="L47" s="649"/>
    </row>
    <row r="48" spans="1:14">
      <c r="C48" s="649"/>
      <c r="D48" s="649"/>
      <c r="E48" s="649"/>
      <c r="F48" s="649"/>
      <c r="G48" s="649"/>
      <c r="H48" s="649"/>
      <c r="I48" s="649"/>
      <c r="J48" s="649"/>
      <c r="K48" s="649"/>
      <c r="L48" s="649"/>
    </row>
    <row r="49" spans="3:12">
      <c r="C49" s="649"/>
      <c r="D49" s="649"/>
      <c r="E49" s="649"/>
      <c r="F49" s="649"/>
      <c r="G49" s="649"/>
      <c r="H49" s="649"/>
      <c r="I49" s="649"/>
      <c r="J49" s="649"/>
      <c r="K49" s="649"/>
      <c r="L49" s="649"/>
    </row>
    <row r="50" spans="3:12">
      <c r="C50" s="649"/>
      <c r="D50" s="649"/>
      <c r="E50" s="649"/>
      <c r="F50" s="649"/>
      <c r="G50" s="649"/>
      <c r="H50" s="649"/>
      <c r="I50" s="649"/>
      <c r="J50" s="649"/>
      <c r="K50" s="649"/>
      <c r="L50" s="649"/>
    </row>
    <row r="51" spans="3:12">
      <c r="C51" s="649"/>
      <c r="D51" s="649"/>
      <c r="E51" s="649"/>
      <c r="F51" s="649"/>
      <c r="G51" s="649"/>
      <c r="H51" s="649"/>
      <c r="I51" s="649"/>
      <c r="J51" s="649"/>
      <c r="K51" s="649"/>
      <c r="L51" s="649"/>
    </row>
    <row r="52" spans="3:12">
      <c r="C52" s="649"/>
      <c r="D52" s="649"/>
      <c r="E52" s="649"/>
      <c r="F52" s="649"/>
      <c r="G52" s="649"/>
      <c r="H52" s="649"/>
      <c r="I52" s="649"/>
      <c r="J52" s="649"/>
      <c r="K52" s="649"/>
      <c r="L52" s="649"/>
    </row>
    <row r="53" spans="3:12">
      <c r="C53" s="649"/>
      <c r="D53" s="649"/>
      <c r="E53" s="649"/>
      <c r="F53" s="649"/>
      <c r="G53" s="649"/>
      <c r="H53" s="649"/>
      <c r="I53" s="649"/>
      <c r="J53" s="649"/>
      <c r="K53" s="649"/>
      <c r="L53" s="649"/>
    </row>
    <row r="54" spans="3:12">
      <c r="C54" s="649"/>
      <c r="D54" s="649"/>
      <c r="E54" s="649"/>
      <c r="F54" s="649"/>
      <c r="G54" s="649"/>
      <c r="H54" s="649"/>
      <c r="I54" s="649"/>
      <c r="J54" s="649"/>
      <c r="K54" s="649"/>
      <c r="L54" s="649"/>
    </row>
    <row r="55" spans="3:12">
      <c r="C55" s="649"/>
      <c r="D55" s="649"/>
      <c r="E55" s="649"/>
      <c r="F55" s="649"/>
      <c r="G55" s="649"/>
      <c r="H55" s="649"/>
      <c r="I55" s="649"/>
      <c r="J55" s="649"/>
      <c r="K55" s="649"/>
      <c r="L55" s="649"/>
    </row>
    <row r="56" spans="3:12">
      <c r="C56" s="649"/>
      <c r="D56" s="649"/>
      <c r="E56" s="649"/>
      <c r="F56" s="649"/>
      <c r="G56" s="649"/>
      <c r="H56" s="649"/>
      <c r="I56" s="649"/>
      <c r="J56" s="649"/>
      <c r="K56" s="649"/>
      <c r="L56" s="649"/>
    </row>
    <row r="57" spans="3:12">
      <c r="C57" s="649"/>
      <c r="D57" s="649"/>
      <c r="E57" s="649"/>
      <c r="F57" s="649"/>
      <c r="G57" s="649"/>
      <c r="H57" s="649"/>
      <c r="I57" s="649"/>
      <c r="J57" s="649"/>
      <c r="K57" s="649"/>
      <c r="L57" s="649"/>
    </row>
    <row r="58" spans="3:12">
      <c r="C58" s="649"/>
      <c r="D58" s="649"/>
      <c r="E58" s="649"/>
      <c r="F58" s="649"/>
      <c r="G58" s="649"/>
      <c r="H58" s="649"/>
      <c r="I58" s="649"/>
      <c r="J58" s="649"/>
      <c r="K58" s="649"/>
      <c r="L58" s="649"/>
    </row>
    <row r="59" spans="3:12">
      <c r="C59" s="649"/>
      <c r="D59" s="649"/>
      <c r="E59" s="649"/>
      <c r="F59" s="649"/>
      <c r="G59" s="649"/>
      <c r="H59" s="649"/>
      <c r="I59" s="649"/>
      <c r="J59" s="649"/>
      <c r="K59" s="649"/>
      <c r="L59" s="649"/>
    </row>
    <row r="60" spans="3:12">
      <c r="C60" s="649"/>
      <c r="D60" s="649"/>
      <c r="E60" s="649"/>
      <c r="F60" s="649"/>
      <c r="G60" s="649"/>
      <c r="H60" s="649"/>
      <c r="I60" s="649"/>
      <c r="J60" s="649"/>
      <c r="K60" s="649"/>
      <c r="L60" s="649"/>
    </row>
    <row r="61" spans="3:12">
      <c r="C61" s="649"/>
      <c r="D61" s="649"/>
      <c r="E61" s="649"/>
      <c r="F61" s="649"/>
      <c r="G61" s="649"/>
      <c r="H61" s="649"/>
      <c r="I61" s="649"/>
      <c r="J61" s="649"/>
      <c r="K61" s="649"/>
      <c r="L61" s="649"/>
    </row>
    <row r="62" spans="3:12">
      <c r="C62" s="649"/>
      <c r="D62" s="649"/>
      <c r="E62" s="649"/>
      <c r="F62" s="649"/>
      <c r="G62" s="649"/>
      <c r="H62" s="649"/>
      <c r="I62" s="649"/>
      <c r="J62" s="649"/>
      <c r="K62" s="649"/>
      <c r="L62" s="649"/>
    </row>
    <row r="63" spans="3:12">
      <c r="C63" s="649"/>
      <c r="D63" s="649"/>
      <c r="E63" s="649"/>
      <c r="F63" s="649"/>
      <c r="G63" s="649"/>
      <c r="H63" s="649"/>
      <c r="I63" s="649"/>
      <c r="J63" s="649"/>
      <c r="K63" s="649"/>
      <c r="L63" s="649"/>
    </row>
    <row r="64" spans="3:12">
      <c r="C64" s="649"/>
      <c r="D64" s="649"/>
      <c r="E64" s="649"/>
      <c r="F64" s="649"/>
      <c r="G64" s="649"/>
      <c r="H64" s="649"/>
      <c r="I64" s="649"/>
      <c r="J64" s="649"/>
      <c r="K64" s="649"/>
      <c r="L64" s="649"/>
    </row>
    <row r="65" spans="3:12">
      <c r="C65" s="649"/>
      <c r="D65" s="649"/>
      <c r="E65" s="649"/>
      <c r="F65" s="649"/>
      <c r="G65" s="649"/>
      <c r="H65" s="649"/>
      <c r="I65" s="649"/>
      <c r="J65" s="649"/>
      <c r="K65" s="649"/>
      <c r="L65" s="649"/>
    </row>
    <row r="66" spans="3:12">
      <c r="C66" s="649"/>
      <c r="D66" s="649"/>
      <c r="E66" s="649"/>
      <c r="F66" s="649"/>
      <c r="G66" s="649"/>
      <c r="H66" s="649"/>
      <c r="I66" s="649"/>
      <c r="J66" s="649"/>
      <c r="K66" s="649"/>
      <c r="L66" s="649"/>
    </row>
    <row r="67" spans="3:12">
      <c r="C67" s="649"/>
      <c r="D67" s="649"/>
      <c r="E67" s="649"/>
      <c r="F67" s="649"/>
      <c r="G67" s="649"/>
      <c r="H67" s="649"/>
      <c r="I67" s="649"/>
      <c r="J67" s="649"/>
      <c r="K67" s="649"/>
      <c r="L67" s="649"/>
    </row>
    <row r="68" spans="3:12">
      <c r="C68" s="649"/>
      <c r="D68" s="649"/>
      <c r="E68" s="649"/>
      <c r="F68" s="649"/>
      <c r="G68" s="649"/>
      <c r="H68" s="649"/>
      <c r="I68" s="649"/>
      <c r="J68" s="649"/>
      <c r="K68" s="649"/>
      <c r="L68" s="649"/>
    </row>
    <row r="69" spans="3:12">
      <c r="C69" s="649"/>
      <c r="D69" s="649"/>
      <c r="E69" s="649"/>
      <c r="F69" s="649"/>
      <c r="G69" s="649"/>
      <c r="H69" s="649"/>
      <c r="I69" s="649"/>
      <c r="J69" s="649"/>
      <c r="K69" s="649"/>
      <c r="L69" s="649"/>
    </row>
    <row r="70" spans="3:12">
      <c r="C70" s="649"/>
      <c r="D70" s="649"/>
      <c r="E70" s="649"/>
      <c r="F70" s="649"/>
      <c r="G70" s="649"/>
      <c r="H70" s="649"/>
      <c r="I70" s="649"/>
      <c r="J70" s="649"/>
      <c r="K70" s="649"/>
      <c r="L70" s="649"/>
    </row>
    <row r="71" spans="3:12">
      <c r="C71" s="649"/>
      <c r="D71" s="649"/>
      <c r="E71" s="649"/>
      <c r="F71" s="649"/>
      <c r="G71" s="649"/>
      <c r="H71" s="649"/>
      <c r="I71" s="649"/>
      <c r="J71" s="649"/>
      <c r="K71" s="649"/>
      <c r="L71" s="649"/>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paperSize="9" scale="29" orientation="portrait" horizontalDpi="300" verticalDpi="300" r:id="rId1"/>
  <headerFooter>
    <oddFooter>&amp;C_x000D_&amp;1#&amp;"Aptos"&amp;10&amp;K000000 C4 - EXTERNAL CONFIDENTIAL</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K19"/>
  <sheetViews>
    <sheetView showGridLines="0" zoomScale="80" zoomScaleNormal="80" workbookViewId="0">
      <selection activeCell="F24" sqref="F24"/>
    </sheetView>
  </sheetViews>
  <sheetFormatPr defaultColWidth="8.77734375" defaultRowHeight="12"/>
  <cols>
    <col min="1" max="1" width="11.77734375" style="397" bestFit="1" customWidth="1"/>
    <col min="2" max="2" width="68.77734375" style="397" customWidth="1"/>
    <col min="3" max="11" width="28.21875" style="397" customWidth="1"/>
    <col min="12" max="16384" width="8.77734375" style="397"/>
  </cols>
  <sheetData>
    <row r="1" spans="1:11" s="370" customFormat="1" ht="13.8">
      <c r="A1" s="295" t="s">
        <v>30</v>
      </c>
      <c r="B1" s="357" t="str">
        <f>'Info '!C2</f>
        <v xml:space="preserve">PASHA Bank Georgia JSC </v>
      </c>
    </row>
    <row r="2" spans="1:11" s="370" customFormat="1">
      <c r="A2" s="295" t="s">
        <v>31</v>
      </c>
      <c r="B2" s="356">
        <f>'1. key ratios '!B2</f>
        <v>46112</v>
      </c>
    </row>
    <row r="3" spans="1:11" s="370" customFormat="1" ht="13.8" customHeight="1">
      <c r="A3" s="296" t="s">
        <v>468</v>
      </c>
    </row>
    <row r="4" spans="1:11" ht="13.8" customHeight="1">
      <c r="C4" s="400" t="s">
        <v>662</v>
      </c>
      <c r="D4" s="400" t="s">
        <v>661</v>
      </c>
      <c r="E4" s="400" t="s">
        <v>660</v>
      </c>
      <c r="F4" s="400" t="s">
        <v>659</v>
      </c>
      <c r="G4" s="400" t="s">
        <v>658</v>
      </c>
      <c r="H4" s="400" t="s">
        <v>657</v>
      </c>
      <c r="I4" s="400" t="s">
        <v>656</v>
      </c>
      <c r="J4" s="400" t="s">
        <v>655</v>
      </c>
      <c r="K4" s="400" t="s">
        <v>654</v>
      </c>
    </row>
    <row r="5" spans="1:11" ht="103.95" customHeight="1">
      <c r="A5" s="845" t="s">
        <v>653</v>
      </c>
      <c r="B5" s="846"/>
      <c r="C5" s="399" t="s">
        <v>469</v>
      </c>
      <c r="D5" s="399" t="s">
        <v>470</v>
      </c>
      <c r="E5" s="399" t="s">
        <v>471</v>
      </c>
      <c r="F5" s="399" t="s">
        <v>472</v>
      </c>
      <c r="G5" s="399" t="s">
        <v>473</v>
      </c>
      <c r="H5" s="399" t="s">
        <v>474</v>
      </c>
      <c r="I5" s="399" t="s">
        <v>475</v>
      </c>
      <c r="J5" s="399" t="s">
        <v>476</v>
      </c>
      <c r="K5" s="399" t="s">
        <v>477</v>
      </c>
    </row>
    <row r="6" spans="1:11">
      <c r="A6" s="359">
        <v>1</v>
      </c>
      <c r="B6" s="359" t="s">
        <v>437</v>
      </c>
      <c r="C6" s="574">
        <v>55785575.488499999</v>
      </c>
      <c r="D6" s="574"/>
      <c r="E6" s="574"/>
      <c r="F6" s="574"/>
      <c r="G6" s="574">
        <v>235143516.5966</v>
      </c>
      <c r="H6" s="574"/>
      <c r="I6" s="574">
        <v>60206998.331699997</v>
      </c>
      <c r="J6" s="574">
        <v>12632804.135600001</v>
      </c>
      <c r="K6" s="574">
        <v>60075618.432599999</v>
      </c>
    </row>
    <row r="7" spans="1:11">
      <c r="A7" s="359">
        <v>2</v>
      </c>
      <c r="B7" s="359" t="s">
        <v>478</v>
      </c>
      <c r="C7" s="574"/>
      <c r="D7" s="574"/>
      <c r="E7" s="574"/>
      <c r="F7" s="574"/>
      <c r="G7" s="574">
        <v>3095933.4934999999</v>
      </c>
      <c r="H7" s="574"/>
      <c r="I7" s="574">
        <v>40439091.68</v>
      </c>
      <c r="J7" s="574">
        <v>0</v>
      </c>
      <c r="K7" s="574">
        <v>55373195.380000003</v>
      </c>
    </row>
    <row r="8" spans="1:11">
      <c r="A8" s="359">
        <v>3</v>
      </c>
      <c r="B8" s="359" t="s">
        <v>445</v>
      </c>
      <c r="C8" s="574">
        <v>778016.01399999997</v>
      </c>
      <c r="D8" s="574"/>
      <c r="E8" s="574">
        <v>41607.159200000002</v>
      </c>
      <c r="F8" s="574"/>
      <c r="G8" s="574">
        <v>25252946.5086</v>
      </c>
      <c r="H8" s="574"/>
      <c r="I8" s="574">
        <v>6385481.8953</v>
      </c>
      <c r="J8" s="574">
        <v>11383144.7301</v>
      </c>
      <c r="K8" s="574">
        <v>55633254.110799998</v>
      </c>
    </row>
    <row r="9" spans="1:11">
      <c r="A9" s="359">
        <v>4</v>
      </c>
      <c r="B9" s="379" t="s">
        <v>479</v>
      </c>
      <c r="C9" s="603"/>
      <c r="D9" s="603"/>
      <c r="E9" s="603"/>
      <c r="F9" s="603"/>
      <c r="G9" s="603">
        <v>18872839.422699999</v>
      </c>
      <c r="H9" s="603"/>
      <c r="I9" s="603">
        <v>16.116599999999998</v>
      </c>
      <c r="J9" s="603">
        <v>650957.10309999995</v>
      </c>
      <c r="K9" s="603">
        <v>196810.6832</v>
      </c>
    </row>
    <row r="10" spans="1:11">
      <c r="A10" s="359">
        <v>5</v>
      </c>
      <c r="B10" s="379" t="s">
        <v>480</v>
      </c>
      <c r="C10" s="603"/>
      <c r="D10" s="603"/>
      <c r="E10" s="603"/>
      <c r="F10" s="603"/>
      <c r="G10" s="603"/>
      <c r="H10" s="603"/>
      <c r="I10" s="603"/>
      <c r="J10" s="603"/>
      <c r="K10" s="603"/>
    </row>
    <row r="11" spans="1:11">
      <c r="A11" s="359">
        <v>6</v>
      </c>
      <c r="B11" s="379" t="s">
        <v>481</v>
      </c>
      <c r="C11" s="603">
        <v>0</v>
      </c>
      <c r="D11" s="603"/>
      <c r="E11" s="603"/>
      <c r="F11" s="603"/>
      <c r="G11" s="603">
        <v>0</v>
      </c>
      <c r="H11" s="603"/>
      <c r="I11" s="603">
        <v>0</v>
      </c>
      <c r="J11" s="603">
        <v>0</v>
      </c>
      <c r="K11" s="603">
        <v>88700</v>
      </c>
    </row>
    <row r="13" spans="1:11" ht="13.8">
      <c r="B13" s="398"/>
      <c r="C13" s="650"/>
      <c r="D13" s="650"/>
      <c r="E13" s="650"/>
      <c r="F13" s="650"/>
      <c r="G13" s="650"/>
      <c r="H13" s="650"/>
      <c r="I13" s="650"/>
      <c r="J13" s="650"/>
      <c r="K13" s="650"/>
    </row>
    <row r="14" spans="1:11">
      <c r="C14" s="650"/>
      <c r="D14" s="650"/>
      <c r="E14" s="650"/>
      <c r="F14" s="650"/>
      <c r="G14" s="650"/>
      <c r="H14" s="650"/>
      <c r="I14" s="650"/>
      <c r="J14" s="650"/>
      <c r="K14" s="650"/>
    </row>
    <row r="15" spans="1:11">
      <c r="C15" s="650"/>
      <c r="D15" s="650"/>
      <c r="E15" s="650"/>
      <c r="F15" s="650"/>
      <c r="G15" s="650"/>
      <c r="H15" s="650"/>
      <c r="I15" s="650"/>
      <c r="J15" s="650"/>
      <c r="K15" s="650"/>
    </row>
    <row r="16" spans="1:11">
      <c r="C16" s="650"/>
      <c r="D16" s="650"/>
      <c r="E16" s="650"/>
      <c r="F16" s="650"/>
      <c r="G16" s="650"/>
      <c r="H16" s="650"/>
      <c r="I16" s="650"/>
      <c r="J16" s="650"/>
      <c r="K16" s="650"/>
    </row>
    <row r="17" spans="3:11">
      <c r="C17" s="650"/>
      <c r="D17" s="650"/>
      <c r="E17" s="650"/>
      <c r="F17" s="650"/>
      <c r="G17" s="650"/>
      <c r="H17" s="650"/>
      <c r="I17" s="650"/>
      <c r="J17" s="650"/>
      <c r="K17" s="650"/>
    </row>
    <row r="18" spans="3:11">
      <c r="C18" s="650"/>
      <c r="D18" s="650"/>
      <c r="E18" s="650"/>
      <c r="F18" s="650"/>
      <c r="G18" s="650"/>
      <c r="H18" s="650"/>
      <c r="I18" s="650"/>
      <c r="J18" s="650"/>
      <c r="K18" s="650"/>
    </row>
    <row r="19" spans="3:11">
      <c r="C19" s="650"/>
      <c r="D19" s="650"/>
      <c r="E19" s="650"/>
      <c r="F19" s="650"/>
      <c r="G19" s="650"/>
      <c r="H19" s="650"/>
      <c r="I19" s="650"/>
      <c r="J19" s="650"/>
      <c r="K19" s="650"/>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paperSize="9" scale="26" orientation="portrait" horizontalDpi="300" verticalDpi="300" r:id="rId1"/>
  <headerFooter>
    <oddFooter>&amp;C_x000D_&amp;1#&amp;"Aptos"&amp;10&amp;K000000 C4 - EXTERNAL CONFIDENTIAL</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6"/>
  <sheetViews>
    <sheetView showGridLines="0" zoomScale="80" zoomScaleNormal="80" workbookViewId="0">
      <selection activeCell="E3" sqref="E3"/>
    </sheetView>
  </sheetViews>
  <sheetFormatPr defaultColWidth="8.77734375" defaultRowHeight="14.4"/>
  <cols>
    <col min="1" max="1" width="12.21875" style="401" customWidth="1"/>
    <col min="2" max="2" width="71.77734375" style="401" customWidth="1"/>
    <col min="3" max="3" width="10.6640625" style="401" bestFit="1" customWidth="1"/>
    <col min="4" max="7" width="15.5546875" style="401" customWidth="1"/>
    <col min="8" max="8" width="10.6640625" style="401" bestFit="1" customWidth="1"/>
    <col min="9" max="12" width="17.21875" style="401" customWidth="1"/>
    <col min="13" max="13" width="10.6640625" style="401" bestFit="1" customWidth="1"/>
    <col min="14" max="17" width="16.21875" style="401" customWidth="1"/>
    <col min="18" max="18" width="12.21875" style="401" bestFit="1" customWidth="1"/>
    <col min="19" max="19" width="46.88671875" style="401" bestFit="1" customWidth="1"/>
    <col min="20" max="20" width="43.44140625" style="401" bestFit="1" customWidth="1"/>
    <col min="21" max="21" width="45.88671875" style="401" bestFit="1" customWidth="1"/>
    <col min="22" max="22" width="43.33203125" style="401" bestFit="1" customWidth="1"/>
    <col min="23" max="16384" width="8.77734375" style="401"/>
  </cols>
  <sheetData>
    <row r="1" spans="1:22">
      <c r="A1" s="295" t="s">
        <v>30</v>
      </c>
      <c r="B1" s="357" t="str">
        <f>'Info '!C2</f>
        <v xml:space="preserve">PASHA Bank Georgia JSC </v>
      </c>
    </row>
    <row r="2" spans="1:22">
      <c r="A2" s="295" t="s">
        <v>31</v>
      </c>
      <c r="B2" s="356">
        <f>'1. key ratios '!B2</f>
        <v>46112</v>
      </c>
    </row>
    <row r="3" spans="1:22">
      <c r="A3" s="296" t="s">
        <v>496</v>
      </c>
      <c r="B3" s="370"/>
    </row>
    <row r="4" spans="1:22">
      <c r="A4" s="296"/>
      <c r="B4" s="370"/>
    </row>
    <row r="5" spans="1:22" ht="24" customHeight="1">
      <c r="A5" s="719" t="s">
        <v>497</v>
      </c>
      <c r="B5" s="720"/>
      <c r="C5" s="724" t="s">
        <v>663</v>
      </c>
      <c r="D5" s="724"/>
      <c r="E5" s="724"/>
      <c r="F5" s="724"/>
      <c r="G5" s="724"/>
      <c r="H5" s="724" t="s">
        <v>515</v>
      </c>
      <c r="I5" s="724"/>
      <c r="J5" s="724"/>
      <c r="K5" s="724"/>
      <c r="L5" s="724"/>
      <c r="M5" s="724" t="s">
        <v>627</v>
      </c>
      <c r="N5" s="724"/>
      <c r="O5" s="724"/>
      <c r="P5" s="724"/>
      <c r="Q5" s="724"/>
      <c r="R5" s="723" t="s">
        <v>498</v>
      </c>
      <c r="S5" s="723" t="s">
        <v>512</v>
      </c>
      <c r="T5" s="723" t="s">
        <v>513</v>
      </c>
      <c r="U5" s="723" t="s">
        <v>672</v>
      </c>
      <c r="V5" s="723" t="s">
        <v>673</v>
      </c>
    </row>
    <row r="6" spans="1:22" ht="36" customHeight="1">
      <c r="A6" s="721"/>
      <c r="B6" s="722"/>
      <c r="C6" s="406"/>
      <c r="D6" s="368" t="s">
        <v>648</v>
      </c>
      <c r="E6" s="368" t="s">
        <v>647</v>
      </c>
      <c r="F6" s="368" t="s">
        <v>646</v>
      </c>
      <c r="G6" s="368" t="s">
        <v>645</v>
      </c>
      <c r="H6" s="406"/>
      <c r="I6" s="368" t="s">
        <v>648</v>
      </c>
      <c r="J6" s="368" t="s">
        <v>647</v>
      </c>
      <c r="K6" s="368" t="s">
        <v>646</v>
      </c>
      <c r="L6" s="368" t="s">
        <v>645</v>
      </c>
      <c r="M6" s="406"/>
      <c r="N6" s="368" t="s">
        <v>648</v>
      </c>
      <c r="O6" s="368" t="s">
        <v>647</v>
      </c>
      <c r="P6" s="368" t="s">
        <v>646</v>
      </c>
      <c r="Q6" s="368" t="s">
        <v>645</v>
      </c>
      <c r="R6" s="723"/>
      <c r="S6" s="723"/>
      <c r="T6" s="723"/>
      <c r="U6" s="723"/>
      <c r="V6" s="723"/>
    </row>
    <row r="7" spans="1:22" s="708" customFormat="1" ht="21" customHeight="1">
      <c r="A7" s="703">
        <v>1</v>
      </c>
      <c r="B7" s="405" t="s">
        <v>506</v>
      </c>
      <c r="C7" s="704"/>
      <c r="D7" s="705"/>
      <c r="E7" s="705"/>
      <c r="F7" s="705"/>
      <c r="G7" s="705"/>
      <c r="H7" s="705"/>
      <c r="I7" s="705"/>
      <c r="J7" s="705"/>
      <c r="K7" s="705"/>
      <c r="L7" s="705"/>
      <c r="M7" s="705"/>
      <c r="N7" s="705"/>
      <c r="O7" s="705"/>
      <c r="P7" s="705"/>
      <c r="Q7" s="705"/>
      <c r="R7" s="705">
        <v>0</v>
      </c>
      <c r="S7" s="706"/>
      <c r="T7" s="706"/>
      <c r="U7" s="706"/>
      <c r="V7" s="707"/>
    </row>
    <row r="8" spans="1:22" s="708" customFormat="1" ht="21" customHeight="1">
      <c r="A8" s="703">
        <v>2</v>
      </c>
      <c r="B8" s="404" t="s">
        <v>505</v>
      </c>
      <c r="C8" s="704">
        <v>239690.45</v>
      </c>
      <c r="D8" s="705">
        <v>226143.24</v>
      </c>
      <c r="E8" s="705">
        <v>0</v>
      </c>
      <c r="F8" s="705">
        <v>13547.21</v>
      </c>
      <c r="G8" s="705"/>
      <c r="H8" s="705">
        <v>252380.72</v>
      </c>
      <c r="I8" s="705">
        <v>238461.04</v>
      </c>
      <c r="J8" s="705">
        <v>0</v>
      </c>
      <c r="K8" s="705">
        <v>13919.68</v>
      </c>
      <c r="L8" s="705"/>
      <c r="M8" s="705">
        <v>12528.0967</v>
      </c>
      <c r="N8" s="705">
        <v>781.31089999999995</v>
      </c>
      <c r="O8" s="705">
        <v>0</v>
      </c>
      <c r="P8" s="705">
        <v>11746.7858</v>
      </c>
      <c r="Q8" s="705"/>
      <c r="R8" s="705">
        <v>15</v>
      </c>
      <c r="S8" s="709"/>
      <c r="T8" s="709"/>
      <c r="U8" s="709">
        <v>0.1293</v>
      </c>
      <c r="V8" s="707">
        <v>8.4479000000000006</v>
      </c>
    </row>
    <row r="9" spans="1:22" s="708" customFormat="1" ht="21" customHeight="1">
      <c r="A9" s="703">
        <v>3</v>
      </c>
      <c r="B9" s="404" t="s">
        <v>504</v>
      </c>
      <c r="C9" s="704"/>
      <c r="D9" s="705"/>
      <c r="E9" s="705"/>
      <c r="F9" s="705"/>
      <c r="G9" s="705"/>
      <c r="H9" s="705"/>
      <c r="I9" s="705"/>
      <c r="J9" s="705"/>
      <c r="K9" s="705"/>
      <c r="L9" s="705"/>
      <c r="M9" s="705"/>
      <c r="N9" s="705"/>
      <c r="O9" s="705"/>
      <c r="P9" s="705"/>
      <c r="Q9" s="705"/>
      <c r="R9" s="705">
        <v>0</v>
      </c>
      <c r="S9" s="709"/>
      <c r="T9" s="709"/>
      <c r="U9" s="709"/>
      <c r="V9" s="707"/>
    </row>
    <row r="10" spans="1:22" s="708" customFormat="1" ht="21" customHeight="1">
      <c r="A10" s="703">
        <v>4</v>
      </c>
      <c r="B10" s="404" t="s">
        <v>503</v>
      </c>
      <c r="C10" s="704"/>
      <c r="D10" s="705"/>
      <c r="E10" s="705"/>
      <c r="F10" s="705"/>
      <c r="G10" s="705"/>
      <c r="H10" s="705"/>
      <c r="I10" s="705"/>
      <c r="J10" s="705"/>
      <c r="K10" s="705"/>
      <c r="L10" s="705"/>
      <c r="M10" s="705"/>
      <c r="N10" s="705"/>
      <c r="O10" s="705"/>
      <c r="P10" s="705"/>
      <c r="Q10" s="705"/>
      <c r="R10" s="705">
        <v>0</v>
      </c>
      <c r="S10" s="709"/>
      <c r="T10" s="709"/>
      <c r="U10" s="709"/>
      <c r="V10" s="707"/>
    </row>
    <row r="11" spans="1:22" s="708" customFormat="1" ht="21" customHeight="1">
      <c r="A11" s="703">
        <v>5</v>
      </c>
      <c r="B11" s="404" t="s">
        <v>502</v>
      </c>
      <c r="C11" s="704">
        <v>3656.8818000000001</v>
      </c>
      <c r="D11" s="705">
        <v>2415.7579999999998</v>
      </c>
      <c r="E11" s="705">
        <v>0</v>
      </c>
      <c r="F11" s="705">
        <v>1241.1238000000001</v>
      </c>
      <c r="G11" s="705"/>
      <c r="H11" s="705">
        <v>3661.5018</v>
      </c>
      <c r="I11" s="705">
        <v>2420.3780000000002</v>
      </c>
      <c r="J11" s="705">
        <v>0</v>
      </c>
      <c r="K11" s="705">
        <v>1241.1238000000001</v>
      </c>
      <c r="L11" s="705"/>
      <c r="M11" s="705">
        <v>919.2595</v>
      </c>
      <c r="N11" s="705">
        <v>19.4343</v>
      </c>
      <c r="O11" s="705">
        <v>0</v>
      </c>
      <c r="P11" s="705">
        <v>899.8252</v>
      </c>
      <c r="Q11" s="705"/>
      <c r="R11" s="705">
        <v>13</v>
      </c>
      <c r="S11" s="709">
        <v>0.14649999999999999</v>
      </c>
      <c r="T11" s="709">
        <v>0.15709999999999999</v>
      </c>
      <c r="U11" s="709">
        <v>9.9099999999999994E-2</v>
      </c>
      <c r="V11" s="707">
        <v>5.0761000000000003</v>
      </c>
    </row>
    <row r="12" spans="1:22" s="708" customFormat="1" ht="21" customHeight="1">
      <c r="A12" s="703">
        <v>6</v>
      </c>
      <c r="B12" s="404" t="s">
        <v>501</v>
      </c>
      <c r="C12" s="704"/>
      <c r="D12" s="705"/>
      <c r="E12" s="705"/>
      <c r="F12" s="705"/>
      <c r="G12" s="705"/>
      <c r="H12" s="705"/>
      <c r="I12" s="705"/>
      <c r="J12" s="705"/>
      <c r="K12" s="705"/>
      <c r="L12" s="705"/>
      <c r="M12" s="705"/>
      <c r="N12" s="705"/>
      <c r="O12" s="705"/>
      <c r="P12" s="705"/>
      <c r="Q12" s="705"/>
      <c r="R12" s="705">
        <v>0</v>
      </c>
      <c r="S12" s="709"/>
      <c r="T12" s="709"/>
      <c r="U12" s="709"/>
      <c r="V12" s="707"/>
    </row>
    <row r="13" spans="1:22" s="708" customFormat="1" ht="21" customHeight="1">
      <c r="A13" s="703">
        <v>7</v>
      </c>
      <c r="B13" s="404" t="s">
        <v>500</v>
      </c>
      <c r="C13" s="704"/>
      <c r="D13" s="705"/>
      <c r="E13" s="705"/>
      <c r="F13" s="705"/>
      <c r="G13" s="705"/>
      <c r="H13" s="705"/>
      <c r="I13" s="705"/>
      <c r="J13" s="705"/>
      <c r="K13" s="705"/>
      <c r="L13" s="705"/>
      <c r="M13" s="705"/>
      <c r="N13" s="705"/>
      <c r="O13" s="705"/>
      <c r="P13" s="705"/>
      <c r="Q13" s="705"/>
      <c r="R13" s="705">
        <v>0</v>
      </c>
      <c r="S13" s="709"/>
      <c r="T13" s="709"/>
      <c r="U13" s="709"/>
      <c r="V13" s="707"/>
    </row>
    <row r="14" spans="1:22" s="708" customFormat="1" ht="21" customHeight="1">
      <c r="A14" s="703">
        <v>7.1</v>
      </c>
      <c r="B14" s="710" t="s">
        <v>509</v>
      </c>
      <c r="C14" s="704"/>
      <c r="D14" s="705"/>
      <c r="E14" s="705"/>
      <c r="F14" s="705"/>
      <c r="G14" s="705"/>
      <c r="H14" s="705"/>
      <c r="I14" s="705"/>
      <c r="J14" s="705"/>
      <c r="K14" s="705"/>
      <c r="L14" s="705"/>
      <c r="M14" s="705"/>
      <c r="N14" s="705"/>
      <c r="O14" s="705"/>
      <c r="P14" s="705"/>
      <c r="Q14" s="705"/>
      <c r="R14" s="705">
        <v>0</v>
      </c>
      <c r="S14" s="709"/>
      <c r="T14" s="709"/>
      <c r="U14" s="709"/>
      <c r="V14" s="707"/>
    </row>
    <row r="15" spans="1:22" s="708" customFormat="1" ht="21" customHeight="1">
      <c r="A15" s="703">
        <v>7.2</v>
      </c>
      <c r="B15" s="710" t="s">
        <v>511</v>
      </c>
      <c r="C15" s="704"/>
      <c r="D15" s="705"/>
      <c r="E15" s="705"/>
      <c r="F15" s="705"/>
      <c r="G15" s="705"/>
      <c r="H15" s="705"/>
      <c r="I15" s="705"/>
      <c r="J15" s="705"/>
      <c r="K15" s="705"/>
      <c r="L15" s="705"/>
      <c r="M15" s="705"/>
      <c r="N15" s="705"/>
      <c r="O15" s="705"/>
      <c r="P15" s="705"/>
      <c r="Q15" s="705"/>
      <c r="R15" s="705">
        <v>0</v>
      </c>
      <c r="S15" s="709"/>
      <c r="T15" s="709"/>
      <c r="U15" s="709"/>
      <c r="V15" s="707"/>
    </row>
    <row r="16" spans="1:22" s="708" customFormat="1" ht="21" customHeight="1">
      <c r="A16" s="703">
        <v>7.3</v>
      </c>
      <c r="B16" s="710" t="s">
        <v>508</v>
      </c>
      <c r="C16" s="704"/>
      <c r="D16" s="705"/>
      <c r="E16" s="705"/>
      <c r="F16" s="705"/>
      <c r="G16" s="705"/>
      <c r="H16" s="705"/>
      <c r="I16" s="705"/>
      <c r="J16" s="705"/>
      <c r="K16" s="705"/>
      <c r="L16" s="705"/>
      <c r="M16" s="705"/>
      <c r="N16" s="705"/>
      <c r="O16" s="705"/>
      <c r="P16" s="705"/>
      <c r="Q16" s="705"/>
      <c r="R16" s="705">
        <v>0</v>
      </c>
      <c r="S16" s="709"/>
      <c r="T16" s="709"/>
      <c r="U16" s="709"/>
      <c r="V16" s="707"/>
    </row>
    <row r="17" spans="1:22" s="708" customFormat="1" ht="21" customHeight="1">
      <c r="A17" s="703">
        <v>8</v>
      </c>
      <c r="B17" s="404" t="s">
        <v>507</v>
      </c>
      <c r="C17" s="704"/>
      <c r="D17" s="705"/>
      <c r="E17" s="705"/>
      <c r="F17" s="705"/>
      <c r="G17" s="705"/>
      <c r="H17" s="705"/>
      <c r="I17" s="705"/>
      <c r="J17" s="705"/>
      <c r="K17" s="705"/>
      <c r="L17" s="705"/>
      <c r="M17" s="705"/>
      <c r="N17" s="705"/>
      <c r="O17" s="705"/>
      <c r="P17" s="705"/>
      <c r="Q17" s="705"/>
      <c r="R17" s="705">
        <v>0</v>
      </c>
      <c r="S17" s="709"/>
      <c r="T17" s="709"/>
      <c r="U17" s="709"/>
      <c r="V17" s="707"/>
    </row>
    <row r="18" spans="1:22" s="708" customFormat="1" ht="21" customHeight="1">
      <c r="A18" s="711">
        <v>9</v>
      </c>
      <c r="B18" s="403" t="s">
        <v>499</v>
      </c>
      <c r="C18" s="712"/>
      <c r="D18" s="713"/>
      <c r="E18" s="713"/>
      <c r="F18" s="713"/>
      <c r="G18" s="713"/>
      <c r="H18" s="713"/>
      <c r="I18" s="713"/>
      <c r="J18" s="713"/>
      <c r="K18" s="713"/>
      <c r="L18" s="713"/>
      <c r="M18" s="713"/>
      <c r="N18" s="713"/>
      <c r="O18" s="713"/>
      <c r="P18" s="713"/>
      <c r="Q18" s="713"/>
      <c r="R18" s="713">
        <v>0</v>
      </c>
      <c r="S18" s="714"/>
      <c r="T18" s="714"/>
      <c r="U18" s="714"/>
      <c r="V18" s="715"/>
    </row>
    <row r="19" spans="1:22" s="708" customFormat="1" ht="21" customHeight="1">
      <c r="A19" s="703">
        <v>10</v>
      </c>
      <c r="B19" s="402" t="s">
        <v>510</v>
      </c>
      <c r="C19" s="704">
        <v>243347.33180000001</v>
      </c>
      <c r="D19" s="705">
        <v>228558.99799999999</v>
      </c>
      <c r="E19" s="705">
        <v>0</v>
      </c>
      <c r="F19" s="705">
        <v>14788.3338</v>
      </c>
      <c r="G19" s="705"/>
      <c r="H19" s="705">
        <v>256042.2218</v>
      </c>
      <c r="I19" s="705">
        <v>240881.41800000001</v>
      </c>
      <c r="J19" s="705">
        <v>0</v>
      </c>
      <c r="K19" s="705">
        <v>15160.8038</v>
      </c>
      <c r="L19" s="705"/>
      <c r="M19" s="705">
        <v>13447.3562</v>
      </c>
      <c r="N19" s="705">
        <v>800.74519999999995</v>
      </c>
      <c r="O19" s="705">
        <v>0</v>
      </c>
      <c r="P19" s="705">
        <v>12646.611000000001</v>
      </c>
      <c r="Q19" s="705"/>
      <c r="R19" s="705">
        <v>28</v>
      </c>
      <c r="S19" s="709">
        <v>0.14649999999999999</v>
      </c>
      <c r="T19" s="709">
        <v>0.15709999999999999</v>
      </c>
      <c r="U19" s="709">
        <v>0.1288</v>
      </c>
      <c r="V19" s="707">
        <v>8.4403000000000006</v>
      </c>
    </row>
    <row r="20" spans="1:22" s="708" customFormat="1" ht="27" customHeight="1">
      <c r="A20" s="703">
        <v>10.1</v>
      </c>
      <c r="B20" s="710" t="s">
        <v>514</v>
      </c>
      <c r="C20" s="705"/>
      <c r="D20" s="705"/>
      <c r="E20" s="705"/>
      <c r="F20" s="705"/>
      <c r="G20" s="705"/>
      <c r="H20" s="705"/>
      <c r="I20" s="705"/>
      <c r="J20" s="705"/>
      <c r="K20" s="705"/>
      <c r="L20" s="705"/>
      <c r="M20" s="705"/>
      <c r="N20" s="705"/>
      <c r="O20" s="705"/>
      <c r="P20" s="705"/>
      <c r="Q20" s="705"/>
      <c r="R20" s="705">
        <v>0</v>
      </c>
      <c r="S20" s="705"/>
      <c r="T20" s="705"/>
      <c r="U20" s="705"/>
      <c r="V20" s="716"/>
    </row>
    <row r="22" spans="1:22">
      <c r="C22" s="584"/>
      <c r="D22" s="584"/>
      <c r="E22" s="584"/>
      <c r="F22" s="584"/>
      <c r="G22" s="584"/>
      <c r="H22" s="584"/>
      <c r="I22" s="584"/>
      <c r="J22" s="584"/>
      <c r="K22" s="584"/>
      <c r="L22" s="584"/>
      <c r="M22" s="584"/>
      <c r="N22" s="584"/>
      <c r="O22" s="584"/>
      <c r="P22" s="584"/>
      <c r="Q22" s="584"/>
      <c r="R22" s="584"/>
      <c r="S22" s="653"/>
      <c r="T22" s="653"/>
      <c r="U22" s="653"/>
      <c r="V22" s="584"/>
    </row>
    <row r="23" spans="1:22">
      <c r="C23" s="584"/>
      <c r="D23" s="584"/>
      <c r="E23" s="584"/>
      <c r="F23" s="584"/>
      <c r="G23" s="584"/>
      <c r="H23" s="584"/>
      <c r="I23" s="584"/>
      <c r="J23" s="584"/>
      <c r="K23" s="584"/>
      <c r="L23" s="584"/>
      <c r="M23" s="584"/>
      <c r="N23" s="584"/>
      <c r="O23" s="584"/>
      <c r="P23" s="584"/>
      <c r="Q23" s="584"/>
      <c r="R23" s="584"/>
      <c r="S23" s="654"/>
      <c r="T23" s="654"/>
      <c r="U23" s="654"/>
      <c r="V23" s="584"/>
    </row>
    <row r="24" spans="1:22">
      <c r="C24" s="584"/>
      <c r="D24" s="584"/>
      <c r="E24" s="584"/>
      <c r="F24" s="584"/>
      <c r="G24" s="584"/>
      <c r="H24" s="584"/>
      <c r="I24" s="584"/>
      <c r="J24" s="584"/>
      <c r="K24" s="584"/>
      <c r="L24" s="584"/>
      <c r="M24" s="584"/>
      <c r="N24" s="584"/>
      <c r="O24" s="584"/>
      <c r="P24" s="584"/>
      <c r="Q24" s="584"/>
      <c r="R24" s="584"/>
      <c r="S24" s="654"/>
      <c r="T24" s="654"/>
      <c r="U24" s="654"/>
      <c r="V24" s="584"/>
    </row>
    <row r="25" spans="1:22">
      <c r="C25" s="584"/>
      <c r="D25" s="584"/>
      <c r="E25" s="584"/>
      <c r="F25" s="584"/>
      <c r="G25" s="584"/>
      <c r="H25" s="584"/>
      <c r="I25" s="584"/>
      <c r="J25" s="584"/>
      <c r="K25" s="584"/>
      <c r="L25" s="584"/>
      <c r="M25" s="584"/>
      <c r="N25" s="584"/>
      <c r="O25" s="584"/>
      <c r="P25" s="584"/>
      <c r="Q25" s="584"/>
      <c r="R25" s="584"/>
      <c r="S25" s="654"/>
      <c r="T25" s="654"/>
      <c r="U25" s="654"/>
      <c r="V25" s="584"/>
    </row>
    <row r="26" spans="1:22">
      <c r="C26" s="584"/>
      <c r="D26" s="584"/>
      <c r="E26" s="584"/>
      <c r="F26" s="584"/>
      <c r="G26" s="584"/>
      <c r="H26" s="584"/>
      <c r="I26" s="584"/>
      <c r="J26" s="584"/>
      <c r="K26" s="584"/>
      <c r="L26" s="584"/>
      <c r="M26" s="584"/>
      <c r="N26" s="584"/>
      <c r="O26" s="584"/>
      <c r="P26" s="584"/>
      <c r="Q26" s="584"/>
      <c r="R26" s="584"/>
      <c r="S26" s="654"/>
      <c r="T26" s="654"/>
      <c r="U26" s="654"/>
      <c r="V26" s="584"/>
    </row>
    <row r="27" spans="1:22">
      <c r="C27" s="584"/>
      <c r="D27" s="584"/>
      <c r="E27" s="584"/>
      <c r="F27" s="584"/>
      <c r="G27" s="584"/>
      <c r="H27" s="584"/>
      <c r="I27" s="584"/>
      <c r="J27" s="584"/>
      <c r="K27" s="584"/>
      <c r="L27" s="584"/>
      <c r="M27" s="584"/>
      <c r="N27" s="584"/>
      <c r="O27" s="584"/>
      <c r="P27" s="584"/>
      <c r="Q27" s="584"/>
      <c r="R27" s="584"/>
      <c r="S27" s="654"/>
      <c r="T27" s="654"/>
      <c r="U27" s="654"/>
      <c r="V27" s="584"/>
    </row>
    <row r="28" spans="1:22">
      <c r="C28" s="584"/>
      <c r="D28" s="584"/>
      <c r="E28" s="584"/>
      <c r="F28" s="584"/>
      <c r="G28" s="584"/>
      <c r="H28" s="584"/>
      <c r="I28" s="584"/>
      <c r="J28" s="584"/>
      <c r="K28" s="584"/>
      <c r="L28" s="584"/>
      <c r="M28" s="584"/>
      <c r="N28" s="584"/>
      <c r="O28" s="584"/>
      <c r="P28" s="584"/>
      <c r="Q28" s="584"/>
      <c r="R28" s="584"/>
      <c r="S28" s="654"/>
      <c r="T28" s="654"/>
      <c r="U28" s="654"/>
      <c r="V28" s="584"/>
    </row>
    <row r="29" spans="1:22">
      <c r="C29" s="584"/>
      <c r="D29" s="584"/>
      <c r="E29" s="584"/>
      <c r="F29" s="584"/>
      <c r="G29" s="584"/>
      <c r="H29" s="584"/>
      <c r="I29" s="584"/>
      <c r="J29" s="584"/>
      <c r="K29" s="584"/>
      <c r="L29" s="584"/>
      <c r="M29" s="584"/>
      <c r="N29" s="584"/>
      <c r="O29" s="584"/>
      <c r="P29" s="584"/>
      <c r="Q29" s="584"/>
      <c r="R29" s="584"/>
      <c r="S29" s="654"/>
      <c r="T29" s="654"/>
      <c r="U29" s="654"/>
      <c r="V29" s="584"/>
    </row>
    <row r="30" spans="1:22">
      <c r="C30" s="584"/>
      <c r="D30" s="584"/>
      <c r="E30" s="584"/>
      <c r="F30" s="584"/>
      <c r="G30" s="584"/>
      <c r="H30" s="584"/>
      <c r="I30" s="584"/>
      <c r="J30" s="584"/>
      <c r="K30" s="584"/>
      <c r="L30" s="584"/>
      <c r="M30" s="584"/>
      <c r="N30" s="584"/>
      <c r="O30" s="584"/>
      <c r="P30" s="584"/>
      <c r="Q30" s="584"/>
      <c r="R30" s="584"/>
      <c r="S30" s="654"/>
      <c r="T30" s="654"/>
      <c r="U30" s="654"/>
      <c r="V30" s="584"/>
    </row>
    <row r="31" spans="1:22">
      <c r="C31" s="584"/>
      <c r="D31" s="584"/>
      <c r="E31" s="584"/>
      <c r="F31" s="584"/>
      <c r="G31" s="584"/>
      <c r="H31" s="584"/>
      <c r="I31" s="584"/>
      <c r="J31" s="584"/>
      <c r="K31" s="584"/>
      <c r="L31" s="584"/>
      <c r="M31" s="584"/>
      <c r="N31" s="584"/>
      <c r="O31" s="584"/>
      <c r="P31" s="584"/>
      <c r="Q31" s="584"/>
      <c r="R31" s="584"/>
      <c r="S31" s="654"/>
      <c r="T31" s="654"/>
      <c r="U31" s="654"/>
      <c r="V31" s="584"/>
    </row>
    <row r="32" spans="1:22">
      <c r="C32" s="584"/>
      <c r="D32" s="584"/>
      <c r="E32" s="584"/>
      <c r="F32" s="584"/>
      <c r="G32" s="584"/>
      <c r="H32" s="584"/>
      <c r="I32" s="584"/>
      <c r="J32" s="584"/>
      <c r="K32" s="584"/>
      <c r="L32" s="584"/>
      <c r="M32" s="584"/>
      <c r="N32" s="584"/>
      <c r="O32" s="584"/>
      <c r="P32" s="584"/>
      <c r="Q32" s="584"/>
      <c r="R32" s="584"/>
      <c r="S32" s="654"/>
      <c r="T32" s="654"/>
      <c r="U32" s="654"/>
      <c r="V32" s="584"/>
    </row>
    <row r="33" spans="3:22">
      <c r="C33" s="584"/>
      <c r="D33" s="584"/>
      <c r="E33" s="584"/>
      <c r="F33" s="584"/>
      <c r="G33" s="584"/>
      <c r="H33" s="584"/>
      <c r="I33" s="584"/>
      <c r="J33" s="584"/>
      <c r="K33" s="584"/>
      <c r="L33" s="584"/>
      <c r="M33" s="584"/>
      <c r="N33" s="584"/>
      <c r="O33" s="584"/>
      <c r="P33" s="584"/>
      <c r="Q33" s="584"/>
      <c r="R33" s="584"/>
      <c r="S33" s="654"/>
      <c r="T33" s="654"/>
      <c r="U33" s="654"/>
      <c r="V33" s="584"/>
    </row>
    <row r="34" spans="3:22">
      <c r="C34" s="584"/>
      <c r="D34" s="584"/>
      <c r="E34" s="584"/>
      <c r="F34" s="584"/>
      <c r="G34" s="584"/>
      <c r="H34" s="584"/>
      <c r="I34" s="584"/>
      <c r="J34" s="584"/>
      <c r="K34" s="584"/>
      <c r="L34" s="584"/>
      <c r="M34" s="584"/>
      <c r="N34" s="584"/>
      <c r="O34" s="584"/>
      <c r="P34" s="584"/>
      <c r="Q34" s="584"/>
      <c r="R34" s="584"/>
      <c r="S34" s="654"/>
      <c r="T34" s="654"/>
      <c r="U34" s="654"/>
      <c r="V34" s="584"/>
    </row>
    <row r="35" spans="3:22">
      <c r="C35" s="584"/>
      <c r="D35" s="584"/>
      <c r="E35" s="584"/>
      <c r="F35" s="584"/>
      <c r="G35" s="584"/>
      <c r="H35" s="584"/>
      <c r="I35" s="584"/>
      <c r="J35" s="584"/>
      <c r="K35" s="584"/>
      <c r="L35" s="584"/>
      <c r="M35" s="584"/>
      <c r="N35" s="584"/>
      <c r="O35" s="584"/>
      <c r="P35" s="584"/>
      <c r="Q35" s="584"/>
      <c r="R35" s="584"/>
      <c r="S35" s="654"/>
      <c r="T35" s="654"/>
      <c r="U35" s="654"/>
      <c r="V35" s="584"/>
    </row>
    <row r="36" spans="3:22">
      <c r="C36" s="584"/>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scale="17" orientation="portrait" horizontalDpi="300" verticalDpi="300" r:id="rId1"/>
  <headerFooter>
    <oddFooter>&amp;C_x000D_&amp;1#&amp;"Aptos"&amp;10&amp;K000000 C4 - EXTERNAL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45"/>
  <sheetViews>
    <sheetView zoomScale="80" zoomScaleNormal="80" workbookViewId="0">
      <selection activeCell="K9" sqref="K9"/>
    </sheetView>
  </sheetViews>
  <sheetFormatPr defaultRowHeight="14.4"/>
  <cols>
    <col min="2" max="2" width="66.6640625" customWidth="1"/>
    <col min="3" max="8" width="17.77734375" customWidth="1"/>
    <col min="9" max="9" width="11.44140625" customWidth="1"/>
    <col min="11" max="11" width="10.21875" bestFit="1" customWidth="1"/>
  </cols>
  <sheetData>
    <row r="1" spans="1:14" s="5" customFormat="1" ht="13.8">
      <c r="A1" s="2" t="s">
        <v>30</v>
      </c>
      <c r="B1" s="3" t="str">
        <f>'Info '!C2</f>
        <v xml:space="preserve">PASHA Bank Georgia JSC </v>
      </c>
      <c r="C1" s="3"/>
      <c r="D1" s="4"/>
      <c r="E1" s="4"/>
      <c r="F1" s="4"/>
      <c r="G1" s="4"/>
    </row>
    <row r="2" spans="1:14" s="5" customFormat="1" ht="13.8">
      <c r="A2" s="2" t="s">
        <v>31</v>
      </c>
      <c r="B2" s="253">
        <f>'1. key ratios '!B2</f>
        <v>46112</v>
      </c>
      <c r="C2" s="3"/>
      <c r="D2" s="4"/>
      <c r="E2" s="4"/>
      <c r="F2" s="4"/>
      <c r="G2" s="4"/>
    </row>
    <row r="4" spans="1:14">
      <c r="A4" s="744" t="s">
        <v>6</v>
      </c>
      <c r="B4" s="746" t="s">
        <v>585</v>
      </c>
      <c r="C4" s="736" t="s">
        <v>522</v>
      </c>
      <c r="D4" s="736"/>
      <c r="E4" s="736"/>
      <c r="F4" s="736" t="s">
        <v>523</v>
      </c>
      <c r="G4" s="736"/>
      <c r="H4" s="737"/>
    </row>
    <row r="5" spans="1:14" ht="15.45" customHeight="1">
      <c r="A5" s="745"/>
      <c r="B5" s="747"/>
      <c r="C5" s="326" t="s">
        <v>32</v>
      </c>
      <c r="D5" s="326" t="s">
        <v>33</v>
      </c>
      <c r="E5" s="326" t="s">
        <v>34</v>
      </c>
      <c r="F5" s="326" t="s">
        <v>32</v>
      </c>
      <c r="G5" s="326" t="s">
        <v>33</v>
      </c>
      <c r="H5" s="326" t="s">
        <v>34</v>
      </c>
    </row>
    <row r="6" spans="1:14">
      <c r="A6" s="327">
        <v>1</v>
      </c>
      <c r="B6" s="519" t="s">
        <v>586</v>
      </c>
      <c r="C6" s="529">
        <f>SUM(C7:C12)</f>
        <v>7700332.8999999994</v>
      </c>
      <c r="D6" s="529">
        <f>SUM(D7:D12)</f>
        <v>6679331.3200000003</v>
      </c>
      <c r="E6" s="643">
        <f>C6+D6</f>
        <v>14379664.219999999</v>
      </c>
      <c r="F6" s="529">
        <f>SUM(F7:F12)</f>
        <v>7105017.5639000004</v>
      </c>
      <c r="G6" s="529">
        <f>SUM(G7:G12)</f>
        <v>5976689.3902000003</v>
      </c>
      <c r="H6" s="643">
        <f>F6+G6</f>
        <v>13081706.954100002</v>
      </c>
      <c r="I6" s="530"/>
      <c r="J6" s="530"/>
      <c r="K6" s="530"/>
      <c r="L6" s="530"/>
      <c r="M6" s="530"/>
      <c r="N6" s="530"/>
    </row>
    <row r="7" spans="1:14">
      <c r="A7" s="327">
        <v>1.1000000000000001</v>
      </c>
      <c r="B7" s="520" t="s">
        <v>529</v>
      </c>
      <c r="C7" s="529"/>
      <c r="D7" s="529"/>
      <c r="E7" s="643">
        <f t="shared" ref="E7:E45" si="0">C7+D7</f>
        <v>0</v>
      </c>
      <c r="F7" s="529"/>
      <c r="G7" s="529"/>
      <c r="H7" s="643">
        <f t="shared" ref="H7:H45" si="1">F7+G7</f>
        <v>0</v>
      </c>
      <c r="I7" s="530"/>
      <c r="J7" s="530"/>
      <c r="K7" s="530"/>
      <c r="L7" s="530"/>
      <c r="M7" s="530"/>
      <c r="N7" s="530"/>
    </row>
    <row r="8" spans="1:14">
      <c r="A8" s="327">
        <v>1.2</v>
      </c>
      <c r="B8" s="520" t="s">
        <v>531</v>
      </c>
      <c r="C8" s="529"/>
      <c r="D8" s="529"/>
      <c r="E8" s="643">
        <f t="shared" si="0"/>
        <v>0</v>
      </c>
      <c r="F8" s="529"/>
      <c r="G8" s="529"/>
      <c r="H8" s="643">
        <f t="shared" si="1"/>
        <v>0</v>
      </c>
      <c r="I8" s="530"/>
      <c r="J8" s="530"/>
      <c r="K8" s="530"/>
      <c r="L8" s="530"/>
      <c r="M8" s="530"/>
      <c r="N8" s="530"/>
    </row>
    <row r="9" spans="1:14" ht="21.45" customHeight="1">
      <c r="A9" s="327">
        <v>1.3</v>
      </c>
      <c r="B9" s="520" t="s">
        <v>587</v>
      </c>
      <c r="C9" s="529"/>
      <c r="D9" s="529"/>
      <c r="E9" s="643">
        <f t="shared" si="0"/>
        <v>0</v>
      </c>
      <c r="F9" s="529"/>
      <c r="G9" s="529"/>
      <c r="H9" s="643">
        <f t="shared" si="1"/>
        <v>0</v>
      </c>
      <c r="I9" s="530"/>
      <c r="J9" s="530"/>
      <c r="K9" s="530"/>
      <c r="L9" s="530"/>
      <c r="M9" s="530"/>
      <c r="N9" s="530"/>
    </row>
    <row r="10" spans="1:14">
      <c r="A10" s="327">
        <v>1.4</v>
      </c>
      <c r="B10" s="520" t="s">
        <v>533</v>
      </c>
      <c r="C10" s="529"/>
      <c r="D10" s="529"/>
      <c r="E10" s="643">
        <f t="shared" si="0"/>
        <v>0</v>
      </c>
      <c r="F10" s="529"/>
      <c r="G10" s="529"/>
      <c r="H10" s="643">
        <f t="shared" si="1"/>
        <v>0</v>
      </c>
      <c r="I10" s="530"/>
      <c r="J10" s="530"/>
      <c r="K10" s="530"/>
      <c r="L10" s="530"/>
      <c r="M10" s="530"/>
      <c r="N10" s="530"/>
    </row>
    <row r="11" spans="1:14">
      <c r="A11" s="327">
        <v>1.5</v>
      </c>
      <c r="B11" s="520" t="s">
        <v>537</v>
      </c>
      <c r="C11" s="529">
        <v>7700332.8999999994</v>
      </c>
      <c r="D11" s="529">
        <v>6679331.3200000003</v>
      </c>
      <c r="E11" s="643">
        <f t="shared" si="0"/>
        <v>14379664.219999999</v>
      </c>
      <c r="F11" s="529">
        <v>7105017.5639000004</v>
      </c>
      <c r="G11" s="529">
        <v>5976689.3902000003</v>
      </c>
      <c r="H11" s="643">
        <f t="shared" si="1"/>
        <v>13081706.954100002</v>
      </c>
      <c r="I11" s="530"/>
      <c r="J11" s="530"/>
      <c r="K11" s="530"/>
      <c r="L11" s="530"/>
      <c r="M11" s="530"/>
      <c r="N11" s="530"/>
    </row>
    <row r="12" spans="1:14">
      <c r="A12" s="327">
        <v>1.6</v>
      </c>
      <c r="B12" s="520" t="s">
        <v>419</v>
      </c>
      <c r="C12" s="529"/>
      <c r="D12" s="529"/>
      <c r="E12" s="643">
        <f t="shared" si="0"/>
        <v>0</v>
      </c>
      <c r="F12" s="529"/>
      <c r="G12" s="529"/>
      <c r="H12" s="643">
        <f t="shared" si="1"/>
        <v>0</v>
      </c>
      <c r="I12" s="530"/>
      <c r="J12" s="530"/>
      <c r="K12" s="530"/>
      <c r="L12" s="530"/>
      <c r="M12" s="530"/>
      <c r="N12" s="530"/>
    </row>
    <row r="13" spans="1:14">
      <c r="A13" s="327">
        <v>2</v>
      </c>
      <c r="B13" s="519" t="s">
        <v>588</v>
      </c>
      <c r="C13" s="529">
        <f>SUM(C14:C17)</f>
        <v>-6183535.7299999995</v>
      </c>
      <c r="D13" s="529">
        <f>SUM(D14:D17)</f>
        <v>-2494625.1340999999</v>
      </c>
      <c r="E13" s="643">
        <f t="shared" si="0"/>
        <v>-8678160.8640999999</v>
      </c>
      <c r="F13" s="529">
        <f>SUM(F14:F17)</f>
        <v>-3470326.4200000004</v>
      </c>
      <c r="G13" s="529">
        <f>SUM(G14:G17)</f>
        <v>-3442085.0311999996</v>
      </c>
      <c r="H13" s="643">
        <f t="shared" si="1"/>
        <v>-6912411.4512</v>
      </c>
      <c r="I13" s="530"/>
      <c r="J13" s="530"/>
      <c r="K13" s="530"/>
      <c r="L13" s="530"/>
      <c r="M13" s="530"/>
      <c r="N13" s="530"/>
    </row>
    <row r="14" spans="1:14">
      <c r="A14" s="327">
        <v>2.1</v>
      </c>
      <c r="B14" s="520" t="s">
        <v>589</v>
      </c>
      <c r="C14" s="529"/>
      <c r="D14" s="529"/>
      <c r="E14" s="643">
        <f t="shared" si="0"/>
        <v>0</v>
      </c>
      <c r="F14" s="529"/>
      <c r="G14" s="529"/>
      <c r="H14" s="643">
        <f t="shared" si="1"/>
        <v>0</v>
      </c>
      <c r="I14" s="530"/>
      <c r="J14" s="530"/>
      <c r="K14" s="530"/>
      <c r="L14" s="530"/>
      <c r="M14" s="530"/>
      <c r="N14" s="530"/>
    </row>
    <row r="15" spans="1:14" ht="24.45" customHeight="1">
      <c r="A15" s="327">
        <v>2.2000000000000002</v>
      </c>
      <c r="B15" s="520" t="s">
        <v>590</v>
      </c>
      <c r="C15" s="529"/>
      <c r="D15" s="529"/>
      <c r="E15" s="643">
        <f t="shared" si="0"/>
        <v>0</v>
      </c>
      <c r="F15" s="529"/>
      <c r="G15" s="529"/>
      <c r="H15" s="643">
        <f t="shared" si="1"/>
        <v>0</v>
      </c>
      <c r="I15" s="530"/>
      <c r="J15" s="530"/>
      <c r="K15" s="530"/>
      <c r="L15" s="530"/>
      <c r="M15" s="530"/>
      <c r="N15" s="530"/>
    </row>
    <row r="16" spans="1:14" ht="20.55" customHeight="1">
      <c r="A16" s="327">
        <v>2.2999999999999998</v>
      </c>
      <c r="B16" s="520" t="s">
        <v>591</v>
      </c>
      <c r="C16" s="529">
        <v>-6183535.7299999995</v>
      </c>
      <c r="D16" s="529">
        <v>-2494625.1340999999</v>
      </c>
      <c r="E16" s="643">
        <f t="shared" si="0"/>
        <v>-8678160.8640999999</v>
      </c>
      <c r="F16" s="529">
        <v>-3470326.4200000004</v>
      </c>
      <c r="G16" s="529">
        <v>-3442085.0311999996</v>
      </c>
      <c r="H16" s="643">
        <f t="shared" si="1"/>
        <v>-6912411.4512</v>
      </c>
      <c r="I16" s="530"/>
      <c r="J16" s="530"/>
      <c r="K16" s="530"/>
      <c r="L16" s="530"/>
      <c r="M16" s="530"/>
      <c r="N16" s="530"/>
    </row>
    <row r="17" spans="1:14">
      <c r="A17" s="327">
        <v>2.4</v>
      </c>
      <c r="B17" s="520" t="s">
        <v>592</v>
      </c>
      <c r="C17" s="529"/>
      <c r="D17" s="529"/>
      <c r="E17" s="643">
        <f t="shared" si="0"/>
        <v>0</v>
      </c>
      <c r="F17" s="529"/>
      <c r="G17" s="529"/>
      <c r="H17" s="643">
        <f t="shared" si="1"/>
        <v>0</v>
      </c>
      <c r="I17" s="530"/>
      <c r="J17" s="530"/>
      <c r="K17" s="530"/>
      <c r="L17" s="530"/>
      <c r="M17" s="530"/>
      <c r="N17" s="530"/>
    </row>
    <row r="18" spans="1:14">
      <c r="A18" s="327">
        <v>3</v>
      </c>
      <c r="B18" s="519" t="s">
        <v>593</v>
      </c>
      <c r="C18" s="529"/>
      <c r="D18" s="529"/>
      <c r="E18" s="643">
        <f t="shared" si="0"/>
        <v>0</v>
      </c>
      <c r="F18" s="529"/>
      <c r="G18" s="529"/>
      <c r="H18" s="643">
        <f t="shared" si="1"/>
        <v>0</v>
      </c>
      <c r="I18" s="530"/>
      <c r="J18" s="530"/>
      <c r="K18" s="530"/>
      <c r="L18" s="530"/>
      <c r="M18" s="530"/>
      <c r="N18" s="530"/>
    </row>
    <row r="19" spans="1:14">
      <c r="A19" s="327">
        <v>4</v>
      </c>
      <c r="B19" s="519" t="s">
        <v>594</v>
      </c>
      <c r="C19" s="529">
        <v>194421.35</v>
      </c>
      <c r="D19" s="529">
        <v>419802.09</v>
      </c>
      <c r="E19" s="643">
        <f t="shared" si="0"/>
        <v>614223.44000000006</v>
      </c>
      <c r="F19" s="529">
        <v>159833.23000000001</v>
      </c>
      <c r="G19" s="529">
        <v>342378.12459999998</v>
      </c>
      <c r="H19" s="643">
        <f t="shared" si="1"/>
        <v>502211.35459999996</v>
      </c>
      <c r="I19" s="530"/>
      <c r="J19" s="530"/>
      <c r="K19" s="530"/>
      <c r="L19" s="530"/>
      <c r="M19" s="530"/>
      <c r="N19" s="530"/>
    </row>
    <row r="20" spans="1:14">
      <c r="A20" s="327">
        <v>5</v>
      </c>
      <c r="B20" s="519" t="s">
        <v>595</v>
      </c>
      <c r="C20" s="529">
        <v>-79499.14</v>
      </c>
      <c r="D20" s="529">
        <v>-377451.86</v>
      </c>
      <c r="E20" s="643">
        <f t="shared" si="0"/>
        <v>-456951</v>
      </c>
      <c r="F20" s="529">
        <v>-58077.62</v>
      </c>
      <c r="G20" s="529">
        <v>-303981.24</v>
      </c>
      <c r="H20" s="643">
        <f t="shared" si="1"/>
        <v>-362058.86</v>
      </c>
      <c r="I20" s="530"/>
      <c r="J20" s="530"/>
      <c r="K20" s="530"/>
      <c r="L20" s="530"/>
      <c r="M20" s="530"/>
      <c r="N20" s="530"/>
    </row>
    <row r="21" spans="1:14" ht="24" customHeight="1">
      <c r="A21" s="327">
        <v>6</v>
      </c>
      <c r="B21" s="519" t="s">
        <v>596</v>
      </c>
      <c r="C21" s="529">
        <v>0</v>
      </c>
      <c r="D21" s="529">
        <v>0</v>
      </c>
      <c r="E21" s="643">
        <f t="shared" si="0"/>
        <v>0</v>
      </c>
      <c r="F21" s="529">
        <v>300025.43</v>
      </c>
      <c r="G21" s="529">
        <v>0</v>
      </c>
      <c r="H21" s="643">
        <f t="shared" si="1"/>
        <v>300025.43</v>
      </c>
      <c r="I21" s="530"/>
      <c r="J21" s="530"/>
      <c r="K21" s="530"/>
      <c r="L21" s="530"/>
      <c r="M21" s="530"/>
      <c r="N21" s="530"/>
    </row>
    <row r="22" spans="1:14" ht="18.45" customHeight="1">
      <c r="A22" s="327">
        <v>7</v>
      </c>
      <c r="B22" s="519" t="s">
        <v>597</v>
      </c>
      <c r="C22" s="529">
        <v>609812.96</v>
      </c>
      <c r="D22" s="529">
        <v>0</v>
      </c>
      <c r="E22" s="643">
        <f t="shared" si="0"/>
        <v>609812.96</v>
      </c>
      <c r="F22" s="529">
        <v>72261.61</v>
      </c>
      <c r="G22" s="529">
        <v>0</v>
      </c>
      <c r="H22" s="643">
        <f t="shared" si="1"/>
        <v>72261.61</v>
      </c>
      <c r="I22" s="530"/>
      <c r="J22" s="530"/>
      <c r="K22" s="530"/>
      <c r="L22" s="530"/>
      <c r="M22" s="530"/>
      <c r="N22" s="530"/>
    </row>
    <row r="23" spans="1:14" ht="25.5" customHeight="1">
      <c r="A23" s="327">
        <v>8</v>
      </c>
      <c r="B23" s="521" t="s">
        <v>598</v>
      </c>
      <c r="C23" s="529"/>
      <c r="D23" s="529"/>
      <c r="E23" s="643">
        <f t="shared" si="0"/>
        <v>0</v>
      </c>
      <c r="F23" s="529"/>
      <c r="G23" s="529"/>
      <c r="H23" s="643">
        <f t="shared" si="1"/>
        <v>0</v>
      </c>
      <c r="I23" s="530"/>
      <c r="J23" s="530"/>
      <c r="K23" s="530"/>
      <c r="L23" s="530"/>
      <c r="M23" s="530"/>
      <c r="N23" s="530"/>
    </row>
    <row r="24" spans="1:14" ht="34.5" customHeight="1">
      <c r="A24" s="327">
        <v>9</v>
      </c>
      <c r="B24" s="521" t="s">
        <v>599</v>
      </c>
      <c r="C24" s="529"/>
      <c r="D24" s="529"/>
      <c r="E24" s="643">
        <f t="shared" si="0"/>
        <v>0</v>
      </c>
      <c r="F24" s="529"/>
      <c r="G24" s="529"/>
      <c r="H24" s="643">
        <f t="shared" si="1"/>
        <v>0</v>
      </c>
      <c r="I24" s="530"/>
      <c r="J24" s="530"/>
      <c r="K24" s="530"/>
      <c r="L24" s="530"/>
      <c r="M24" s="530"/>
      <c r="N24" s="530"/>
    </row>
    <row r="25" spans="1:14">
      <c r="A25" s="327">
        <v>10</v>
      </c>
      <c r="B25" s="519" t="s">
        <v>600</v>
      </c>
      <c r="C25" s="529">
        <v>2332290.71</v>
      </c>
      <c r="D25" s="529">
        <v>0</v>
      </c>
      <c r="E25" s="643">
        <f t="shared" si="0"/>
        <v>2332290.71</v>
      </c>
      <c r="F25" s="529">
        <v>3322091.48</v>
      </c>
      <c r="G25" s="529">
        <v>0</v>
      </c>
      <c r="H25" s="643">
        <f t="shared" si="1"/>
        <v>3322091.48</v>
      </c>
      <c r="I25" s="530"/>
      <c r="J25" s="530"/>
      <c r="K25" s="530"/>
      <c r="L25" s="530"/>
      <c r="M25" s="530"/>
      <c r="N25" s="530"/>
    </row>
    <row r="26" spans="1:14">
      <c r="A26" s="327">
        <v>11</v>
      </c>
      <c r="B26" s="522" t="s">
        <v>601</v>
      </c>
      <c r="C26" s="529">
        <v>255</v>
      </c>
      <c r="D26" s="529">
        <v>0</v>
      </c>
      <c r="E26" s="643">
        <f t="shared" si="0"/>
        <v>255</v>
      </c>
      <c r="F26" s="529">
        <v>28755.38</v>
      </c>
      <c r="G26" s="529">
        <v>0</v>
      </c>
      <c r="H26" s="643">
        <f t="shared" si="1"/>
        <v>28755.38</v>
      </c>
      <c r="I26" s="530"/>
      <c r="J26" s="530"/>
      <c r="K26" s="530"/>
      <c r="L26" s="530"/>
      <c r="M26" s="530"/>
      <c r="N26" s="530"/>
    </row>
    <row r="27" spans="1:14">
      <c r="A27" s="327">
        <v>12</v>
      </c>
      <c r="B27" s="519" t="s">
        <v>602</v>
      </c>
      <c r="C27" s="529">
        <v>0.74</v>
      </c>
      <c r="D27" s="529">
        <v>0</v>
      </c>
      <c r="E27" s="643">
        <f t="shared" si="0"/>
        <v>0.74</v>
      </c>
      <c r="F27" s="529">
        <v>741.96</v>
      </c>
      <c r="G27" s="529">
        <v>0</v>
      </c>
      <c r="H27" s="643">
        <f t="shared" si="1"/>
        <v>741.96</v>
      </c>
      <c r="I27" s="530"/>
      <c r="J27" s="530"/>
      <c r="K27" s="530"/>
      <c r="L27" s="530"/>
      <c r="M27" s="530"/>
      <c r="N27" s="530"/>
    </row>
    <row r="28" spans="1:14">
      <c r="A28" s="327">
        <v>13</v>
      </c>
      <c r="B28" s="519" t="s">
        <v>603</v>
      </c>
      <c r="C28" s="529">
        <v>-1009306.07</v>
      </c>
      <c r="D28" s="529">
        <v>0</v>
      </c>
      <c r="E28" s="643">
        <f t="shared" si="0"/>
        <v>-1009306.07</v>
      </c>
      <c r="F28" s="529">
        <v>-1224941.3899999999</v>
      </c>
      <c r="G28" s="529">
        <v>-443.11</v>
      </c>
      <c r="H28" s="643">
        <f t="shared" si="1"/>
        <v>-1225384.5</v>
      </c>
      <c r="I28" s="530"/>
      <c r="J28" s="530"/>
      <c r="K28" s="530"/>
      <c r="L28" s="530"/>
      <c r="M28" s="530"/>
      <c r="N28" s="530"/>
    </row>
    <row r="29" spans="1:14">
      <c r="A29" s="327">
        <v>14</v>
      </c>
      <c r="B29" s="519" t="s">
        <v>604</v>
      </c>
      <c r="C29" s="529">
        <f>SUM(C30:C31)</f>
        <v>-5547190.8699999992</v>
      </c>
      <c r="D29" s="529">
        <f>SUM(D30:D31)</f>
        <v>0</v>
      </c>
      <c r="E29" s="643">
        <f t="shared" si="0"/>
        <v>-5547190.8699999992</v>
      </c>
      <c r="F29" s="529">
        <f>SUM(F30:F31)</f>
        <v>-5126734.17</v>
      </c>
      <c r="G29" s="529">
        <f>SUM(G30:G31)</f>
        <v>0</v>
      </c>
      <c r="H29" s="643">
        <f t="shared" si="1"/>
        <v>-5126734.17</v>
      </c>
      <c r="I29" s="530"/>
      <c r="J29" s="530"/>
      <c r="K29" s="530"/>
      <c r="L29" s="530"/>
      <c r="M29" s="530"/>
      <c r="N29" s="530"/>
    </row>
    <row r="30" spans="1:14">
      <c r="A30" s="327">
        <v>14.1</v>
      </c>
      <c r="B30" s="523" t="s">
        <v>605</v>
      </c>
      <c r="C30" s="529">
        <v>-5256888.8099999996</v>
      </c>
      <c r="D30" s="529"/>
      <c r="E30" s="643">
        <f t="shared" si="0"/>
        <v>-5256888.8099999996</v>
      </c>
      <c r="F30" s="529">
        <v>-4827115.45</v>
      </c>
      <c r="G30" s="529"/>
      <c r="H30" s="643">
        <f t="shared" si="1"/>
        <v>-4827115.45</v>
      </c>
      <c r="I30" s="530"/>
      <c r="J30" s="530"/>
      <c r="K30" s="530"/>
      <c r="L30" s="530"/>
      <c r="M30" s="530"/>
      <c r="N30" s="530"/>
    </row>
    <row r="31" spans="1:14">
      <c r="A31" s="327">
        <v>14.2</v>
      </c>
      <c r="B31" s="523" t="s">
        <v>606</v>
      </c>
      <c r="C31" s="529">
        <v>-290302.06</v>
      </c>
      <c r="D31" s="529"/>
      <c r="E31" s="643">
        <f t="shared" si="0"/>
        <v>-290302.06</v>
      </c>
      <c r="F31" s="529">
        <v>-299618.71999999997</v>
      </c>
      <c r="G31" s="529"/>
      <c r="H31" s="643">
        <f t="shared" si="1"/>
        <v>-299618.71999999997</v>
      </c>
      <c r="I31" s="530"/>
      <c r="J31" s="530"/>
      <c r="K31" s="530"/>
      <c r="L31" s="530"/>
      <c r="M31" s="530"/>
      <c r="N31" s="530"/>
    </row>
    <row r="32" spans="1:14">
      <c r="A32" s="327">
        <v>15</v>
      </c>
      <c r="B32" s="519" t="s">
        <v>607</v>
      </c>
      <c r="C32" s="529">
        <v>-917336.46</v>
      </c>
      <c r="D32" s="529"/>
      <c r="E32" s="643">
        <f t="shared" si="0"/>
        <v>-917336.46</v>
      </c>
      <c r="F32" s="529">
        <v>-1017272.97</v>
      </c>
      <c r="G32" s="529"/>
      <c r="H32" s="643">
        <f t="shared" si="1"/>
        <v>-1017272.97</v>
      </c>
      <c r="I32" s="530"/>
      <c r="J32" s="530"/>
      <c r="K32" s="530"/>
      <c r="L32" s="530"/>
      <c r="M32" s="530"/>
      <c r="N32" s="530"/>
    </row>
    <row r="33" spans="1:14" ht="22.5" customHeight="1">
      <c r="A33" s="327">
        <v>16</v>
      </c>
      <c r="B33" s="524" t="s">
        <v>608</v>
      </c>
      <c r="C33" s="529"/>
      <c r="D33" s="529"/>
      <c r="E33" s="643">
        <f t="shared" si="0"/>
        <v>0</v>
      </c>
      <c r="F33" s="529"/>
      <c r="G33" s="529"/>
      <c r="H33" s="643">
        <f t="shared" si="1"/>
        <v>0</v>
      </c>
      <c r="I33" s="530"/>
      <c r="J33" s="530"/>
      <c r="K33" s="530"/>
      <c r="L33" s="530"/>
      <c r="M33" s="530"/>
      <c r="N33" s="530"/>
    </row>
    <row r="34" spans="1:14">
      <c r="A34" s="327">
        <v>17</v>
      </c>
      <c r="B34" s="519" t="s">
        <v>609</v>
      </c>
      <c r="C34" s="529">
        <f>SUM(C35:C36)</f>
        <v>-82799.913199999995</v>
      </c>
      <c r="D34" s="529">
        <f>SUM(D35:D36)</f>
        <v>175603.95699999999</v>
      </c>
      <c r="E34" s="643">
        <f t="shared" si="0"/>
        <v>92804.043799999999</v>
      </c>
      <c r="F34" s="529">
        <f>SUM(F35:F36)</f>
        <v>-41536.325299999997</v>
      </c>
      <c r="G34" s="529">
        <f>SUM(G35:G36)</f>
        <v>30903.8992</v>
      </c>
      <c r="H34" s="643">
        <f t="shared" si="1"/>
        <v>-10632.426099999997</v>
      </c>
      <c r="I34" s="530"/>
      <c r="J34" s="530"/>
      <c r="K34" s="530"/>
      <c r="L34" s="530"/>
      <c r="M34" s="530"/>
      <c r="N34" s="530"/>
    </row>
    <row r="35" spans="1:14">
      <c r="A35" s="327">
        <v>17.100000000000001</v>
      </c>
      <c r="B35" s="523" t="s">
        <v>610</v>
      </c>
      <c r="C35" s="529">
        <v>-82799.913199999995</v>
      </c>
      <c r="D35" s="529">
        <v>175603.95699999999</v>
      </c>
      <c r="E35" s="643">
        <f t="shared" si="0"/>
        <v>92804.043799999999</v>
      </c>
      <c r="F35" s="529">
        <v>20892.254700000001</v>
      </c>
      <c r="G35" s="529">
        <v>30903.8992</v>
      </c>
      <c r="H35" s="643">
        <f t="shared" si="1"/>
        <v>51796.153900000005</v>
      </c>
      <c r="I35" s="530"/>
      <c r="J35" s="530"/>
      <c r="K35" s="530"/>
      <c r="L35" s="530"/>
      <c r="M35" s="530"/>
      <c r="N35" s="530"/>
    </row>
    <row r="36" spans="1:14">
      <c r="A36" s="327">
        <v>17.2</v>
      </c>
      <c r="B36" s="523" t="s">
        <v>611</v>
      </c>
      <c r="C36" s="529"/>
      <c r="D36" s="529"/>
      <c r="E36" s="643">
        <f t="shared" si="0"/>
        <v>0</v>
      </c>
      <c r="F36" s="529">
        <v>-62428.58</v>
      </c>
      <c r="G36" s="529">
        <v>0</v>
      </c>
      <c r="H36" s="643">
        <f t="shared" si="1"/>
        <v>-62428.58</v>
      </c>
      <c r="I36" s="530"/>
      <c r="J36" s="530"/>
      <c r="K36" s="530"/>
      <c r="L36" s="530"/>
      <c r="M36" s="530"/>
      <c r="N36" s="530"/>
    </row>
    <row r="37" spans="1:14" ht="41.55" customHeight="1">
      <c r="A37" s="327">
        <v>18</v>
      </c>
      <c r="B37" s="525" t="s">
        <v>612</v>
      </c>
      <c r="C37" s="529">
        <f>SUM(C38:C39)</f>
        <v>761400.23879999993</v>
      </c>
      <c r="D37" s="529">
        <f>SUM(D38:D39)</f>
        <v>2125313.5791000002</v>
      </c>
      <c r="E37" s="643">
        <f t="shared" si="0"/>
        <v>2886713.8179000001</v>
      </c>
      <c r="F37" s="529">
        <f>SUM(F38:F39)</f>
        <v>-613669.88087964989</v>
      </c>
      <c r="G37" s="529">
        <f>SUM(G38:G39)</f>
        <v>-2328451.2260000003</v>
      </c>
      <c r="H37" s="643">
        <f t="shared" si="1"/>
        <v>-2942121.1068796501</v>
      </c>
      <c r="I37" s="530"/>
      <c r="J37" s="530"/>
      <c r="K37" s="530"/>
      <c r="L37" s="530"/>
      <c r="M37" s="530"/>
      <c r="N37" s="530"/>
    </row>
    <row r="38" spans="1:14">
      <c r="A38" s="327">
        <v>18.100000000000001</v>
      </c>
      <c r="B38" s="526" t="s">
        <v>613</v>
      </c>
      <c r="C38" s="529"/>
      <c r="D38" s="529"/>
      <c r="E38" s="643">
        <f t="shared" si="0"/>
        <v>0</v>
      </c>
      <c r="F38" s="529"/>
      <c r="G38" s="529"/>
      <c r="H38" s="643">
        <f t="shared" si="1"/>
        <v>0</v>
      </c>
      <c r="I38" s="530"/>
      <c r="J38" s="530"/>
      <c r="K38" s="530"/>
      <c r="L38" s="530"/>
      <c r="M38" s="530"/>
      <c r="N38" s="530"/>
    </row>
    <row r="39" spans="1:14">
      <c r="A39" s="327">
        <v>18.2</v>
      </c>
      <c r="B39" s="526" t="s">
        <v>614</v>
      </c>
      <c r="C39" s="529">
        <v>761400.23879999993</v>
      </c>
      <c r="D39" s="529">
        <v>2125313.5791000002</v>
      </c>
      <c r="E39" s="643">
        <f t="shared" si="0"/>
        <v>2886713.8179000001</v>
      </c>
      <c r="F39" s="529">
        <v>-613669.88087964989</v>
      </c>
      <c r="G39" s="529">
        <v>-2328451.2260000003</v>
      </c>
      <c r="H39" s="643">
        <f t="shared" si="1"/>
        <v>-2942121.1068796501</v>
      </c>
      <c r="I39" s="530"/>
      <c r="J39" s="530"/>
      <c r="K39" s="530"/>
      <c r="L39" s="530"/>
      <c r="M39" s="530"/>
      <c r="N39" s="530"/>
    </row>
    <row r="40" spans="1:14" ht="24.45" customHeight="1">
      <c r="A40" s="327">
        <v>19</v>
      </c>
      <c r="B40" s="525" t="s">
        <v>615</v>
      </c>
      <c r="C40" s="529"/>
      <c r="D40" s="529"/>
      <c r="E40" s="643">
        <f t="shared" si="0"/>
        <v>0</v>
      </c>
      <c r="F40" s="529"/>
      <c r="G40" s="529"/>
      <c r="H40" s="643">
        <f t="shared" si="1"/>
        <v>0</v>
      </c>
      <c r="I40" s="530"/>
      <c r="J40" s="530"/>
      <c r="K40" s="530"/>
      <c r="L40" s="530"/>
      <c r="M40" s="530"/>
      <c r="N40" s="530"/>
    </row>
    <row r="41" spans="1:14" ht="17.55" customHeight="1">
      <c r="A41" s="327">
        <v>20</v>
      </c>
      <c r="B41" s="525" t="s">
        <v>616</v>
      </c>
      <c r="C41" s="529"/>
      <c r="D41" s="529"/>
      <c r="E41" s="643">
        <f t="shared" si="0"/>
        <v>0</v>
      </c>
      <c r="F41" s="529"/>
      <c r="G41" s="529"/>
      <c r="H41" s="643">
        <f t="shared" si="1"/>
        <v>0</v>
      </c>
      <c r="I41" s="530"/>
      <c r="J41" s="530"/>
      <c r="K41" s="530"/>
      <c r="L41" s="530"/>
      <c r="M41" s="530"/>
      <c r="N41" s="530"/>
    </row>
    <row r="42" spans="1:14" ht="26.55" customHeight="1">
      <c r="A42" s="327">
        <v>21</v>
      </c>
      <c r="B42" s="525" t="s">
        <v>617</v>
      </c>
      <c r="C42" s="529"/>
      <c r="D42" s="529"/>
      <c r="E42" s="643">
        <f t="shared" si="0"/>
        <v>0</v>
      </c>
      <c r="F42" s="529"/>
      <c r="G42" s="529"/>
      <c r="H42" s="643">
        <f t="shared" si="1"/>
        <v>0</v>
      </c>
      <c r="I42" s="530"/>
      <c r="J42" s="530"/>
      <c r="K42" s="530"/>
      <c r="L42" s="530"/>
      <c r="M42" s="530"/>
      <c r="N42" s="530"/>
    </row>
    <row r="43" spans="1:14">
      <c r="A43" s="327">
        <v>22</v>
      </c>
      <c r="B43" s="527" t="s">
        <v>618</v>
      </c>
      <c r="C43" s="529">
        <f>SUM(C6,C13,C18,C19,C20,C21,C22,C23,C24,C25,C26,C27,C28,C29,C32,C33,C34,C37,C40,C41,C42)</f>
        <v>-2221154.2843999988</v>
      </c>
      <c r="D43" s="529">
        <f>SUM(D6,D13,D18,D19,D20,D21,D22,D23,D24,D25,D26,D27,D28,D29,D32,D33,D34,D37,D40,D41,D42)</f>
        <v>6527973.9520000014</v>
      </c>
      <c r="E43" s="643">
        <f t="shared" si="0"/>
        <v>4306819.6676000021</v>
      </c>
      <c r="F43" s="529">
        <f>SUM(F6,F13,F18,F19,F20,F21,F22,F23,F24,F25,F26,F27,F28,F29,F32,F33,F34,F37,F40,F41,F42)</f>
        <v>-563832.12227964925</v>
      </c>
      <c r="G43" s="529">
        <f>SUM(G6,G13,G18,G19,G20,G21,G22,G23,G24,G25,G26,G27,G28,G29,G32,G33,G34,G37,G40,G41,G42)</f>
        <v>275010.80680000037</v>
      </c>
      <c r="H43" s="643">
        <f t="shared" si="1"/>
        <v>-288821.31547964888</v>
      </c>
      <c r="I43" s="530"/>
      <c r="J43" s="530"/>
      <c r="K43" s="530"/>
      <c r="L43" s="530"/>
      <c r="M43" s="530"/>
      <c r="N43" s="530"/>
    </row>
    <row r="44" spans="1:14">
      <c r="A44" s="327">
        <v>23</v>
      </c>
      <c r="B44" s="527" t="s">
        <v>619</v>
      </c>
      <c r="C44" s="529">
        <v>232626.43</v>
      </c>
      <c r="D44" s="529"/>
      <c r="E44" s="643">
        <f t="shared" si="0"/>
        <v>232626.43</v>
      </c>
      <c r="F44" s="529">
        <v>625896.73</v>
      </c>
      <c r="G44" s="529"/>
      <c r="H44" s="643">
        <f t="shared" si="1"/>
        <v>625896.73</v>
      </c>
      <c r="I44" s="530"/>
      <c r="J44" s="530"/>
      <c r="K44" s="530"/>
      <c r="L44" s="530"/>
      <c r="M44" s="530"/>
      <c r="N44" s="530"/>
    </row>
    <row r="45" spans="1:14">
      <c r="A45" s="327">
        <v>24</v>
      </c>
      <c r="B45" s="528" t="s">
        <v>620</v>
      </c>
      <c r="C45" s="513">
        <f>C43-C44</f>
        <v>-2453780.714399999</v>
      </c>
      <c r="D45" s="513">
        <f>D43-D44</f>
        <v>6527973.9520000014</v>
      </c>
      <c r="E45" s="644">
        <f t="shared" si="0"/>
        <v>4074193.2376000024</v>
      </c>
      <c r="F45" s="513">
        <f>F43-F44</f>
        <v>-1189728.8522796491</v>
      </c>
      <c r="G45" s="513">
        <f>G43-G44</f>
        <v>275010.80680000037</v>
      </c>
      <c r="H45" s="643">
        <f t="shared" si="1"/>
        <v>-914718.04547964875</v>
      </c>
      <c r="I45" s="530"/>
      <c r="J45" s="530"/>
      <c r="K45" s="530"/>
      <c r="L45" s="530"/>
      <c r="M45" s="530"/>
      <c r="N45" s="530"/>
    </row>
  </sheetData>
  <mergeCells count="4">
    <mergeCell ref="A4:A5"/>
    <mergeCell ref="B4:B5"/>
    <mergeCell ref="C4:E4"/>
    <mergeCell ref="F4:H4"/>
  </mergeCells>
  <pageMargins left="0.7" right="0.7" top="0.75" bottom="0.75" header="0.3" footer="0.3"/>
  <pageSetup paperSize="9" scale="48" orientation="portrait" horizontalDpi="300" verticalDpi="300" r:id="rId1"/>
  <headerFooter>
    <oddFooter>&amp;C_x000D_&amp;1#&amp;"Aptos"&amp;10&amp;K000000 C4 - EXTERNAL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7"/>
  <sheetViews>
    <sheetView zoomScale="80" zoomScaleNormal="80" workbookViewId="0">
      <selection activeCell="K9" sqref="K9"/>
    </sheetView>
  </sheetViews>
  <sheetFormatPr defaultColWidth="8.77734375" defaultRowHeight="13.8"/>
  <cols>
    <col min="1" max="1" width="8.77734375" style="456"/>
    <col min="2" max="2" width="87.6640625" style="445" bestFit="1" customWidth="1"/>
    <col min="3" max="8" width="15.44140625" style="445" customWidth="1"/>
    <col min="9" max="11" width="8.77734375" style="445"/>
    <col min="12" max="12" width="8.88671875" style="445" bestFit="1" customWidth="1"/>
    <col min="13" max="14" width="9.33203125" style="445" bestFit="1" customWidth="1"/>
    <col min="15" max="16384" width="8.77734375" style="445"/>
  </cols>
  <sheetData>
    <row r="1" spans="1:14">
      <c r="A1" s="125" t="s">
        <v>30</v>
      </c>
      <c r="B1" s="444" t="str">
        <f>'Info '!C2</f>
        <v xml:space="preserve">PASHA Bank Georgia JSC </v>
      </c>
      <c r="C1" s="444"/>
    </row>
    <row r="2" spans="1:14">
      <c r="A2" s="125" t="s">
        <v>31</v>
      </c>
      <c r="B2" s="446">
        <f>'1. key ratios '!B2</f>
        <v>46112</v>
      </c>
      <c r="C2" s="444"/>
    </row>
    <row r="3" spans="1:14" ht="14.4" thickBot="1">
      <c r="A3" s="445"/>
    </row>
    <row r="4" spans="1:14">
      <c r="A4" s="748" t="s">
        <v>6</v>
      </c>
      <c r="B4" s="749" t="s">
        <v>94</v>
      </c>
      <c r="C4" s="750" t="s">
        <v>522</v>
      </c>
      <c r="D4" s="750"/>
      <c r="E4" s="750"/>
      <c r="F4" s="750" t="s">
        <v>523</v>
      </c>
      <c r="G4" s="750"/>
      <c r="H4" s="751"/>
    </row>
    <row r="5" spans="1:14">
      <c r="A5" s="748"/>
      <c r="B5" s="749"/>
      <c r="C5" s="326" t="s">
        <v>32</v>
      </c>
      <c r="D5" s="326" t="s">
        <v>33</v>
      </c>
      <c r="E5" s="326" t="s">
        <v>34</v>
      </c>
      <c r="F5" s="326" t="s">
        <v>32</v>
      </c>
      <c r="G5" s="326" t="s">
        <v>33</v>
      </c>
      <c r="H5" s="326" t="s">
        <v>34</v>
      </c>
    </row>
    <row r="6" spans="1:14">
      <c r="A6" s="347">
        <v>1</v>
      </c>
      <c r="B6" s="329" t="s">
        <v>621</v>
      </c>
      <c r="C6" s="458"/>
      <c r="D6" s="458"/>
      <c r="E6" s="459">
        <f t="shared" ref="E6:E43" si="0">C6+D6</f>
        <v>0</v>
      </c>
      <c r="F6" s="458"/>
      <c r="G6" s="458"/>
      <c r="H6" s="460">
        <f t="shared" ref="H6:H43" si="1">F6+G6</f>
        <v>0</v>
      </c>
      <c r="I6" s="600"/>
      <c r="J6" s="600"/>
      <c r="K6" s="600"/>
      <c r="L6" s="600"/>
      <c r="M6" s="600"/>
      <c r="N6" s="600"/>
    </row>
    <row r="7" spans="1:14">
      <c r="A7" s="347">
        <v>2</v>
      </c>
      <c r="B7" s="329" t="s">
        <v>183</v>
      </c>
      <c r="C7" s="458"/>
      <c r="D7" s="458"/>
      <c r="E7" s="459">
        <f t="shared" si="0"/>
        <v>0</v>
      </c>
      <c r="F7" s="458"/>
      <c r="G7" s="458"/>
      <c r="H7" s="460">
        <f t="shared" si="1"/>
        <v>0</v>
      </c>
      <c r="I7" s="600"/>
      <c r="J7" s="600"/>
      <c r="K7" s="600"/>
      <c r="L7" s="600"/>
      <c r="M7" s="600"/>
      <c r="N7" s="600"/>
    </row>
    <row r="8" spans="1:14">
      <c r="A8" s="347">
        <v>3</v>
      </c>
      <c r="B8" s="329" t="s">
        <v>193</v>
      </c>
      <c r="C8" s="458">
        <f>C9+C10</f>
        <v>666482970.40999997</v>
      </c>
      <c r="D8" s="458">
        <f>D9+D10</f>
        <v>2733713731.3031001</v>
      </c>
      <c r="E8" s="459">
        <f t="shared" si="0"/>
        <v>3400196701.7131</v>
      </c>
      <c r="F8" s="458">
        <f>F9+F10</f>
        <v>330783483.09890002</v>
      </c>
      <c r="G8" s="458">
        <f>G9+G10</f>
        <v>459842724.97600001</v>
      </c>
      <c r="H8" s="460">
        <f t="shared" si="1"/>
        <v>790626208.07490003</v>
      </c>
      <c r="I8" s="600"/>
      <c r="J8" s="600"/>
      <c r="K8" s="600"/>
      <c r="L8" s="600"/>
      <c r="M8" s="600"/>
      <c r="N8" s="600"/>
    </row>
    <row r="9" spans="1:14">
      <c r="A9" s="347">
        <v>3.1</v>
      </c>
      <c r="B9" s="328" t="s">
        <v>184</v>
      </c>
      <c r="C9" s="458">
        <v>637250004</v>
      </c>
      <c r="D9" s="458">
        <v>2717661031.7625999</v>
      </c>
      <c r="E9" s="459">
        <f t="shared" si="0"/>
        <v>3354911035.7625999</v>
      </c>
      <c r="F9" s="458">
        <v>309064486.68889999</v>
      </c>
      <c r="G9" s="458">
        <v>442799913.52850002</v>
      </c>
      <c r="H9" s="460">
        <f t="shared" si="1"/>
        <v>751864400.21740007</v>
      </c>
      <c r="I9" s="600"/>
      <c r="J9" s="600"/>
      <c r="K9" s="600"/>
      <c r="L9" s="600"/>
      <c r="M9" s="600"/>
      <c r="N9" s="600"/>
    </row>
    <row r="10" spans="1:14">
      <c r="A10" s="347">
        <v>3.2</v>
      </c>
      <c r="B10" s="328" t="s">
        <v>180</v>
      </c>
      <c r="C10" s="458">
        <v>29232966.41</v>
      </c>
      <c r="D10" s="458">
        <v>16052699.5405</v>
      </c>
      <c r="E10" s="459">
        <f t="shared" si="0"/>
        <v>45285665.950499997</v>
      </c>
      <c r="F10" s="458">
        <v>21718996.41</v>
      </c>
      <c r="G10" s="458">
        <v>17042811.447499998</v>
      </c>
      <c r="H10" s="460">
        <f t="shared" si="1"/>
        <v>38761807.857500002</v>
      </c>
      <c r="I10" s="600"/>
      <c r="J10" s="600"/>
      <c r="K10" s="600"/>
      <c r="L10" s="600"/>
      <c r="M10" s="600"/>
      <c r="N10" s="600"/>
    </row>
    <row r="11" spans="1:14">
      <c r="A11" s="347">
        <v>4</v>
      </c>
      <c r="B11" s="329" t="s">
        <v>182</v>
      </c>
      <c r="C11" s="458">
        <f>C12+C13</f>
        <v>0</v>
      </c>
      <c r="D11" s="458">
        <f>D12+D13</f>
        <v>0</v>
      </c>
      <c r="E11" s="459">
        <f t="shared" si="0"/>
        <v>0</v>
      </c>
      <c r="F11" s="458">
        <f>F12+F13</f>
        <v>0</v>
      </c>
      <c r="G11" s="458">
        <f>G12+G13</f>
        <v>0</v>
      </c>
      <c r="H11" s="460">
        <f t="shared" si="1"/>
        <v>0</v>
      </c>
      <c r="I11" s="600"/>
      <c r="J11" s="600"/>
      <c r="K11" s="600"/>
      <c r="L11" s="600"/>
      <c r="M11" s="600"/>
      <c r="N11" s="600"/>
    </row>
    <row r="12" spans="1:14">
      <c r="A12" s="347">
        <v>4.0999999999999996</v>
      </c>
      <c r="B12" s="328" t="s">
        <v>166</v>
      </c>
      <c r="C12" s="458"/>
      <c r="D12" s="458"/>
      <c r="E12" s="459">
        <f t="shared" si="0"/>
        <v>0</v>
      </c>
      <c r="F12" s="458"/>
      <c r="G12" s="458"/>
      <c r="H12" s="460">
        <f t="shared" si="1"/>
        <v>0</v>
      </c>
      <c r="I12" s="600"/>
      <c r="J12" s="600"/>
      <c r="K12" s="600"/>
      <c r="L12" s="600"/>
      <c r="M12" s="600"/>
      <c r="N12" s="600"/>
    </row>
    <row r="13" spans="1:14">
      <c r="A13" s="347">
        <v>4.2</v>
      </c>
      <c r="B13" s="328" t="s">
        <v>167</v>
      </c>
      <c r="C13" s="458"/>
      <c r="D13" s="458"/>
      <c r="E13" s="459">
        <f t="shared" si="0"/>
        <v>0</v>
      </c>
      <c r="F13" s="458"/>
      <c r="G13" s="458"/>
      <c r="H13" s="460">
        <f t="shared" si="1"/>
        <v>0</v>
      </c>
      <c r="I13" s="600"/>
      <c r="J13" s="600"/>
      <c r="K13" s="600"/>
      <c r="L13" s="600"/>
      <c r="M13" s="600"/>
      <c r="N13" s="600"/>
    </row>
    <row r="14" spans="1:14">
      <c r="A14" s="347">
        <v>5</v>
      </c>
      <c r="B14" s="329" t="s">
        <v>192</v>
      </c>
      <c r="C14" s="458">
        <f>C15+C16+C17+C23+C24+C25+C26</f>
        <v>119173565.78</v>
      </c>
      <c r="D14" s="458">
        <f>D15+D16+D17+D23+D24+D25+D26</f>
        <v>561735888.9683001</v>
      </c>
      <c r="E14" s="459">
        <f t="shared" si="0"/>
        <v>680909454.74830008</v>
      </c>
      <c r="F14" s="458">
        <f>F15+F16+F17+F23+F24+F25+F26</f>
        <v>104624024.06999999</v>
      </c>
      <c r="G14" s="458">
        <f>G15+G16+G17+G23+G24+G25+G26</f>
        <v>511917525.30389988</v>
      </c>
      <c r="H14" s="460">
        <f t="shared" si="1"/>
        <v>616541549.37389994</v>
      </c>
      <c r="I14" s="600"/>
      <c r="J14" s="600"/>
      <c r="K14" s="600"/>
      <c r="L14" s="600"/>
      <c r="M14" s="600"/>
      <c r="N14" s="600"/>
    </row>
    <row r="15" spans="1:14">
      <c r="A15" s="347">
        <v>5.0999999999999996</v>
      </c>
      <c r="B15" s="330" t="s">
        <v>170</v>
      </c>
      <c r="C15" s="458">
        <v>2418442.6</v>
      </c>
      <c r="D15" s="458">
        <v>57963340.479699999</v>
      </c>
      <c r="E15" s="459">
        <f t="shared" si="0"/>
        <v>60381783.079700001</v>
      </c>
      <c r="F15" s="458">
        <v>2318393.54</v>
      </c>
      <c r="G15" s="458">
        <v>51468537.315700002</v>
      </c>
      <c r="H15" s="460">
        <f t="shared" si="1"/>
        <v>53786930.855700001</v>
      </c>
      <c r="I15" s="600"/>
      <c r="J15" s="600"/>
      <c r="K15" s="600"/>
      <c r="L15" s="600"/>
      <c r="M15" s="600"/>
      <c r="N15" s="600"/>
    </row>
    <row r="16" spans="1:14">
      <c r="A16" s="347">
        <v>5.2</v>
      </c>
      <c r="B16" s="330" t="s">
        <v>169</v>
      </c>
      <c r="C16" s="458"/>
      <c r="D16" s="458"/>
      <c r="E16" s="459">
        <f t="shared" si="0"/>
        <v>0</v>
      </c>
      <c r="F16" s="458"/>
      <c r="G16" s="458"/>
      <c r="H16" s="460">
        <f t="shared" si="1"/>
        <v>0</v>
      </c>
      <c r="I16" s="600"/>
      <c r="J16" s="600"/>
      <c r="K16" s="600"/>
      <c r="L16" s="600"/>
      <c r="M16" s="600"/>
      <c r="N16" s="600"/>
    </row>
    <row r="17" spans="1:14">
      <c r="A17" s="347">
        <v>5.3</v>
      </c>
      <c r="B17" s="330" t="s">
        <v>168</v>
      </c>
      <c r="C17" s="458">
        <f>C18+C19+C20+C21+C22</f>
        <v>34008852.579999998</v>
      </c>
      <c r="D17" s="458">
        <f>D18+D19+D20+D21+D22</f>
        <v>406928387.00040001</v>
      </c>
      <c r="E17" s="459">
        <f t="shared" si="0"/>
        <v>440937239.58039999</v>
      </c>
      <c r="F17" s="458">
        <f>F18+F19+F20+F21+F22</f>
        <v>25558852.579999998</v>
      </c>
      <c r="G17" s="458">
        <f>G18+G19+G20+G21+G22</f>
        <v>362923641.13879997</v>
      </c>
      <c r="H17" s="460">
        <f t="shared" si="1"/>
        <v>388482493.71879995</v>
      </c>
      <c r="I17" s="600"/>
      <c r="J17" s="600"/>
      <c r="K17" s="600"/>
      <c r="L17" s="600"/>
      <c r="M17" s="600"/>
      <c r="N17" s="600"/>
    </row>
    <row r="18" spans="1:14">
      <c r="A18" s="347" t="s">
        <v>15</v>
      </c>
      <c r="B18" s="331" t="s">
        <v>36</v>
      </c>
      <c r="C18" s="458">
        <v>1</v>
      </c>
      <c r="D18" s="458">
        <v>31451171.502300002</v>
      </c>
      <c r="E18" s="459">
        <f t="shared" si="0"/>
        <v>31451172.502300002</v>
      </c>
      <c r="F18" s="458">
        <v>1</v>
      </c>
      <c r="G18" s="458">
        <v>26051281.73</v>
      </c>
      <c r="H18" s="460">
        <f t="shared" si="1"/>
        <v>26051282.73</v>
      </c>
      <c r="I18" s="600"/>
      <c r="J18" s="600"/>
      <c r="K18" s="600"/>
      <c r="L18" s="600"/>
      <c r="M18" s="600"/>
      <c r="N18" s="600"/>
    </row>
    <row r="19" spans="1:14">
      <c r="A19" s="347" t="s">
        <v>16</v>
      </c>
      <c r="B19" s="331" t="s">
        <v>37</v>
      </c>
      <c r="C19" s="458">
        <v>167892</v>
      </c>
      <c r="D19" s="458">
        <v>227444131.0738</v>
      </c>
      <c r="E19" s="459">
        <f t="shared" si="0"/>
        <v>227612023.0738</v>
      </c>
      <c r="F19" s="458">
        <v>167892</v>
      </c>
      <c r="G19" s="458">
        <v>246035694.51339999</v>
      </c>
      <c r="H19" s="460">
        <f t="shared" si="1"/>
        <v>246203586.51339999</v>
      </c>
      <c r="I19" s="600"/>
      <c r="J19" s="600"/>
      <c r="K19" s="600"/>
      <c r="L19" s="600"/>
      <c r="M19" s="600"/>
      <c r="N19" s="600"/>
    </row>
    <row r="20" spans="1:14">
      <c r="A20" s="347" t="s">
        <v>17</v>
      </c>
      <c r="B20" s="331" t="s">
        <v>38</v>
      </c>
      <c r="C20" s="458">
        <v>0</v>
      </c>
      <c r="D20" s="458">
        <v>4255.4787999999999</v>
      </c>
      <c r="E20" s="459">
        <f t="shared" si="0"/>
        <v>4255.4787999999999</v>
      </c>
      <c r="F20" s="458">
        <v>0</v>
      </c>
      <c r="G20" s="458">
        <v>0</v>
      </c>
      <c r="H20" s="460">
        <f t="shared" si="1"/>
        <v>0</v>
      </c>
      <c r="I20" s="600"/>
      <c r="J20" s="600"/>
      <c r="K20" s="600"/>
      <c r="L20" s="600"/>
      <c r="M20" s="600"/>
      <c r="N20" s="600"/>
    </row>
    <row r="21" spans="1:14">
      <c r="A21" s="347" t="s">
        <v>18</v>
      </c>
      <c r="B21" s="331" t="s">
        <v>39</v>
      </c>
      <c r="C21" s="458">
        <v>40960.58</v>
      </c>
      <c r="D21" s="458">
        <v>94461290.930800006</v>
      </c>
      <c r="E21" s="459">
        <f t="shared" si="0"/>
        <v>94502251.510800004</v>
      </c>
      <c r="F21" s="458">
        <v>40960.58</v>
      </c>
      <c r="G21" s="458">
        <v>65649479.954300001</v>
      </c>
      <c r="H21" s="460">
        <f t="shared" si="1"/>
        <v>65690440.534299999</v>
      </c>
      <c r="I21" s="600"/>
      <c r="J21" s="600"/>
      <c r="K21" s="600"/>
      <c r="L21" s="600"/>
      <c r="M21" s="600"/>
      <c r="N21" s="600"/>
    </row>
    <row r="22" spans="1:14">
      <c r="A22" s="347" t="s">
        <v>19</v>
      </c>
      <c r="B22" s="331" t="s">
        <v>40</v>
      </c>
      <c r="C22" s="458">
        <v>33799999</v>
      </c>
      <c r="D22" s="458">
        <v>53567538.014700003</v>
      </c>
      <c r="E22" s="459">
        <f t="shared" si="0"/>
        <v>87367537.014699996</v>
      </c>
      <c r="F22" s="458">
        <v>25349999</v>
      </c>
      <c r="G22" s="458">
        <v>25187184.941100001</v>
      </c>
      <c r="H22" s="460">
        <f t="shared" si="1"/>
        <v>50537183.941100001</v>
      </c>
      <c r="I22" s="600"/>
      <c r="J22" s="600"/>
      <c r="K22" s="600"/>
      <c r="L22" s="600"/>
      <c r="M22" s="600"/>
      <c r="N22" s="600"/>
    </row>
    <row r="23" spans="1:14">
      <c r="A23" s="347">
        <v>5.4</v>
      </c>
      <c r="B23" s="330" t="s">
        <v>171</v>
      </c>
      <c r="C23" s="458">
        <v>1911601</v>
      </c>
      <c r="D23" s="458">
        <v>47281607.523400001</v>
      </c>
      <c r="E23" s="459">
        <f t="shared" si="0"/>
        <v>49193208.523400001</v>
      </c>
      <c r="F23" s="458">
        <v>4311601</v>
      </c>
      <c r="G23" s="458">
        <v>39329320.325300001</v>
      </c>
      <c r="H23" s="460">
        <f t="shared" si="1"/>
        <v>43640921.325300001</v>
      </c>
      <c r="I23" s="600"/>
      <c r="J23" s="600"/>
      <c r="K23" s="600"/>
      <c r="L23" s="600"/>
      <c r="M23" s="600"/>
      <c r="N23" s="600"/>
    </row>
    <row r="24" spans="1:14">
      <c r="A24" s="347">
        <v>5.5</v>
      </c>
      <c r="B24" s="330" t="s">
        <v>172</v>
      </c>
      <c r="C24" s="458">
        <v>0.01</v>
      </c>
      <c r="D24" s="458">
        <v>43.817799999999998</v>
      </c>
      <c r="E24" s="459">
        <f t="shared" si="0"/>
        <v>43.827799999999996</v>
      </c>
      <c r="F24" s="458">
        <v>0</v>
      </c>
      <c r="G24" s="458">
        <v>61.544800000000002</v>
      </c>
      <c r="H24" s="460">
        <f t="shared" si="1"/>
        <v>61.544800000000002</v>
      </c>
      <c r="I24" s="600"/>
      <c r="J24" s="600"/>
      <c r="K24" s="600"/>
      <c r="L24" s="600"/>
      <c r="M24" s="600"/>
      <c r="N24" s="600"/>
    </row>
    <row r="25" spans="1:14">
      <c r="A25" s="347">
        <v>5.6</v>
      </c>
      <c r="B25" s="330" t="s">
        <v>173</v>
      </c>
      <c r="C25" s="458">
        <v>0</v>
      </c>
      <c r="D25" s="458">
        <v>15347124.9527</v>
      </c>
      <c r="E25" s="459">
        <f t="shared" si="0"/>
        <v>15347124.9527</v>
      </c>
      <c r="F25" s="458">
        <v>0</v>
      </c>
      <c r="G25" s="458">
        <v>15730831.499199999</v>
      </c>
      <c r="H25" s="460">
        <f t="shared" si="1"/>
        <v>15730831.499199999</v>
      </c>
      <c r="I25" s="600"/>
      <c r="J25" s="600"/>
      <c r="K25" s="600"/>
      <c r="L25" s="600"/>
      <c r="M25" s="600"/>
      <c r="N25" s="600"/>
    </row>
    <row r="26" spans="1:14">
      <c r="A26" s="347">
        <v>5.7</v>
      </c>
      <c r="B26" s="330" t="s">
        <v>40</v>
      </c>
      <c r="C26" s="458">
        <v>80834669.590000004</v>
      </c>
      <c r="D26" s="458">
        <v>34215385.194300003</v>
      </c>
      <c r="E26" s="459">
        <f t="shared" si="0"/>
        <v>115050054.7843</v>
      </c>
      <c r="F26" s="458">
        <v>72435176.950000003</v>
      </c>
      <c r="G26" s="458">
        <v>42465133.480099998</v>
      </c>
      <c r="H26" s="460">
        <f t="shared" si="1"/>
        <v>114900310.43009999</v>
      </c>
      <c r="I26" s="600"/>
      <c r="J26" s="600"/>
      <c r="K26" s="600"/>
      <c r="L26" s="600"/>
      <c r="M26" s="600"/>
      <c r="N26" s="600"/>
    </row>
    <row r="27" spans="1:14">
      <c r="A27" s="347">
        <v>6</v>
      </c>
      <c r="B27" s="461" t="s">
        <v>622</v>
      </c>
      <c r="C27" s="458">
        <v>6169525.5299999993</v>
      </c>
      <c r="D27" s="458">
        <v>27041112.274099998</v>
      </c>
      <c r="E27" s="459">
        <f t="shared" si="0"/>
        <v>33210637.804099999</v>
      </c>
      <c r="F27" s="458">
        <v>2041208.1700000002</v>
      </c>
      <c r="G27" s="458">
        <v>19217118.318999998</v>
      </c>
      <c r="H27" s="460">
        <f t="shared" si="1"/>
        <v>21258326.489</v>
      </c>
      <c r="I27" s="600"/>
      <c r="J27" s="600"/>
      <c r="K27" s="600"/>
      <c r="L27" s="600"/>
      <c r="M27" s="600"/>
      <c r="N27" s="600"/>
    </row>
    <row r="28" spans="1:14">
      <c r="A28" s="347">
        <v>7</v>
      </c>
      <c r="B28" s="461" t="s">
        <v>623</v>
      </c>
      <c r="C28" s="458">
        <v>35462022.780000001</v>
      </c>
      <c r="D28" s="458">
        <v>32201789.833999999</v>
      </c>
      <c r="E28" s="459">
        <f t="shared" si="0"/>
        <v>67663812.613999993</v>
      </c>
      <c r="F28" s="458">
        <v>24851782.68</v>
      </c>
      <c r="G28" s="458">
        <v>31069275.936700001</v>
      </c>
      <c r="H28" s="460">
        <f t="shared" si="1"/>
        <v>55921058.616700001</v>
      </c>
      <c r="I28" s="600"/>
      <c r="J28" s="600"/>
      <c r="K28" s="600"/>
      <c r="L28" s="600"/>
      <c r="M28" s="600"/>
      <c r="N28" s="600"/>
    </row>
    <row r="29" spans="1:14">
      <c r="A29" s="347">
        <v>8</v>
      </c>
      <c r="B29" s="461" t="s">
        <v>181</v>
      </c>
      <c r="C29" s="458"/>
      <c r="D29" s="458"/>
      <c r="E29" s="459">
        <f t="shared" si="0"/>
        <v>0</v>
      </c>
      <c r="F29" s="458">
        <v>0</v>
      </c>
      <c r="G29" s="458">
        <v>1188550.8223999999</v>
      </c>
      <c r="H29" s="460">
        <f t="shared" si="1"/>
        <v>1188550.8223999999</v>
      </c>
      <c r="I29" s="600"/>
      <c r="J29" s="600"/>
      <c r="K29" s="600"/>
      <c r="L29" s="600"/>
      <c r="M29" s="600"/>
      <c r="N29" s="600"/>
    </row>
    <row r="30" spans="1:14">
      <c r="A30" s="347">
        <v>9</v>
      </c>
      <c r="B30" s="462" t="s">
        <v>198</v>
      </c>
      <c r="C30" s="458">
        <f>C31+C32+C33+C34+C35+C36+C37</f>
        <v>114661668.44</v>
      </c>
      <c r="D30" s="458">
        <f>D31+D32+D33+D34+D35+D36+D37</f>
        <v>290820305.8096</v>
      </c>
      <c r="E30" s="459">
        <f t="shared" si="0"/>
        <v>405481974.24959999</v>
      </c>
      <c r="F30" s="458">
        <f>F31+F32+F33+F34+F35+F36+F37</f>
        <v>84600469.780000001</v>
      </c>
      <c r="G30" s="458">
        <f>G31+G32+G33+G34+G35+G36+G37</f>
        <v>214611675.09750003</v>
      </c>
      <c r="H30" s="460">
        <f t="shared" si="1"/>
        <v>299212144.87750006</v>
      </c>
      <c r="I30" s="600"/>
      <c r="J30" s="600"/>
      <c r="K30" s="600"/>
      <c r="L30" s="600"/>
      <c r="M30" s="600"/>
      <c r="N30" s="600"/>
    </row>
    <row r="31" spans="1:14">
      <c r="A31" s="347">
        <v>9.1</v>
      </c>
      <c r="B31" s="332" t="s">
        <v>188</v>
      </c>
      <c r="C31" s="458">
        <v>114121068.44</v>
      </c>
      <c r="D31" s="458">
        <v>89725694.715700001</v>
      </c>
      <c r="E31" s="459">
        <f t="shared" si="0"/>
        <v>203846763.1557</v>
      </c>
      <c r="F31" s="458">
        <v>36770507.280000001</v>
      </c>
      <c r="G31" s="458">
        <v>112856455.77680001</v>
      </c>
      <c r="H31" s="460">
        <f t="shared" si="1"/>
        <v>149626963.05680001</v>
      </c>
      <c r="I31" s="600"/>
      <c r="J31" s="600"/>
      <c r="K31" s="600"/>
      <c r="L31" s="600"/>
      <c r="M31" s="600"/>
      <c r="N31" s="600"/>
    </row>
    <row r="32" spans="1:14">
      <c r="A32" s="347">
        <v>9.1999999999999993</v>
      </c>
      <c r="B32" s="332" t="s">
        <v>189</v>
      </c>
      <c r="C32" s="458">
        <v>540600</v>
      </c>
      <c r="D32" s="458">
        <v>201094611.09390002</v>
      </c>
      <c r="E32" s="459">
        <f t="shared" si="0"/>
        <v>201635211.09390002</v>
      </c>
      <c r="F32" s="458">
        <v>47829962.5</v>
      </c>
      <c r="G32" s="458">
        <v>101755219.3207</v>
      </c>
      <c r="H32" s="460">
        <f t="shared" si="1"/>
        <v>149585181.82069999</v>
      </c>
      <c r="I32" s="600"/>
      <c r="J32" s="600"/>
      <c r="K32" s="600"/>
      <c r="L32" s="600"/>
      <c r="M32" s="600"/>
      <c r="N32" s="600"/>
    </row>
    <row r="33" spans="1:14">
      <c r="A33" s="347">
        <v>9.3000000000000007</v>
      </c>
      <c r="B33" s="332" t="s">
        <v>185</v>
      </c>
      <c r="C33" s="458"/>
      <c r="D33" s="458"/>
      <c r="E33" s="459">
        <f t="shared" si="0"/>
        <v>0</v>
      </c>
      <c r="F33" s="458"/>
      <c r="G33" s="458"/>
      <c r="H33" s="460">
        <f t="shared" si="1"/>
        <v>0</v>
      </c>
      <c r="I33" s="600"/>
      <c r="J33" s="600"/>
      <c r="K33" s="600"/>
      <c r="L33" s="600"/>
      <c r="M33" s="600"/>
      <c r="N33" s="600"/>
    </row>
    <row r="34" spans="1:14">
      <c r="A34" s="347">
        <v>9.4</v>
      </c>
      <c r="B34" s="332" t="s">
        <v>186</v>
      </c>
      <c r="C34" s="458"/>
      <c r="D34" s="458"/>
      <c r="E34" s="459">
        <f t="shared" si="0"/>
        <v>0</v>
      </c>
      <c r="F34" s="458"/>
      <c r="G34" s="458"/>
      <c r="H34" s="460">
        <f t="shared" si="1"/>
        <v>0</v>
      </c>
      <c r="I34" s="600"/>
      <c r="J34" s="600"/>
      <c r="K34" s="600"/>
      <c r="L34" s="600"/>
      <c r="M34" s="600"/>
      <c r="N34" s="600"/>
    </row>
    <row r="35" spans="1:14">
      <c r="A35" s="347">
        <v>9.5</v>
      </c>
      <c r="B35" s="332" t="s">
        <v>187</v>
      </c>
      <c r="C35" s="458"/>
      <c r="D35" s="458"/>
      <c r="E35" s="459">
        <f t="shared" si="0"/>
        <v>0</v>
      </c>
      <c r="F35" s="458"/>
      <c r="G35" s="458"/>
      <c r="H35" s="460">
        <f t="shared" si="1"/>
        <v>0</v>
      </c>
      <c r="I35" s="600"/>
      <c r="J35" s="600"/>
      <c r="K35" s="600"/>
      <c r="L35" s="600"/>
      <c r="M35" s="600"/>
      <c r="N35" s="600"/>
    </row>
    <row r="36" spans="1:14">
      <c r="A36" s="347">
        <v>9.6</v>
      </c>
      <c r="B36" s="332" t="s">
        <v>190</v>
      </c>
      <c r="C36" s="458"/>
      <c r="D36" s="458"/>
      <c r="E36" s="459">
        <f t="shared" si="0"/>
        <v>0</v>
      </c>
      <c r="F36" s="458"/>
      <c r="G36" s="458"/>
      <c r="H36" s="460">
        <f t="shared" si="1"/>
        <v>0</v>
      </c>
      <c r="I36" s="600"/>
      <c r="J36" s="600"/>
      <c r="K36" s="600"/>
      <c r="L36" s="600"/>
      <c r="M36" s="600"/>
      <c r="N36" s="600"/>
    </row>
    <row r="37" spans="1:14">
      <c r="A37" s="347">
        <v>9.6999999999999993</v>
      </c>
      <c r="B37" s="332" t="s">
        <v>191</v>
      </c>
      <c r="C37" s="458"/>
      <c r="D37" s="458"/>
      <c r="E37" s="459">
        <f t="shared" si="0"/>
        <v>0</v>
      </c>
      <c r="F37" s="458"/>
      <c r="G37" s="458"/>
      <c r="H37" s="460">
        <f t="shared" si="1"/>
        <v>0</v>
      </c>
      <c r="I37" s="600"/>
      <c r="J37" s="600"/>
      <c r="K37" s="600"/>
      <c r="L37" s="600"/>
      <c r="M37" s="600"/>
      <c r="N37" s="600"/>
    </row>
    <row r="38" spans="1:14">
      <c r="A38" s="347">
        <v>10</v>
      </c>
      <c r="B38" s="329" t="s">
        <v>194</v>
      </c>
      <c r="C38" s="465">
        <f>C41+C42</f>
        <v>15570112.470000001</v>
      </c>
      <c r="D38" s="465">
        <f>D41+D42</f>
        <v>23392739.323199999</v>
      </c>
      <c r="E38" s="463">
        <f t="shared" si="0"/>
        <v>38962851.793200001</v>
      </c>
      <c r="F38" s="465">
        <f>F41+F42</f>
        <v>16019374</v>
      </c>
      <c r="G38" s="465">
        <f>G41+G42</f>
        <v>193679</v>
      </c>
      <c r="H38" s="460">
        <f t="shared" si="1"/>
        <v>16213053</v>
      </c>
      <c r="I38" s="600"/>
      <c r="J38" s="600"/>
      <c r="K38" s="600"/>
      <c r="L38" s="600"/>
      <c r="M38" s="600"/>
      <c r="N38" s="600"/>
    </row>
    <row r="39" spans="1:14">
      <c r="A39" s="347">
        <v>10.1</v>
      </c>
      <c r="B39" s="332" t="s">
        <v>195</v>
      </c>
      <c r="C39" s="458"/>
      <c r="D39" s="458"/>
      <c r="E39" s="459">
        <f t="shared" si="0"/>
        <v>0</v>
      </c>
      <c r="F39" s="458"/>
      <c r="G39" s="458"/>
      <c r="H39" s="460">
        <f t="shared" si="1"/>
        <v>0</v>
      </c>
      <c r="I39" s="600"/>
      <c r="J39" s="600"/>
      <c r="K39" s="600"/>
      <c r="L39" s="600"/>
      <c r="M39" s="600"/>
      <c r="N39" s="600"/>
    </row>
    <row r="40" spans="1:14">
      <c r="A40" s="347">
        <v>10.199999999999999</v>
      </c>
      <c r="B40" s="332" t="s">
        <v>196</v>
      </c>
      <c r="C40" s="458"/>
      <c r="D40" s="458"/>
      <c r="E40" s="459">
        <f t="shared" si="0"/>
        <v>0</v>
      </c>
      <c r="F40" s="458"/>
      <c r="G40" s="458"/>
      <c r="H40" s="460">
        <f t="shared" si="1"/>
        <v>0</v>
      </c>
      <c r="I40" s="600"/>
      <c r="J40" s="600"/>
      <c r="K40" s="600"/>
      <c r="L40" s="600"/>
      <c r="M40" s="600"/>
      <c r="N40" s="600"/>
    </row>
    <row r="41" spans="1:14">
      <c r="A41" s="347">
        <v>10.3</v>
      </c>
      <c r="B41" s="332" t="s">
        <v>199</v>
      </c>
      <c r="C41" s="458">
        <v>33516.46</v>
      </c>
      <c r="D41" s="458">
        <v>9173.5095999999994</v>
      </c>
      <c r="E41" s="459">
        <f t="shared" si="0"/>
        <v>42689.969599999997</v>
      </c>
      <c r="F41" s="458">
        <v>574405</v>
      </c>
      <c r="G41" s="458">
        <v>0</v>
      </c>
      <c r="H41" s="460">
        <f t="shared" si="1"/>
        <v>574405</v>
      </c>
      <c r="I41" s="600"/>
      <c r="J41" s="600"/>
      <c r="K41" s="600"/>
      <c r="L41" s="600"/>
      <c r="M41" s="600"/>
      <c r="N41" s="600"/>
    </row>
    <row r="42" spans="1:14" ht="26.4">
      <c r="A42" s="347">
        <v>10.4</v>
      </c>
      <c r="B42" s="332" t="s">
        <v>200</v>
      </c>
      <c r="C42" s="458">
        <v>15536596.01</v>
      </c>
      <c r="D42" s="458">
        <v>23383565.8136</v>
      </c>
      <c r="E42" s="459">
        <f t="shared" si="0"/>
        <v>38920161.823600002</v>
      </c>
      <c r="F42" s="458">
        <v>15444969</v>
      </c>
      <c r="G42" s="458">
        <v>193679</v>
      </c>
      <c r="H42" s="460">
        <f t="shared" si="1"/>
        <v>15638648</v>
      </c>
      <c r="I42" s="600"/>
      <c r="J42" s="600"/>
      <c r="K42" s="600"/>
      <c r="L42" s="600"/>
      <c r="M42" s="600"/>
      <c r="N42" s="600"/>
    </row>
    <row r="43" spans="1:14" ht="14.4" thickBot="1">
      <c r="A43" s="347">
        <v>11</v>
      </c>
      <c r="B43" s="101" t="s">
        <v>197</v>
      </c>
      <c r="C43" s="458"/>
      <c r="D43" s="458"/>
      <c r="E43" s="459">
        <f t="shared" si="0"/>
        <v>0</v>
      </c>
      <c r="F43" s="458"/>
      <c r="G43" s="458"/>
      <c r="H43" s="460">
        <f t="shared" si="1"/>
        <v>0</v>
      </c>
      <c r="I43" s="600"/>
      <c r="J43" s="600"/>
      <c r="K43" s="600"/>
      <c r="L43" s="600"/>
      <c r="M43" s="600"/>
      <c r="N43" s="600"/>
    </row>
    <row r="44" spans="1:14">
      <c r="C44" s="333"/>
      <c r="D44" s="333"/>
      <c r="E44" s="333"/>
      <c r="F44" s="333"/>
      <c r="G44" s="333"/>
      <c r="H44" s="333"/>
    </row>
    <row r="45" spans="1:14">
      <c r="C45" s="333"/>
      <c r="D45" s="333"/>
      <c r="E45" s="333"/>
      <c r="F45" s="333"/>
      <c r="G45" s="333"/>
      <c r="H45" s="333"/>
    </row>
    <row r="46" spans="1:14">
      <c r="C46" s="333"/>
      <c r="D46" s="333"/>
      <c r="E46" s="333"/>
      <c r="F46" s="333"/>
      <c r="G46" s="333"/>
      <c r="H46" s="333"/>
    </row>
    <row r="47" spans="1:14">
      <c r="C47" s="333"/>
      <c r="D47" s="333"/>
      <c r="E47" s="333"/>
      <c r="F47" s="333"/>
      <c r="G47" s="333"/>
      <c r="H47" s="333"/>
    </row>
  </sheetData>
  <mergeCells count="4">
    <mergeCell ref="A4:A5"/>
    <mergeCell ref="B4:B5"/>
    <mergeCell ref="C4:E4"/>
    <mergeCell ref="F4:H4"/>
  </mergeCells>
  <pageMargins left="0.7" right="0.7" top="0.75" bottom="0.75" header="0.3" footer="0.3"/>
  <pageSetup paperSize="9" scale="46" orientation="portrait" horizontalDpi="300" verticalDpi="300" r:id="rId1"/>
  <headerFooter>
    <oddFooter>&amp;C_x000D_&amp;1#&amp;"Aptos"&amp;10&amp;K000000 C4 - EXTERNAL 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M29"/>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K6" sqref="K6"/>
    </sheetView>
  </sheetViews>
  <sheetFormatPr defaultColWidth="9.21875" defaultRowHeight="13.2"/>
  <cols>
    <col min="1" max="1" width="9.5546875" style="4" bestFit="1" customWidth="1"/>
    <col min="2" max="2" width="93.5546875" style="4" customWidth="1"/>
    <col min="3" max="4" width="13.21875" style="4" customWidth="1"/>
    <col min="5" max="7" width="13.21875" style="13" customWidth="1"/>
    <col min="8" max="11" width="9.77734375" style="13" customWidth="1"/>
    <col min="12" max="16384" width="9.21875" style="13"/>
  </cols>
  <sheetData>
    <row r="1" spans="1:13">
      <c r="A1" s="2" t="s">
        <v>30</v>
      </c>
      <c r="B1" s="3" t="str">
        <f>'Info '!C2</f>
        <v xml:space="preserve">PASHA Bank Georgia JSC </v>
      </c>
      <c r="C1" s="3"/>
    </row>
    <row r="2" spans="1:13">
      <c r="A2" s="2" t="s">
        <v>31</v>
      </c>
      <c r="B2" s="253">
        <f>'1. key ratios '!B2</f>
        <v>46112</v>
      </c>
      <c r="C2" s="3"/>
    </row>
    <row r="3" spans="1:13">
      <c r="A3" s="2"/>
      <c r="B3" s="3"/>
      <c r="C3" s="3"/>
    </row>
    <row r="4" spans="1:13" ht="15" customHeight="1" thickBot="1">
      <c r="A4" s="4" t="s">
        <v>96</v>
      </c>
      <c r="B4" s="84" t="s">
        <v>174</v>
      </c>
      <c r="C4" s="16" t="s">
        <v>35</v>
      </c>
    </row>
    <row r="5" spans="1:13" ht="15" customHeight="1">
      <c r="A5" s="123" t="s">
        <v>6</v>
      </c>
      <c r="B5" s="124"/>
      <c r="C5" s="251" t="str">
        <f>INT((MONTH($B$2))/3)&amp;"Q"&amp;"-"&amp;YEAR($B$2)</f>
        <v>1Q-2026</v>
      </c>
      <c r="D5" s="251" t="str">
        <f>IF(INT(MONTH($B$2))=3, "4"&amp;"Q"&amp;"-"&amp;YEAR($B$2)-1, IF(INT(MONTH($B$2))=6, "1"&amp;"Q"&amp;"-"&amp;YEAR($B$2), IF(INT(MONTH($B$2))=9, "2"&amp;"Q"&amp;"-"&amp;YEAR($B$2),IF(INT(MONTH($B$2))=12, "3"&amp;"Q"&amp;"-"&amp;YEAR($B$2), 0))))</f>
        <v>4Q-2025</v>
      </c>
      <c r="E5" s="251" t="str">
        <f>IF(INT(MONTH($B$2))=3, "3"&amp;"Q"&amp;"-"&amp;YEAR($B$2)-1, IF(INT(MONTH($B$2))=6, "4"&amp;"Q"&amp;"-"&amp;YEAR($B$2)-1, IF(INT(MONTH($B$2))=9, "1"&amp;"Q"&amp;"-"&amp;YEAR($B$2),IF(INT(MONTH($B$2))=12, "2"&amp;"Q"&amp;"-"&amp;YEAR($B$2), 0))))</f>
        <v>3Q-2025</v>
      </c>
      <c r="F5" s="251" t="str">
        <f>IF(INT(MONTH($B$2))=3, "2"&amp;"Q"&amp;"-"&amp;YEAR($B$2)-1, IF(INT(MONTH($B$2))=6, "3"&amp;"Q"&amp;"-"&amp;YEAR($B$2)-1, IF(INT(MONTH($B$2))=9, "4"&amp;"Q"&amp;"-"&amp;YEAR($B$2)-1,IF(INT(MONTH($B$2))=12, "1"&amp;"Q"&amp;"-"&amp;YEAR($B$2), 0))))</f>
        <v>2Q-2025</v>
      </c>
      <c r="G5" s="252" t="str">
        <f>IF(INT(MONTH($B$2))=3, "1"&amp;"Q"&amp;"-"&amp;YEAR($B$2)-1, IF(INT(MONTH($B$2))=6, "2"&amp;"Q"&amp;"-"&amp;YEAR($B$2)-1, IF(INT(MONTH($B$2))=9, "3"&amp;"Q"&amp;"-"&amp;YEAR($B$2)-1,IF(INT(MONTH($B$2))=12, "4"&amp;"Q"&amp;"-"&amp;YEAR($B$2)-1, 0))))</f>
        <v>1Q-2025</v>
      </c>
    </row>
    <row r="6" spans="1:13" ht="15" customHeight="1">
      <c r="A6" s="17">
        <v>1</v>
      </c>
      <c r="B6" s="207" t="s">
        <v>178</v>
      </c>
      <c r="C6" s="246">
        <f>C7+C9+C10</f>
        <v>585103953.47003365</v>
      </c>
      <c r="D6" s="247">
        <f>D7+D9+D10</f>
        <v>584058719</v>
      </c>
      <c r="E6" s="209">
        <f t="shared" ref="E6:G6" si="0">E7+E9+E10</f>
        <v>535783282</v>
      </c>
      <c r="F6" s="246">
        <f t="shared" si="0"/>
        <v>533218917</v>
      </c>
      <c r="G6" s="249">
        <f t="shared" si="0"/>
        <v>547179260</v>
      </c>
      <c r="H6" s="534"/>
      <c r="I6" s="534"/>
      <c r="J6" s="534"/>
      <c r="K6" s="534"/>
      <c r="L6" s="534"/>
      <c r="M6" s="534"/>
    </row>
    <row r="7" spans="1:13" ht="15" customHeight="1">
      <c r="A7" s="17">
        <v>1.1000000000000001</v>
      </c>
      <c r="B7" s="207" t="s">
        <v>745</v>
      </c>
      <c r="C7" s="531">
        <v>548503868.16568995</v>
      </c>
      <c r="D7" s="532">
        <v>550879870</v>
      </c>
      <c r="E7" s="531">
        <v>494346419</v>
      </c>
      <c r="F7" s="531">
        <v>491806152</v>
      </c>
      <c r="G7" s="533">
        <v>513414046</v>
      </c>
      <c r="H7" s="534"/>
      <c r="I7" s="534"/>
      <c r="J7" s="534"/>
      <c r="K7" s="534"/>
      <c r="L7" s="534"/>
      <c r="M7" s="534"/>
    </row>
    <row r="8" spans="1:13">
      <c r="A8" s="17" t="s">
        <v>14</v>
      </c>
      <c r="B8" s="207" t="s">
        <v>95</v>
      </c>
      <c r="C8" s="531"/>
      <c r="D8" s="532"/>
      <c r="E8" s="531"/>
      <c r="F8" s="531"/>
      <c r="G8" s="533"/>
      <c r="H8" s="534"/>
      <c r="I8" s="534"/>
      <c r="J8" s="534"/>
      <c r="K8" s="534"/>
      <c r="L8" s="534"/>
      <c r="M8" s="534"/>
    </row>
    <row r="9" spans="1:13" ht="15" customHeight="1">
      <c r="A9" s="17">
        <v>1.2</v>
      </c>
      <c r="B9" s="208" t="s">
        <v>94</v>
      </c>
      <c r="C9" s="531">
        <v>35560413.229949996</v>
      </c>
      <c r="D9" s="532">
        <v>32325187</v>
      </c>
      <c r="E9" s="531">
        <v>40843246</v>
      </c>
      <c r="F9" s="531">
        <v>40666665</v>
      </c>
      <c r="G9" s="533">
        <v>33153849</v>
      </c>
      <c r="H9" s="534"/>
      <c r="I9" s="534"/>
      <c r="J9" s="534"/>
      <c r="K9" s="534"/>
      <c r="L9" s="534"/>
      <c r="M9" s="534"/>
    </row>
    <row r="10" spans="1:13" ht="15" customHeight="1">
      <c r="A10" s="17">
        <v>1.3</v>
      </c>
      <c r="B10" s="207" t="s">
        <v>28</v>
      </c>
      <c r="C10" s="531">
        <v>1039672.07439371</v>
      </c>
      <c r="D10" s="532">
        <v>853662</v>
      </c>
      <c r="E10" s="531">
        <v>593617</v>
      </c>
      <c r="F10" s="531">
        <v>746100</v>
      </c>
      <c r="G10" s="533">
        <v>611365</v>
      </c>
      <c r="H10" s="534"/>
      <c r="I10" s="534"/>
      <c r="J10" s="534"/>
      <c r="K10" s="534"/>
      <c r="L10" s="534"/>
      <c r="M10" s="534"/>
    </row>
    <row r="11" spans="1:13" ht="15" customHeight="1">
      <c r="A11" s="17">
        <v>2</v>
      </c>
      <c r="B11" s="207" t="s">
        <v>175</v>
      </c>
      <c r="C11" s="531">
        <v>2227968.6489212946</v>
      </c>
      <c r="D11" s="532">
        <v>1616943</v>
      </c>
      <c r="E11" s="531">
        <v>730860</v>
      </c>
      <c r="F11" s="531">
        <v>2777016</v>
      </c>
      <c r="G11" s="533">
        <v>729412</v>
      </c>
      <c r="H11" s="534"/>
      <c r="I11" s="534"/>
      <c r="J11" s="534"/>
      <c r="K11" s="534"/>
      <c r="L11" s="534"/>
      <c r="M11" s="534"/>
    </row>
    <row r="12" spans="1:13" ht="15" customHeight="1">
      <c r="A12" s="17">
        <v>3</v>
      </c>
      <c r="B12" s="207" t="s">
        <v>176</v>
      </c>
      <c r="C12" s="531">
        <v>77787139.099999994</v>
      </c>
      <c r="D12" s="532">
        <v>77787139</v>
      </c>
      <c r="E12" s="531">
        <v>77450981</v>
      </c>
      <c r="F12" s="531">
        <v>77450981</v>
      </c>
      <c r="G12" s="533">
        <v>77450981</v>
      </c>
      <c r="H12" s="534"/>
      <c r="I12" s="534"/>
      <c r="J12" s="534"/>
      <c r="K12" s="534"/>
      <c r="L12" s="534"/>
      <c r="M12" s="534"/>
    </row>
    <row r="13" spans="1:13" ht="15" customHeight="1" thickBot="1">
      <c r="A13" s="19">
        <v>4</v>
      </c>
      <c r="B13" s="20" t="s">
        <v>177</v>
      </c>
      <c r="C13" s="210">
        <f>C6+C11+C12</f>
        <v>665119061.21895492</v>
      </c>
      <c r="D13" s="248">
        <f>D6+D11+D12</f>
        <v>663462801</v>
      </c>
      <c r="E13" s="211">
        <f t="shared" ref="E13:G13" si="1">E6+E11+E12</f>
        <v>613965123</v>
      </c>
      <c r="F13" s="210">
        <f t="shared" si="1"/>
        <v>613446914</v>
      </c>
      <c r="G13" s="250">
        <f t="shared" si="1"/>
        <v>625359653</v>
      </c>
      <c r="H13" s="534"/>
      <c r="I13" s="534"/>
      <c r="J13" s="534"/>
      <c r="K13" s="534"/>
      <c r="L13" s="534"/>
      <c r="M13" s="534"/>
    </row>
    <row r="14" spans="1:13">
      <c r="B14" s="23"/>
    </row>
    <row r="15" spans="1:13">
      <c r="B15" s="23"/>
    </row>
    <row r="16" spans="1:13">
      <c r="B16" s="23"/>
    </row>
    <row r="17" s="13" customFormat="1" ht="10.199999999999999"/>
    <row r="18" s="13" customFormat="1" ht="10.199999999999999"/>
    <row r="19" s="13" customFormat="1" ht="10.199999999999999"/>
    <row r="20" s="13" customFormat="1" ht="10.199999999999999"/>
    <row r="21" s="13" customFormat="1" ht="10.199999999999999"/>
    <row r="22" s="13" customFormat="1" ht="10.199999999999999"/>
    <row r="23" s="13" customFormat="1" ht="10.199999999999999"/>
    <row r="24" s="13" customFormat="1" ht="10.199999999999999"/>
    <row r="25" s="13" customFormat="1" ht="10.199999999999999"/>
    <row r="26" s="13" customFormat="1" ht="10.199999999999999"/>
    <row r="27" s="13" customFormat="1" ht="10.199999999999999"/>
    <row r="28" s="13" customFormat="1" ht="10.199999999999999"/>
    <row r="29" s="13" customFormat="1" ht="10.199999999999999"/>
  </sheetData>
  <pageMargins left="0.7" right="0.7" top="0.75" bottom="0.75" header="0.3" footer="0.3"/>
  <pageSetup paperSize="9" scale="51" orientation="portrait" horizontalDpi="300" verticalDpi="300" r:id="rId1"/>
  <headerFooter>
    <oddFooter>&amp;C_x000D_&amp;1#&amp;"Aptos"&amp;10&amp;K000000 C4 - EXTERNAL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6"/>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G28" sqref="G28"/>
    </sheetView>
  </sheetViews>
  <sheetFormatPr defaultColWidth="9.21875" defaultRowHeight="13.8"/>
  <cols>
    <col min="1" max="1" width="9.5546875" style="4" bestFit="1" customWidth="1"/>
    <col min="2" max="2" width="65.5546875" style="4" customWidth="1"/>
    <col min="3" max="3" width="49.21875" style="4" bestFit="1" customWidth="1"/>
    <col min="4" max="16384" width="9.21875" style="5"/>
  </cols>
  <sheetData>
    <row r="1" spans="1:8">
      <c r="A1" s="2" t="s">
        <v>30</v>
      </c>
      <c r="B1" s="3" t="str">
        <f>'Info '!C2</f>
        <v xml:space="preserve">PASHA Bank Georgia JSC </v>
      </c>
    </row>
    <row r="2" spans="1:8">
      <c r="A2" s="2" t="s">
        <v>31</v>
      </c>
      <c r="B2" s="253">
        <f>'1. key ratios '!B2</f>
        <v>46112</v>
      </c>
    </row>
    <row r="4" spans="1:8" ht="28.05" customHeight="1" thickBot="1">
      <c r="A4" s="24" t="s">
        <v>41</v>
      </c>
      <c r="B4" s="25" t="s">
        <v>151</v>
      </c>
      <c r="C4" s="26"/>
    </row>
    <row r="5" spans="1:8">
      <c r="A5" s="27"/>
      <c r="B5" s="241" t="s">
        <v>42</v>
      </c>
      <c r="C5" s="242" t="s">
        <v>335</v>
      </c>
    </row>
    <row r="6" spans="1:8">
      <c r="A6" s="28">
        <v>1</v>
      </c>
      <c r="B6" s="616" t="s">
        <v>756</v>
      </c>
      <c r="C6" s="617" t="s">
        <v>760</v>
      </c>
    </row>
    <row r="7" spans="1:8">
      <c r="A7" s="28">
        <v>2</v>
      </c>
      <c r="B7" s="616" t="s">
        <v>757</v>
      </c>
      <c r="C7" s="617" t="s">
        <v>761</v>
      </c>
    </row>
    <row r="8" spans="1:8">
      <c r="A8" s="28">
        <v>3</v>
      </c>
      <c r="B8" s="616" t="s">
        <v>758</v>
      </c>
      <c r="C8" s="617" t="s">
        <v>761</v>
      </c>
    </row>
    <row r="9" spans="1:8">
      <c r="A9" s="28">
        <v>4</v>
      </c>
      <c r="B9" s="616" t="s">
        <v>759</v>
      </c>
      <c r="C9" s="617" t="s">
        <v>760</v>
      </c>
    </row>
    <row r="10" spans="1:8">
      <c r="A10" s="28">
        <v>5</v>
      </c>
      <c r="B10" s="616" t="s">
        <v>753</v>
      </c>
      <c r="C10" s="617" t="s">
        <v>762</v>
      </c>
    </row>
    <row r="11" spans="1:8">
      <c r="A11" s="28">
        <v>6</v>
      </c>
      <c r="B11" s="29"/>
      <c r="C11" s="30"/>
    </row>
    <row r="12" spans="1:8">
      <c r="A12" s="28">
        <v>7</v>
      </c>
      <c r="B12" s="29"/>
      <c r="C12" s="30"/>
      <c r="H12" s="31"/>
    </row>
    <row r="13" spans="1:8">
      <c r="A13" s="28">
        <v>8</v>
      </c>
      <c r="B13" s="29"/>
      <c r="C13" s="30"/>
    </row>
    <row r="14" spans="1:8">
      <c r="A14" s="28">
        <v>9</v>
      </c>
      <c r="B14" s="29"/>
      <c r="C14" s="30"/>
    </row>
    <row r="15" spans="1:8">
      <c r="A15" s="28">
        <v>10</v>
      </c>
      <c r="B15" s="29"/>
      <c r="C15" s="30"/>
    </row>
    <row r="16" spans="1:8">
      <c r="A16" s="28"/>
      <c r="B16" s="243"/>
      <c r="C16" s="244"/>
    </row>
    <row r="17" spans="1:4">
      <c r="A17" s="28"/>
      <c r="B17" s="107" t="s">
        <v>43</v>
      </c>
      <c r="C17" s="245" t="s">
        <v>336</v>
      </c>
    </row>
    <row r="18" spans="1:4">
      <c r="A18" s="28">
        <v>1</v>
      </c>
      <c r="B18" s="616" t="s">
        <v>754</v>
      </c>
      <c r="C18" s="618" t="s">
        <v>763</v>
      </c>
    </row>
    <row r="19" spans="1:4">
      <c r="A19" s="28">
        <v>2</v>
      </c>
      <c r="B19" s="616" t="s">
        <v>764</v>
      </c>
      <c r="C19" s="618" t="s">
        <v>765</v>
      </c>
    </row>
    <row r="20" spans="1:4">
      <c r="A20" s="28">
        <v>3</v>
      </c>
      <c r="B20" s="616" t="s">
        <v>766</v>
      </c>
      <c r="C20" s="618" t="s">
        <v>767</v>
      </c>
    </row>
    <row r="21" spans="1:4">
      <c r="A21" s="28">
        <v>4</v>
      </c>
      <c r="B21" s="616" t="s">
        <v>768</v>
      </c>
      <c r="C21" s="618" t="s">
        <v>769</v>
      </c>
    </row>
    <row r="22" spans="1:4">
      <c r="A22" s="28">
        <v>5</v>
      </c>
      <c r="B22" s="29"/>
      <c r="C22" s="32"/>
    </row>
    <row r="23" spans="1:4">
      <c r="A23" s="28">
        <v>6</v>
      </c>
      <c r="B23" s="29"/>
      <c r="C23" s="32"/>
    </row>
    <row r="24" spans="1:4">
      <c r="A24" s="28">
        <v>7</v>
      </c>
      <c r="B24" s="29"/>
      <c r="C24" s="32"/>
    </row>
    <row r="25" spans="1:4">
      <c r="A25" s="28">
        <v>8</v>
      </c>
      <c r="B25" s="29"/>
      <c r="C25" s="32"/>
    </row>
    <row r="26" spans="1:4">
      <c r="A26" s="28">
        <v>9</v>
      </c>
      <c r="B26" s="29"/>
      <c r="C26" s="32"/>
    </row>
    <row r="27" spans="1:4" ht="15.75" customHeight="1">
      <c r="A27" s="28">
        <v>10</v>
      </c>
      <c r="B27" s="29"/>
      <c r="C27" s="33"/>
    </row>
    <row r="28" spans="1:4" ht="15.75" customHeight="1">
      <c r="A28" s="28"/>
      <c r="B28" s="29"/>
      <c r="C28" s="33"/>
    </row>
    <row r="29" spans="1:4" ht="30" customHeight="1">
      <c r="A29" s="28"/>
      <c r="B29" s="752" t="s">
        <v>44</v>
      </c>
      <c r="C29" s="753"/>
    </row>
    <row r="30" spans="1:4" ht="14.4">
      <c r="A30" s="28">
        <v>1</v>
      </c>
      <c r="B30" s="29" t="s">
        <v>770</v>
      </c>
      <c r="C30" s="619">
        <v>0.85058799707602339</v>
      </c>
      <c r="D30" s="598"/>
    </row>
    <row r="31" spans="1:4" ht="15.75" customHeight="1">
      <c r="A31" s="28">
        <v>2</v>
      </c>
      <c r="B31" s="29" t="s">
        <v>771</v>
      </c>
      <c r="C31" s="619">
        <v>0.14941200292397661</v>
      </c>
      <c r="D31" s="598"/>
    </row>
    <row r="32" spans="1:4" ht="29.25" customHeight="1">
      <c r="A32" s="28"/>
      <c r="B32" s="752" t="s">
        <v>45</v>
      </c>
      <c r="C32" s="753"/>
      <c r="D32" s="598"/>
    </row>
    <row r="33" spans="1:4" ht="14.4">
      <c r="A33" s="28">
        <v>1</v>
      </c>
      <c r="B33" s="29" t="s">
        <v>772</v>
      </c>
      <c r="C33" s="619">
        <v>0.18988394736842104</v>
      </c>
      <c r="D33" s="598"/>
    </row>
    <row r="34" spans="1:4" ht="14.4">
      <c r="A34" s="537">
        <v>2</v>
      </c>
      <c r="B34" s="538" t="s">
        <v>773</v>
      </c>
      <c r="C34" s="619">
        <v>0.35211520467836255</v>
      </c>
      <c r="D34" s="598"/>
    </row>
    <row r="35" spans="1:4" ht="14.4">
      <c r="A35" s="537">
        <v>3</v>
      </c>
      <c r="B35" s="538" t="s">
        <v>774</v>
      </c>
      <c r="C35" s="619">
        <v>0.35211520467836255</v>
      </c>
      <c r="D35" s="598"/>
    </row>
    <row r="36" spans="1:4" ht="15" thickBot="1">
      <c r="A36" s="34">
        <v>4</v>
      </c>
      <c r="B36" s="35" t="s">
        <v>775</v>
      </c>
      <c r="C36" s="619">
        <v>0.10588564327485381</v>
      </c>
      <c r="D36" s="598"/>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paperSize="9" scale="70" orientation="portrait" horizontalDpi="300" verticalDpi="300" r:id="rId1"/>
  <headerFooter>
    <oddFooter>&amp;C_x000D_&amp;1#&amp;"Aptos"&amp;10&amp;K000000 C4 - EXTERNAL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H53"/>
  <sheetViews>
    <sheetView zoomScale="80" zoomScaleNormal="80" workbookViewId="0">
      <pane xSplit="1" ySplit="5" topLeftCell="B6" activePane="bottomRight" state="frozen"/>
      <selection activeCell="B42" sqref="B42"/>
      <selection pane="topRight" activeCell="B42" sqref="B42"/>
      <selection pane="bottomLeft" activeCell="B42" sqref="B42"/>
      <selection pane="bottomRight" activeCell="J8" sqref="J8"/>
    </sheetView>
  </sheetViews>
  <sheetFormatPr defaultColWidth="9.21875" defaultRowHeight="13.8"/>
  <cols>
    <col min="1" max="1" width="9.5546875" style="4" bestFit="1"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8" width="11.33203125" style="5" customWidth="1"/>
    <col min="9" max="16384" width="9.21875" style="5"/>
  </cols>
  <sheetData>
    <row r="1" spans="1:8">
      <c r="A1" s="22" t="s">
        <v>30</v>
      </c>
      <c r="B1" s="3" t="str">
        <f>'Info '!C2</f>
        <v xml:space="preserve">PASHA Bank Georgia JSC </v>
      </c>
    </row>
    <row r="2" spans="1:8" s="2" customFormat="1" ht="15.75" customHeight="1">
      <c r="A2" s="22" t="s">
        <v>31</v>
      </c>
      <c r="B2" s="253">
        <f>'1. key ratios '!B2</f>
        <v>46112</v>
      </c>
    </row>
    <row r="3" spans="1:8" s="2" customFormat="1" ht="15.75" customHeight="1">
      <c r="A3" s="22"/>
    </row>
    <row r="4" spans="1:8" s="2" customFormat="1" ht="15.75" customHeight="1" thickBot="1">
      <c r="A4" s="160" t="s">
        <v>99</v>
      </c>
      <c r="B4" s="758" t="s">
        <v>212</v>
      </c>
      <c r="C4" s="759"/>
      <c r="D4" s="759"/>
      <c r="E4" s="759"/>
    </row>
    <row r="5" spans="1:8" s="39" customFormat="1" ht="17.55" customHeight="1">
      <c r="A5" s="110"/>
      <c r="B5" s="111"/>
      <c r="C5" s="37" t="s">
        <v>0</v>
      </c>
      <c r="D5" s="37" t="s">
        <v>1</v>
      </c>
      <c r="E5" s="38" t="s">
        <v>2</v>
      </c>
    </row>
    <row r="6" spans="1:8" ht="14.55" customHeight="1">
      <c r="A6" s="95"/>
      <c r="B6" s="754" t="s">
        <v>219</v>
      </c>
      <c r="C6" s="754" t="s">
        <v>624</v>
      </c>
      <c r="D6" s="756" t="s">
        <v>98</v>
      </c>
      <c r="E6" s="757"/>
    </row>
    <row r="7" spans="1:8" ht="99.6" customHeight="1">
      <c r="A7" s="95"/>
      <c r="B7" s="755"/>
      <c r="C7" s="754"/>
      <c r="D7" s="193" t="s">
        <v>97</v>
      </c>
      <c r="E7" s="194" t="s">
        <v>220</v>
      </c>
    </row>
    <row r="8" spans="1:8" ht="20.399999999999999">
      <c r="A8" s="302">
        <v>1</v>
      </c>
      <c r="B8" s="303" t="s">
        <v>525</v>
      </c>
      <c r="C8" s="539">
        <f>SUM(C9:C11)</f>
        <v>110713357.3037</v>
      </c>
      <c r="D8" s="539">
        <f>SUM(D9:D11)</f>
        <v>0</v>
      </c>
      <c r="E8" s="539">
        <f>SUM(E9:E11)</f>
        <v>110713357.3037</v>
      </c>
      <c r="F8" s="542"/>
      <c r="G8" s="542"/>
      <c r="H8" s="542"/>
    </row>
    <row r="9" spans="1:8" ht="14.4">
      <c r="A9" s="302">
        <v>1.1000000000000001</v>
      </c>
      <c r="B9" s="304" t="s">
        <v>526</v>
      </c>
      <c r="C9" s="539">
        <v>2634717.5414</v>
      </c>
      <c r="D9" s="539"/>
      <c r="E9" s="604">
        <f>C9-D9</f>
        <v>2634717.5414</v>
      </c>
      <c r="F9" s="542"/>
      <c r="G9" s="542"/>
      <c r="H9" s="542"/>
    </row>
    <row r="10" spans="1:8" ht="14.4">
      <c r="A10" s="302">
        <v>1.2</v>
      </c>
      <c r="B10" s="304" t="s">
        <v>527</v>
      </c>
      <c r="C10" s="539">
        <v>31754937.185200002</v>
      </c>
      <c r="D10" s="539"/>
      <c r="E10" s="604">
        <f t="shared" ref="E10:E13" si="0">C10-D10</f>
        <v>31754937.185200002</v>
      </c>
      <c r="F10" s="542"/>
      <c r="G10" s="542"/>
      <c r="H10" s="542"/>
    </row>
    <row r="11" spans="1:8" ht="14.4">
      <c r="A11" s="302">
        <v>1.3</v>
      </c>
      <c r="B11" s="304" t="s">
        <v>528</v>
      </c>
      <c r="C11" s="539">
        <v>76323702.577100009</v>
      </c>
      <c r="D11" s="539"/>
      <c r="E11" s="604">
        <f t="shared" si="0"/>
        <v>76323702.577100009</v>
      </c>
      <c r="F11" s="542"/>
      <c r="G11" s="542"/>
      <c r="H11" s="542"/>
    </row>
    <row r="12" spans="1:8" ht="14.4">
      <c r="A12" s="302">
        <v>2</v>
      </c>
      <c r="B12" s="305" t="s">
        <v>529</v>
      </c>
      <c r="C12" s="539">
        <v>2402357.3711000001</v>
      </c>
      <c r="D12" s="539"/>
      <c r="E12" s="604">
        <f t="shared" si="0"/>
        <v>2402357.3711000001</v>
      </c>
      <c r="F12" s="542"/>
      <c r="G12" s="542"/>
      <c r="H12" s="542"/>
    </row>
    <row r="13" spans="1:8" ht="14.4">
      <c r="A13" s="302">
        <v>2.1</v>
      </c>
      <c r="B13" s="306" t="s">
        <v>530</v>
      </c>
      <c r="C13" s="540">
        <v>2402357.3711000001</v>
      </c>
      <c r="D13" s="540"/>
      <c r="E13" s="604">
        <f t="shared" si="0"/>
        <v>2402357.3711000001</v>
      </c>
      <c r="F13" s="542"/>
      <c r="G13" s="542"/>
      <c r="H13" s="542"/>
    </row>
    <row r="14" spans="1:8" ht="20.399999999999999">
      <c r="A14" s="302">
        <v>3</v>
      </c>
      <c r="B14" s="307" t="s">
        <v>531</v>
      </c>
      <c r="C14" s="540"/>
      <c r="D14" s="540"/>
      <c r="E14" s="540"/>
      <c r="F14" s="542"/>
      <c r="G14" s="542"/>
      <c r="H14" s="542"/>
    </row>
    <row r="15" spans="1:8" ht="14.4">
      <c r="A15" s="302">
        <v>4</v>
      </c>
      <c r="B15" s="308" t="s">
        <v>532</v>
      </c>
      <c r="C15" s="540"/>
      <c r="D15" s="540"/>
      <c r="E15" s="540"/>
      <c r="F15" s="542"/>
      <c r="G15" s="542"/>
      <c r="H15" s="542"/>
    </row>
    <row r="16" spans="1:8" ht="20.399999999999999">
      <c r="A16" s="302">
        <v>5</v>
      </c>
      <c r="B16" s="309" t="s">
        <v>533</v>
      </c>
      <c r="C16" s="540">
        <f>SUM(C17:C19)</f>
        <v>0</v>
      </c>
      <c r="D16" s="540">
        <f>SUM(D17:D19)</f>
        <v>0</v>
      </c>
      <c r="E16" s="540">
        <f>SUM(E17:E19)</f>
        <v>0</v>
      </c>
      <c r="F16" s="542"/>
      <c r="G16" s="542"/>
      <c r="H16" s="542"/>
    </row>
    <row r="17" spans="1:8" ht="14.4">
      <c r="A17" s="302">
        <v>5.0999999999999996</v>
      </c>
      <c r="B17" s="310" t="s">
        <v>534</v>
      </c>
      <c r="C17" s="540"/>
      <c r="D17" s="540"/>
      <c r="E17" s="540"/>
      <c r="F17" s="542"/>
      <c r="G17" s="542"/>
      <c r="H17" s="542"/>
    </row>
    <row r="18" spans="1:8" ht="14.4">
      <c r="A18" s="302">
        <v>5.2</v>
      </c>
      <c r="B18" s="310" t="s">
        <v>535</v>
      </c>
      <c r="C18" s="540"/>
      <c r="D18" s="540"/>
      <c r="E18" s="540"/>
      <c r="F18" s="542"/>
      <c r="G18" s="542"/>
      <c r="H18" s="542"/>
    </row>
    <row r="19" spans="1:8" ht="14.4">
      <c r="A19" s="302">
        <v>5.3</v>
      </c>
      <c r="B19" s="311" t="s">
        <v>536</v>
      </c>
      <c r="C19" s="540"/>
      <c r="D19" s="540"/>
      <c r="E19" s="540"/>
      <c r="F19" s="542"/>
      <c r="G19" s="542"/>
      <c r="H19" s="542"/>
    </row>
    <row r="20" spans="1:8" ht="14.4">
      <c r="A20" s="302">
        <v>6</v>
      </c>
      <c r="B20" s="307" t="s">
        <v>537</v>
      </c>
      <c r="C20" s="540">
        <f>SUM(C21:C22)</f>
        <v>531937659.14129996</v>
      </c>
      <c r="D20" s="540">
        <f>SUM(D21:D22)</f>
        <v>0</v>
      </c>
      <c r="E20" s="540">
        <f>SUM(E21:E22)</f>
        <v>531937659.14129996</v>
      </c>
      <c r="F20" s="542"/>
      <c r="G20" s="542"/>
      <c r="H20" s="542"/>
    </row>
    <row r="21" spans="1:8" ht="14.4">
      <c r="A21" s="302">
        <v>6.1</v>
      </c>
      <c r="B21" s="310" t="s">
        <v>535</v>
      </c>
      <c r="C21" s="540">
        <v>114659026.10439999</v>
      </c>
      <c r="D21" s="540"/>
      <c r="E21" s="615">
        <f>C21-D21</f>
        <v>114659026.10439999</v>
      </c>
      <c r="F21" s="542"/>
      <c r="G21" s="542"/>
      <c r="H21" s="542"/>
    </row>
    <row r="22" spans="1:8" ht="14.4">
      <c r="A22" s="302">
        <v>6.2</v>
      </c>
      <c r="B22" s="311" t="s">
        <v>536</v>
      </c>
      <c r="C22" s="540">
        <v>417278633.03689998</v>
      </c>
      <c r="D22" s="540"/>
      <c r="E22" s="615">
        <f>C22-D22</f>
        <v>417278633.03689998</v>
      </c>
      <c r="F22" s="542"/>
      <c r="G22" s="542"/>
      <c r="H22" s="542"/>
    </row>
    <row r="23" spans="1:8" ht="14.4">
      <c r="A23" s="302">
        <v>7</v>
      </c>
      <c r="B23" s="305" t="s">
        <v>538</v>
      </c>
      <c r="C23" s="540"/>
      <c r="D23" s="540"/>
      <c r="E23" s="540"/>
      <c r="F23" s="542"/>
      <c r="G23" s="542"/>
      <c r="H23" s="542"/>
    </row>
    <row r="24" spans="1:8" ht="20.399999999999999">
      <c r="A24" s="302">
        <v>8</v>
      </c>
      <c r="B24" s="312" t="s">
        <v>539</v>
      </c>
      <c r="C24" s="540"/>
      <c r="D24" s="540"/>
      <c r="E24" s="540"/>
      <c r="F24" s="542"/>
      <c r="G24" s="542"/>
      <c r="H24" s="542"/>
    </row>
    <row r="25" spans="1:8" ht="14.4">
      <c r="A25" s="302">
        <v>9</v>
      </c>
      <c r="B25" s="308" t="s">
        <v>540</v>
      </c>
      <c r="C25" s="540">
        <f>SUM(C26:C27)</f>
        <v>4352788.33</v>
      </c>
      <c r="D25" s="540">
        <f>SUM(D26:D27)</f>
        <v>0</v>
      </c>
      <c r="E25" s="540">
        <f>SUM(E26:E27)</f>
        <v>4352788.33</v>
      </c>
      <c r="F25" s="542"/>
      <c r="G25" s="542"/>
      <c r="H25" s="542"/>
    </row>
    <row r="26" spans="1:8" ht="14.4">
      <c r="A26" s="302">
        <v>9.1</v>
      </c>
      <c r="B26" s="310" t="s">
        <v>541</v>
      </c>
      <c r="C26" s="540">
        <v>4352788.33</v>
      </c>
      <c r="D26" s="540"/>
      <c r="E26" s="615">
        <f>C26-D26</f>
        <v>4352788.33</v>
      </c>
      <c r="F26" s="542"/>
      <c r="G26" s="542"/>
      <c r="H26" s="542"/>
    </row>
    <row r="27" spans="1:8" ht="14.4">
      <c r="A27" s="302">
        <v>9.1999999999999993</v>
      </c>
      <c r="B27" s="310" t="s">
        <v>542</v>
      </c>
      <c r="C27" s="540">
        <v>0</v>
      </c>
      <c r="D27" s="540"/>
      <c r="E27" s="540"/>
      <c r="F27" s="542"/>
      <c r="G27" s="542"/>
      <c r="H27" s="542"/>
    </row>
    <row r="28" spans="1:8" ht="14.4">
      <c r="A28" s="302">
        <v>10</v>
      </c>
      <c r="B28" s="308" t="s">
        <v>543</v>
      </c>
      <c r="C28" s="540">
        <f>SUM(C29:C30)</f>
        <v>3179177.82</v>
      </c>
      <c r="D28" s="540">
        <f>SUM(D29:D30)</f>
        <v>3179177.82</v>
      </c>
      <c r="E28" s="540">
        <f>SUM(E29:E30)</f>
        <v>0</v>
      </c>
      <c r="F28" s="542"/>
      <c r="G28" s="542"/>
      <c r="H28" s="542"/>
    </row>
    <row r="29" spans="1:8" ht="14.4">
      <c r="A29" s="302">
        <v>10.1</v>
      </c>
      <c r="B29" s="310" t="s">
        <v>544</v>
      </c>
      <c r="C29" s="540"/>
      <c r="D29" s="540"/>
      <c r="E29" s="540"/>
      <c r="F29" s="542"/>
      <c r="G29" s="542"/>
      <c r="H29" s="542"/>
    </row>
    <row r="30" spans="1:8" ht="14.4">
      <c r="A30" s="302">
        <v>10.199999999999999</v>
      </c>
      <c r="B30" s="310" t="s">
        <v>545</v>
      </c>
      <c r="C30" s="540">
        <v>3179177.82</v>
      </c>
      <c r="D30" s="540">
        <v>3179177.82</v>
      </c>
      <c r="E30" s="541">
        <f>C30-D30</f>
        <v>0</v>
      </c>
      <c r="F30" s="542"/>
      <c r="G30" s="542"/>
      <c r="H30" s="542"/>
    </row>
    <row r="31" spans="1:8" ht="14.4">
      <c r="A31" s="302">
        <v>11</v>
      </c>
      <c r="B31" s="308" t="s">
        <v>546</v>
      </c>
      <c r="C31" s="540">
        <f>SUM(C32:C33)</f>
        <v>2243732.91</v>
      </c>
      <c r="D31" s="540">
        <f>SUM(D32:D33)</f>
        <v>2243732.91</v>
      </c>
      <c r="E31" s="540">
        <f>SUM(E32:E33)</f>
        <v>0</v>
      </c>
      <c r="F31" s="542"/>
      <c r="G31" s="542"/>
      <c r="H31" s="542"/>
    </row>
    <row r="32" spans="1:8" ht="14.4">
      <c r="A32" s="302">
        <v>11.1</v>
      </c>
      <c r="B32" s="310" t="s">
        <v>547</v>
      </c>
      <c r="C32" s="540"/>
      <c r="D32" s="540"/>
      <c r="E32" s="540"/>
      <c r="F32" s="542"/>
      <c r="G32" s="542"/>
      <c r="H32" s="542"/>
    </row>
    <row r="33" spans="1:8" ht="14.4">
      <c r="A33" s="302">
        <v>11.2</v>
      </c>
      <c r="B33" s="310" t="s">
        <v>548</v>
      </c>
      <c r="C33" s="540">
        <v>2243732.91</v>
      </c>
      <c r="D33" s="540">
        <v>2243732.91</v>
      </c>
      <c r="E33" s="540"/>
      <c r="F33" s="542"/>
      <c r="G33" s="542"/>
      <c r="H33" s="542"/>
    </row>
    <row r="34" spans="1:8" ht="14.4">
      <c r="A34" s="302">
        <v>13</v>
      </c>
      <c r="B34" s="308" t="s">
        <v>549</v>
      </c>
      <c r="C34" s="540">
        <v>14217401.7498</v>
      </c>
      <c r="D34" s="540"/>
      <c r="E34" s="541">
        <f>C34-D34</f>
        <v>14217401.7498</v>
      </c>
      <c r="F34" s="542"/>
      <c r="G34" s="542"/>
      <c r="H34" s="542"/>
    </row>
    <row r="35" spans="1:8" ht="14.4">
      <c r="A35" s="302">
        <v>13.1</v>
      </c>
      <c r="B35" s="313" t="s">
        <v>550</v>
      </c>
      <c r="C35" s="540">
        <v>11874297.84</v>
      </c>
      <c r="D35" s="540"/>
      <c r="E35" s="541">
        <f>C35-D35</f>
        <v>11874297.84</v>
      </c>
      <c r="F35" s="542"/>
      <c r="G35" s="542"/>
      <c r="H35" s="542"/>
    </row>
    <row r="36" spans="1:8" ht="14.4">
      <c r="A36" s="302">
        <v>13.2</v>
      </c>
      <c r="B36" s="313" t="s">
        <v>551</v>
      </c>
      <c r="C36" s="334"/>
      <c r="D36" s="334"/>
      <c r="E36" s="334"/>
      <c r="F36" s="542"/>
      <c r="G36" s="542"/>
      <c r="H36" s="542"/>
    </row>
    <row r="37" spans="1:8" ht="27" thickBot="1">
      <c r="A37" s="98"/>
      <c r="B37" s="161" t="s">
        <v>221</v>
      </c>
      <c r="C37" s="112">
        <f>SUM(C8,C12,C14,C15,C16,C20,C23,C24,C25,C28,C31,C34)</f>
        <v>669046474.62590003</v>
      </c>
      <c r="D37" s="112">
        <f>SUM(D8,D12,D14,D15,D16,D20,D23,D24,D25,D28,D31,D34)</f>
        <v>5422910.7300000004</v>
      </c>
      <c r="E37" s="112">
        <f>SUM(E8,E12,E14,E15,E16,E20,E23,E24,E25,E28,E31,E34)</f>
        <v>663623563.89590001</v>
      </c>
      <c r="F37" s="542"/>
      <c r="G37" s="542"/>
      <c r="H37" s="542"/>
    </row>
    <row r="38" spans="1:8">
      <c r="A38" s="5"/>
      <c r="B38" s="5"/>
      <c r="C38" s="5"/>
      <c r="D38" s="5"/>
      <c r="E38" s="5"/>
    </row>
    <row r="39" spans="1:8">
      <c r="A39" s="5"/>
      <c r="B39" s="5"/>
      <c r="C39" s="5"/>
      <c r="D39" s="5"/>
      <c r="E39" s="5"/>
    </row>
    <row r="41" spans="1:8" s="4" customFormat="1">
      <c r="B41" s="41"/>
      <c r="F41" s="5"/>
      <c r="G41" s="5"/>
    </row>
    <row r="42" spans="1:8" s="4" customFormat="1">
      <c r="B42" s="41"/>
      <c r="F42" s="5"/>
      <c r="G42" s="5"/>
    </row>
    <row r="43" spans="1:8" s="4" customFormat="1">
      <c r="B43" s="41"/>
      <c r="F43" s="5"/>
      <c r="G43" s="5"/>
    </row>
    <row r="44" spans="1:8" s="4" customFormat="1">
      <c r="B44" s="41"/>
      <c r="F44" s="5"/>
      <c r="G44" s="5"/>
    </row>
    <row r="45" spans="1:8" s="4" customFormat="1">
      <c r="B45" s="41"/>
      <c r="F45" s="5"/>
      <c r="G45" s="5"/>
    </row>
    <row r="46" spans="1:8" s="4" customFormat="1">
      <c r="B46" s="41"/>
      <c r="F46" s="5"/>
      <c r="G46" s="5"/>
    </row>
    <row r="47" spans="1:8" s="4" customFormat="1">
      <c r="B47" s="41"/>
      <c r="F47" s="5"/>
      <c r="G47" s="5"/>
    </row>
    <row r="48" spans="1:8" s="4" customFormat="1">
      <c r="B48" s="41"/>
      <c r="F48" s="5"/>
      <c r="G48" s="5"/>
    </row>
    <row r="49" spans="2:7" s="4" customFormat="1">
      <c r="B49" s="41"/>
      <c r="F49" s="5"/>
      <c r="G49" s="5"/>
    </row>
    <row r="50" spans="2:7" s="4" customFormat="1">
      <c r="B50" s="41"/>
      <c r="F50" s="5"/>
      <c r="G50" s="5"/>
    </row>
    <row r="51" spans="2:7" s="4" customFormat="1">
      <c r="B51" s="41"/>
      <c r="F51" s="5"/>
      <c r="G51" s="5"/>
    </row>
    <row r="52" spans="2:7" s="4" customFormat="1">
      <c r="B52" s="41"/>
      <c r="F52" s="5"/>
      <c r="G52" s="5"/>
    </row>
    <row r="53" spans="2:7" s="4" customFormat="1">
      <c r="B53" s="41"/>
      <c r="F53" s="5"/>
      <c r="G53" s="5"/>
    </row>
  </sheetData>
  <mergeCells count="4">
    <mergeCell ref="B6:B7"/>
    <mergeCell ref="C6:C7"/>
    <mergeCell ref="D6:E6"/>
    <mergeCell ref="B4:E4"/>
  </mergeCells>
  <pageMargins left="0.7" right="0.7" top="0.75" bottom="0.75" header="0.3" footer="0.3"/>
  <pageSetup paperSize="9" scale="64" orientation="portrait" horizontalDpi="300" verticalDpi="300" r:id="rId1"/>
  <headerFooter>
    <oddFooter>&amp;C_x000D_&amp;1#&amp;"Aptos"&amp;10&amp;K000000 C4 - EXTERNAL 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D16" sqref="D16"/>
    </sheetView>
  </sheetViews>
  <sheetFormatPr defaultColWidth="9.21875" defaultRowHeight="13.2" outlineLevelRow="1"/>
  <cols>
    <col min="1" max="1" width="9.5546875" style="4" bestFit="1" customWidth="1"/>
    <col min="2" max="2" width="114.21875" style="4" customWidth="1"/>
    <col min="3" max="3" width="18.77734375" style="4" customWidth="1"/>
    <col min="4" max="4" width="20.44140625" style="4" customWidth="1"/>
    <col min="5" max="5" width="24.21875" style="4" customWidth="1"/>
    <col min="6" max="6" width="24" style="4" customWidth="1"/>
    <col min="7" max="7" width="10" style="4" bestFit="1" customWidth="1"/>
    <col min="8" max="8" width="12" style="4" bestFit="1" customWidth="1"/>
    <col min="9" max="9" width="12.5546875" style="4" bestFit="1" customWidth="1"/>
    <col min="10" max="16384" width="9.21875" style="4"/>
  </cols>
  <sheetData>
    <row r="1" spans="1:6">
      <c r="A1" s="2" t="s">
        <v>30</v>
      </c>
      <c r="B1" s="3" t="str">
        <f>'Info '!C2</f>
        <v xml:space="preserve">PASHA Bank Georgia JSC </v>
      </c>
    </row>
    <row r="2" spans="1:6" s="2" customFormat="1" ht="15.75" customHeight="1">
      <c r="A2" s="2" t="s">
        <v>31</v>
      </c>
      <c r="B2" s="253">
        <f>'1. key ratios '!B2</f>
        <v>46112</v>
      </c>
      <c r="C2" s="4"/>
      <c r="D2" s="4"/>
      <c r="E2" s="4"/>
      <c r="F2" s="4"/>
    </row>
    <row r="3" spans="1:6" s="2" customFormat="1" ht="15.75" customHeight="1">
      <c r="C3" s="4"/>
      <c r="D3" s="4"/>
      <c r="E3" s="4"/>
      <c r="F3" s="4"/>
    </row>
    <row r="4" spans="1:6" s="2" customFormat="1" ht="13.8" thickBot="1">
      <c r="A4" s="2" t="s">
        <v>46</v>
      </c>
      <c r="B4" s="162" t="s">
        <v>518</v>
      </c>
      <c r="C4" s="36" t="s">
        <v>35</v>
      </c>
      <c r="D4" s="4"/>
      <c r="E4" s="4"/>
      <c r="F4" s="4"/>
    </row>
    <row r="5" spans="1:6">
      <c r="A5" s="116">
        <v>1</v>
      </c>
      <c r="B5" s="163" t="s">
        <v>520</v>
      </c>
      <c r="C5" s="117">
        <f>'7. LI1 '!E37</f>
        <v>663623563.89590001</v>
      </c>
      <c r="D5" s="544"/>
    </row>
    <row r="6" spans="1:6">
      <c r="A6" s="42">
        <v>2.1</v>
      </c>
      <c r="B6" s="96" t="s">
        <v>201</v>
      </c>
      <c r="C6" s="92">
        <v>100578554.60419999</v>
      </c>
      <c r="D6" s="544"/>
    </row>
    <row r="7" spans="1:6" s="23" customFormat="1" outlineLevel="1">
      <c r="A7" s="17">
        <v>2.2000000000000002</v>
      </c>
      <c r="B7" s="18" t="s">
        <v>202</v>
      </c>
      <c r="C7" s="118"/>
      <c r="D7" s="544"/>
    </row>
    <row r="8" spans="1:6" s="23" customFormat="1">
      <c r="A8" s="17">
        <v>3</v>
      </c>
      <c r="B8" s="114" t="s">
        <v>519</v>
      </c>
      <c r="C8" s="119">
        <f>SUM(C5:C7)</f>
        <v>764202118.50010002</v>
      </c>
      <c r="D8" s="544"/>
    </row>
    <row r="9" spans="1:6">
      <c r="A9" s="42">
        <v>4</v>
      </c>
      <c r="B9" s="43" t="s">
        <v>48</v>
      </c>
      <c r="C9" s="92"/>
      <c r="D9" s="544"/>
    </row>
    <row r="10" spans="1:6" s="23" customFormat="1" outlineLevel="1">
      <c r="A10" s="17">
        <v>5.0999999999999996</v>
      </c>
      <c r="B10" s="18" t="s">
        <v>203</v>
      </c>
      <c r="C10" s="118">
        <v>-63779233.089449994</v>
      </c>
      <c r="D10" s="544"/>
    </row>
    <row r="11" spans="1:6" s="23" customFormat="1" outlineLevel="1">
      <c r="A11" s="17">
        <v>5.2</v>
      </c>
      <c r="B11" s="18" t="s">
        <v>204</v>
      </c>
      <c r="C11" s="118"/>
      <c r="D11" s="544"/>
    </row>
    <row r="12" spans="1:6" s="23" customFormat="1">
      <c r="A12" s="17">
        <v>6</v>
      </c>
      <c r="B12" s="113" t="s">
        <v>746</v>
      </c>
      <c r="C12" s="118"/>
      <c r="D12" s="544"/>
    </row>
    <row r="13" spans="1:6" s="23" customFormat="1" ht="13.8" thickBot="1">
      <c r="A13" s="19">
        <v>7</v>
      </c>
      <c r="B13" s="115" t="s">
        <v>164</v>
      </c>
      <c r="C13" s="120">
        <f>SUM(C8:C12)</f>
        <v>700422885.41065001</v>
      </c>
      <c r="D13" s="544"/>
    </row>
    <row r="15" spans="1:6">
      <c r="B15" s="23"/>
    </row>
    <row r="17" spans="1:2" ht="13.8">
      <c r="A17" s="125"/>
      <c r="B17" s="126"/>
    </row>
    <row r="18" spans="1:2" ht="14.4">
      <c r="A18" s="130"/>
      <c r="B18" s="131"/>
    </row>
    <row r="19" spans="1:2" ht="13.8">
      <c r="A19" s="132"/>
      <c r="B19" s="127"/>
    </row>
    <row r="20" spans="1:2" ht="13.8">
      <c r="A20" s="133"/>
      <c r="B20" s="128"/>
    </row>
    <row r="21" spans="1:2" ht="13.8">
      <c r="A21" s="133"/>
      <c r="B21" s="131"/>
    </row>
    <row r="22" spans="1:2" ht="13.8">
      <c r="A22" s="132"/>
      <c r="B22" s="129"/>
    </row>
    <row r="23" spans="1:2" ht="13.8">
      <c r="A23" s="133"/>
      <c r="B23" s="128"/>
    </row>
    <row r="24" spans="1:2" ht="13.8">
      <c r="A24" s="133"/>
      <c r="B24" s="128"/>
    </row>
    <row r="25" spans="1:2" ht="13.8">
      <c r="A25" s="133"/>
      <c r="B25" s="134"/>
    </row>
    <row r="26" spans="1:2" ht="13.8">
      <c r="A26" s="133"/>
      <c r="B26" s="131"/>
    </row>
    <row r="27" spans="1:2">
      <c r="B27" s="41"/>
    </row>
    <row r="28" spans="1:2">
      <c r="B28" s="41"/>
    </row>
    <row r="29" spans="1:2">
      <c r="B29" s="41"/>
    </row>
    <row r="30" spans="1:2">
      <c r="B30" s="41"/>
    </row>
    <row r="31" spans="1:2">
      <c r="B31" s="41"/>
    </row>
    <row r="32" spans="1:2">
      <c r="B32" s="41"/>
    </row>
    <row r="33" spans="2:2">
      <c r="B33" s="41"/>
    </row>
  </sheetData>
  <pageMargins left="0.7" right="0.7" top="0.75" bottom="0.75" header="0.3" footer="0.3"/>
  <pageSetup paperSize="9" scale="61" orientation="portrait" horizontalDpi="300" verticalDpi="300" r:id="rId1"/>
  <headerFooter>
    <oddFooter>&amp;C_x000D_&amp;1#&amp;"Aptos"&amp;10&amp;K000000 C4 - EXTERNAL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2026-04-29T16:21:34Z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4c1e49ef-263c-4ffa-ab6a-698f963011ed_Enabled">
    <vt:lpwstr>true</vt:lpwstr>
  </property>
  <property fmtid="{D5CDD505-2E9C-101B-9397-08002B2CF9AE}" pid="8" name="MSIP_Label_4c1e49ef-263c-4ffa-ab6a-698f963011ed_SetDate">
    <vt:lpwstr>2026-04-16T13:29:09Z</vt:lpwstr>
  </property>
  <property fmtid="{D5CDD505-2E9C-101B-9397-08002B2CF9AE}" pid="9" name="MSIP_Label_4c1e49ef-263c-4ffa-ab6a-698f963011ed_Method">
    <vt:lpwstr>Privileged</vt:lpwstr>
  </property>
  <property fmtid="{D5CDD505-2E9C-101B-9397-08002B2CF9AE}" pid="10" name="MSIP_Label_4c1e49ef-263c-4ffa-ab6a-698f963011ed_Name">
    <vt:lpwstr>External Confidential - C4</vt:lpwstr>
  </property>
  <property fmtid="{D5CDD505-2E9C-101B-9397-08002B2CF9AE}" pid="11" name="MSIP_Label_4c1e49ef-263c-4ffa-ab6a-698f963011ed_SiteId">
    <vt:lpwstr>91e167b0-e7f3-47d0-b08e-ac1e6b839fc3</vt:lpwstr>
  </property>
  <property fmtid="{D5CDD505-2E9C-101B-9397-08002B2CF9AE}" pid="12" name="MSIP_Label_4c1e49ef-263c-4ffa-ab6a-698f963011ed_ActionId">
    <vt:lpwstr>fcabddaf-5593-4bac-87fe-8fb9d5719b46</vt:lpwstr>
  </property>
  <property fmtid="{D5CDD505-2E9C-101B-9397-08002B2CF9AE}" pid="13" name="MSIP_Label_4c1e49ef-263c-4ffa-ab6a-698f963011ed_ContentBits">
    <vt:lpwstr>2</vt:lpwstr>
  </property>
  <property fmtid="{D5CDD505-2E9C-101B-9397-08002B2CF9AE}" pid="14" name="MSIP_Label_4c1e49ef-263c-4ffa-ab6a-698f963011ed_Tag">
    <vt:lpwstr>10, 0, 1, 1</vt:lpwstr>
  </property>
</Properties>
</file>