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24226"/>
  <xr:revisionPtr revIDLastSave="0" documentId="13_ncr:1_{AE9A83D3-520B-4ED0-9F3F-0713E0C8D647}" xr6:coauthVersionLast="47" xr6:coauthVersionMax="47" xr10:uidLastSave="{00000000-0000-0000-0000-000000000000}"/>
  <bookViews>
    <workbookView xWindow="-108" yWindow="-108" windowWidth="23256" windowHeight="1245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92" l="1"/>
  <c r="F30" i="92"/>
  <c r="E30" i="92"/>
  <c r="D30" i="92"/>
  <c r="C30" i="92"/>
  <c r="G26" i="92"/>
  <c r="F26" i="92"/>
  <c r="E26" i="92"/>
  <c r="D26" i="92"/>
  <c r="C26" i="92"/>
  <c r="G22" i="92"/>
  <c r="F22" i="92"/>
  <c r="E22" i="92"/>
  <c r="D22" i="92"/>
  <c r="C22" i="92"/>
  <c r="G18" i="92"/>
  <c r="F18" i="92"/>
  <c r="E18" i="92"/>
  <c r="D18" i="92"/>
  <c r="C18" i="92"/>
  <c r="D18" i="97" l="1"/>
  <c r="G38" i="110"/>
  <c r="F38" i="110"/>
  <c r="D38" i="110"/>
  <c r="E38" i="110" s="1"/>
  <c r="C38" i="110"/>
  <c r="G63" i="108"/>
  <c r="F63" i="108"/>
  <c r="G59" i="108"/>
  <c r="G38" i="108"/>
  <c r="F38" i="108"/>
  <c r="D38" i="108"/>
  <c r="E26" i="88"/>
  <c r="E25" i="88" s="1"/>
  <c r="E22" i="88"/>
  <c r="E20" i="88" s="1"/>
  <c r="E21" i="88"/>
  <c r="T22" i="116"/>
  <c r="L22" i="116"/>
  <c r="E10" i="88"/>
  <c r="E11" i="88"/>
  <c r="E12" i="88"/>
  <c r="E13" i="88"/>
  <c r="E9" i="88"/>
  <c r="E30" i="88"/>
  <c r="E28" i="88" s="1"/>
  <c r="C8" i="110"/>
  <c r="E8" i="110" s="1"/>
  <c r="D8" i="110"/>
  <c r="F8" i="110"/>
  <c r="G8" i="110"/>
  <c r="B1" i="122"/>
  <c r="B1" i="121"/>
  <c r="G17" i="110"/>
  <c r="F17" i="110"/>
  <c r="F14" i="110" s="1"/>
  <c r="H14" i="110" s="1"/>
  <c r="L33" i="118"/>
  <c r="K33" i="118"/>
  <c r="J33" i="118"/>
  <c r="I33" i="118"/>
  <c r="H33" i="118"/>
  <c r="G33" i="118"/>
  <c r="F33" i="118"/>
  <c r="E33" i="118"/>
  <c r="D33" i="118"/>
  <c r="C33" i="118"/>
  <c r="H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33" i="97"/>
  <c r="F6" i="123"/>
  <c r="E6" i="123"/>
  <c r="D6" i="123"/>
  <c r="C6" i="123"/>
  <c r="E9" i="92"/>
  <c r="D9" i="92"/>
  <c r="E8" i="92"/>
  <c r="D8" i="92"/>
  <c r="E7" i="92"/>
  <c r="E6" i="92"/>
  <c r="E34" i="92" s="1"/>
  <c r="C13" i="95" s="1"/>
  <c r="D7" i="92"/>
  <c r="D6" i="92" s="1"/>
  <c r="D34" i="92" s="1"/>
  <c r="K23" i="93"/>
  <c r="J23" i="93"/>
  <c r="I23" i="93"/>
  <c r="H23" i="93"/>
  <c r="G23" i="93"/>
  <c r="F23" i="93"/>
  <c r="D21" i="93"/>
  <c r="E21" i="93"/>
  <c r="F21" i="93"/>
  <c r="G21" i="93"/>
  <c r="H21" i="93"/>
  <c r="I21" i="93"/>
  <c r="J21" i="93"/>
  <c r="J24" i="93" s="1"/>
  <c r="K21" i="93"/>
  <c r="C21" i="93"/>
  <c r="D16" i="93"/>
  <c r="E16" i="93"/>
  <c r="F16" i="93"/>
  <c r="F24" i="93"/>
  <c r="F25" i="93" s="1"/>
  <c r="G16" i="93"/>
  <c r="H16" i="93"/>
  <c r="I16" i="93"/>
  <c r="J16" i="93"/>
  <c r="K16" i="93"/>
  <c r="C16" i="93"/>
  <c r="C10" i="69"/>
  <c r="C37" i="69"/>
  <c r="C52" i="69" s="1"/>
  <c r="C68" i="69" s="1"/>
  <c r="B2" i="121"/>
  <c r="B2" i="122"/>
  <c r="E35" i="88"/>
  <c r="E34" i="88"/>
  <c r="I24" i="93"/>
  <c r="I25" i="93" s="1"/>
  <c r="G24" i="93"/>
  <c r="G25" i="93"/>
  <c r="C29" i="109"/>
  <c r="E29" i="109" s="1"/>
  <c r="F59" i="108"/>
  <c r="H59" i="108" s="1"/>
  <c r="C38" i="108"/>
  <c r="E38" i="108" s="1"/>
  <c r="B1" i="92"/>
  <c r="B2" i="92"/>
  <c r="Q33" i="92"/>
  <c r="Q30" i="92" s="1"/>
  <c r="I33" i="92"/>
  <c r="Q32" i="92"/>
  <c r="I32" i="92"/>
  <c r="Q31" i="92"/>
  <c r="I31" i="92"/>
  <c r="I30" i="92"/>
  <c r="Q29" i="92"/>
  <c r="I29" i="92"/>
  <c r="Q28" i="92"/>
  <c r="I28" i="92"/>
  <c r="Q27" i="92"/>
  <c r="Q26" i="92" s="1"/>
  <c r="I27" i="92"/>
  <c r="I26" i="92"/>
  <c r="Q25" i="92"/>
  <c r="I25" i="92"/>
  <c r="Q24" i="92"/>
  <c r="Q22" i="92" s="1"/>
  <c r="I24" i="92"/>
  <c r="Q23" i="92"/>
  <c r="I23" i="92"/>
  <c r="I22" i="92"/>
  <c r="Q21" i="92"/>
  <c r="I21" i="92"/>
  <c r="Q20" i="92"/>
  <c r="Q8" i="92" s="1"/>
  <c r="I20" i="92"/>
  <c r="Q19" i="92"/>
  <c r="I19" i="92"/>
  <c r="I18" i="92"/>
  <c r="Q17" i="92"/>
  <c r="I17" i="92"/>
  <c r="Q16" i="92"/>
  <c r="I16" i="92"/>
  <c r="Q15" i="92"/>
  <c r="Q14" i="92" s="1"/>
  <c r="I15" i="92"/>
  <c r="I14" i="92"/>
  <c r="Q13" i="92"/>
  <c r="Q9" i="92" s="1"/>
  <c r="I13" i="92"/>
  <c r="Q12" i="92"/>
  <c r="I12" i="92"/>
  <c r="Q11" i="92"/>
  <c r="I11" i="92"/>
  <c r="I10" i="92"/>
  <c r="P9" i="92"/>
  <c r="O9" i="92"/>
  <c r="N9" i="92"/>
  <c r="M9" i="92"/>
  <c r="L9" i="92"/>
  <c r="K9" i="92"/>
  <c r="J9" i="92"/>
  <c r="G9" i="92"/>
  <c r="F9" i="92"/>
  <c r="C9" i="92"/>
  <c r="P8" i="92"/>
  <c r="O8" i="92"/>
  <c r="N8" i="92"/>
  <c r="M8" i="92"/>
  <c r="L8" i="92"/>
  <c r="L6" i="92" s="1"/>
  <c r="L34" i="92" s="1"/>
  <c r="K8" i="92"/>
  <c r="J8" i="92"/>
  <c r="G8" i="92"/>
  <c r="F8" i="92"/>
  <c r="C8" i="92"/>
  <c r="P7" i="92"/>
  <c r="O7" i="92"/>
  <c r="N7" i="92"/>
  <c r="N6" i="92" s="1"/>
  <c r="N34" i="92" s="1"/>
  <c r="M7" i="92"/>
  <c r="L7" i="92"/>
  <c r="K7" i="92"/>
  <c r="K6" i="92" s="1"/>
  <c r="K34" i="92" s="1"/>
  <c r="J7" i="92"/>
  <c r="J6" i="92"/>
  <c r="J34" i="92" s="1"/>
  <c r="G7" i="92"/>
  <c r="G6" i="92" s="1"/>
  <c r="G34" i="92" s="1"/>
  <c r="F7" i="92"/>
  <c r="C7" i="92"/>
  <c r="B2" i="123"/>
  <c r="B1" i="123"/>
  <c r="C6" i="92"/>
  <c r="C34" i="92" s="1"/>
  <c r="F6" i="92"/>
  <c r="M6" i="92"/>
  <c r="M34" i="92"/>
  <c r="P6" i="92"/>
  <c r="O6" i="92"/>
  <c r="O34" i="92"/>
  <c r="F34" i="92"/>
  <c r="P34" i="92"/>
  <c r="I9" i="92"/>
  <c r="I8" i="92"/>
  <c r="C10" i="95"/>
  <c r="A2" i="121"/>
  <c r="A1" i="121"/>
  <c r="E12" i="122"/>
  <c r="D12" i="122"/>
  <c r="C12" i="122"/>
  <c r="B12" i="122"/>
  <c r="F12" i="122"/>
  <c r="E11" i="122"/>
  <c r="D11" i="122"/>
  <c r="C11" i="122"/>
  <c r="B11" i="122"/>
  <c r="F10" i="122"/>
  <c r="E10" i="122"/>
  <c r="D10" i="122"/>
  <c r="C10" i="122"/>
  <c r="B10" i="122"/>
  <c r="F9" i="122"/>
  <c r="E9" i="122"/>
  <c r="D9" i="122"/>
  <c r="C9" i="122"/>
  <c r="B9" i="122"/>
  <c r="B11" i="121"/>
  <c r="F11" i="122"/>
  <c r="C22" i="111"/>
  <c r="H7" i="112"/>
  <c r="B2" i="97"/>
  <c r="B2" i="95"/>
  <c r="B2" i="93"/>
  <c r="B2" i="91"/>
  <c r="B2" i="64"/>
  <c r="B2" i="90"/>
  <c r="B2" i="69"/>
  <c r="B2" i="94"/>
  <c r="B2" i="89"/>
  <c r="B2" i="73"/>
  <c r="B2" i="88"/>
  <c r="B2" i="52"/>
  <c r="B2" i="86"/>
  <c r="C5" i="86"/>
  <c r="B2" i="110"/>
  <c r="B2" i="109"/>
  <c r="B2" i="108"/>
  <c r="B1" i="110"/>
  <c r="B1" i="109"/>
  <c r="B1" i="108"/>
  <c r="B2" i="120"/>
  <c r="B1" i="120"/>
  <c r="B2" i="119"/>
  <c r="B1" i="119"/>
  <c r="B2" i="118"/>
  <c r="B1" i="118"/>
  <c r="B2" i="117"/>
  <c r="B1" i="117"/>
  <c r="B2" i="116"/>
  <c r="B1" i="116"/>
  <c r="B2" i="115"/>
  <c r="B1" i="115"/>
  <c r="B2" i="114"/>
  <c r="B1" i="114"/>
  <c r="B2" i="113"/>
  <c r="B1" i="113"/>
  <c r="B2" i="112"/>
  <c r="B1" i="112"/>
  <c r="B2" i="111"/>
  <c r="B1" i="111"/>
  <c r="C10" i="115"/>
  <c r="C18" i="115" s="1"/>
  <c r="C7" i="114"/>
  <c r="D7" i="114"/>
  <c r="D15" i="114" s="1"/>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21" i="112" s="1"/>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2" i="111" s="1"/>
  <c r="H20" i="111"/>
  <c r="H21" i="111"/>
  <c r="D22" i="111"/>
  <c r="E22" i="111"/>
  <c r="F22" i="111"/>
  <c r="G22" i="111"/>
  <c r="H34" i="113"/>
  <c r="C62" i="69"/>
  <c r="C58" i="69"/>
  <c r="C67" i="69"/>
  <c r="C46" i="69"/>
  <c r="C40" i="69"/>
  <c r="C29" i="69"/>
  <c r="C26" i="69"/>
  <c r="C23" i="69"/>
  <c r="C18" i="69"/>
  <c r="C14" i="69"/>
  <c r="C6" i="69"/>
  <c r="C35" i="69" s="1"/>
  <c r="E8" i="88"/>
  <c r="E16" i="88"/>
  <c r="E31" i="88"/>
  <c r="D8" i="88"/>
  <c r="D16" i="88"/>
  <c r="D20" i="88"/>
  <c r="D25" i="88"/>
  <c r="D28" i="88"/>
  <c r="D31" i="88"/>
  <c r="C31" i="88"/>
  <c r="C28" i="88"/>
  <c r="C37" i="88" s="1"/>
  <c r="C25" i="88"/>
  <c r="C20" i="88"/>
  <c r="C16" i="88"/>
  <c r="C8" i="88"/>
  <c r="D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E14" i="110" s="1"/>
  <c r="C17" i="110"/>
  <c r="E17" i="110" s="1"/>
  <c r="C14" i="110"/>
  <c r="H16" i="110"/>
  <c r="E16" i="110"/>
  <c r="H15" i="110"/>
  <c r="E15" i="110"/>
  <c r="G14" i="110"/>
  <c r="H13" i="110"/>
  <c r="E13" i="110"/>
  <c r="H12" i="110"/>
  <c r="E12" i="110"/>
  <c r="G11" i="110"/>
  <c r="F11" i="110"/>
  <c r="D11" i="110"/>
  <c r="E11" i="110"/>
  <c r="C11" i="110"/>
  <c r="H10" i="110"/>
  <c r="E10" i="110"/>
  <c r="H9" i="110"/>
  <c r="E9" i="110"/>
  <c r="H7" i="110"/>
  <c r="E7" i="110"/>
  <c r="H6" i="110"/>
  <c r="E6" i="110"/>
  <c r="H44" i="109"/>
  <c r="E44" i="109"/>
  <c r="H42" i="109"/>
  <c r="E42" i="109"/>
  <c r="H41" i="109"/>
  <c r="E41" i="109"/>
  <c r="H40" i="109"/>
  <c r="E40" i="109"/>
  <c r="H39" i="109"/>
  <c r="E39" i="109"/>
  <c r="H38" i="109"/>
  <c r="E38" i="109"/>
  <c r="G37" i="109"/>
  <c r="G43" i="109" s="1"/>
  <c r="G45" i="109" s="1"/>
  <c r="F37" i="109"/>
  <c r="H37" i="109" s="1"/>
  <c r="D37" i="109"/>
  <c r="C37" i="109"/>
  <c r="E37" i="109" s="1"/>
  <c r="H36" i="109"/>
  <c r="E36" i="109"/>
  <c r="H35" i="109"/>
  <c r="E35" i="109"/>
  <c r="G34" i="109"/>
  <c r="F34" i="109"/>
  <c r="H34" i="109"/>
  <c r="D34" i="109"/>
  <c r="C34" i="109"/>
  <c r="E34" i="109" s="1"/>
  <c r="H33" i="109"/>
  <c r="E33" i="109"/>
  <c r="H32" i="109"/>
  <c r="E32" i="109"/>
  <c r="H31" i="109"/>
  <c r="E31" i="109"/>
  <c r="H30" i="109"/>
  <c r="E30" i="109"/>
  <c r="G29" i="109"/>
  <c r="F29" i="109"/>
  <c r="H29" i="109"/>
  <c r="D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F6" i="109"/>
  <c r="D6" i="109"/>
  <c r="C6" i="109"/>
  <c r="E6" i="109" s="1"/>
  <c r="G68" i="108"/>
  <c r="H67" i="108"/>
  <c r="E67" i="108"/>
  <c r="H66" i="108"/>
  <c r="E66" i="108"/>
  <c r="H65" i="108"/>
  <c r="E65" i="108"/>
  <c r="H64" i="108"/>
  <c r="E64" i="108"/>
  <c r="H63" i="108"/>
  <c r="D63" i="108"/>
  <c r="C63" i="108"/>
  <c r="E63" i="108"/>
  <c r="H62" i="108"/>
  <c r="E62" i="108"/>
  <c r="H61" i="108"/>
  <c r="E61" i="108"/>
  <c r="H60" i="108"/>
  <c r="E60" i="108"/>
  <c r="D59" i="108"/>
  <c r="C59" i="108"/>
  <c r="E59" i="108" s="1"/>
  <c r="H58" i="108"/>
  <c r="E58" i="108"/>
  <c r="H57" i="108"/>
  <c r="E57" i="108"/>
  <c r="H56" i="108"/>
  <c r="E56" i="108"/>
  <c r="H55" i="108"/>
  <c r="E55" i="108"/>
  <c r="H52" i="108"/>
  <c r="E52" i="108"/>
  <c r="H51" i="108"/>
  <c r="E51" i="108"/>
  <c r="H50" i="108"/>
  <c r="E50" i="108"/>
  <c r="H49" i="108"/>
  <c r="E49" i="108"/>
  <c r="H48" i="108"/>
  <c r="E48" i="108"/>
  <c r="G47" i="108"/>
  <c r="F47" i="108"/>
  <c r="H47" i="108"/>
  <c r="D47" i="108"/>
  <c r="C47" i="108"/>
  <c r="E47" i="108"/>
  <c r="H46" i="108"/>
  <c r="E46" i="108"/>
  <c r="H45" i="108"/>
  <c r="E45" i="108"/>
  <c r="H44" i="108"/>
  <c r="E44" i="108"/>
  <c r="H43" i="108"/>
  <c r="E43" i="108"/>
  <c r="H42" i="108"/>
  <c r="E42" i="108"/>
  <c r="G41" i="108"/>
  <c r="G53" i="108" s="1"/>
  <c r="G69" i="108" s="1"/>
  <c r="F41" i="108"/>
  <c r="F53" i="108" s="1"/>
  <c r="D41" i="108"/>
  <c r="D53" i="108"/>
  <c r="C41" i="108"/>
  <c r="E41" i="108" s="1"/>
  <c r="H40" i="108"/>
  <c r="E40" i="108"/>
  <c r="H39" i="108"/>
  <c r="E39" i="108"/>
  <c r="H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F24" i="108"/>
  <c r="H24" i="108" s="1"/>
  <c r="D24" i="108"/>
  <c r="C24" i="108"/>
  <c r="E24" i="108" s="1"/>
  <c r="H23" i="108"/>
  <c r="E23" i="108"/>
  <c r="H22" i="108"/>
  <c r="E22" i="108"/>
  <c r="H21" i="108"/>
  <c r="E21" i="108"/>
  <c r="H20" i="108"/>
  <c r="E20" i="108"/>
  <c r="G19" i="108"/>
  <c r="G36" i="108" s="1"/>
  <c r="F19" i="108"/>
  <c r="F36" i="108" s="1"/>
  <c r="H19" i="108"/>
  <c r="D19" i="108"/>
  <c r="D36" i="108" s="1"/>
  <c r="C19" i="108"/>
  <c r="E19" i="108"/>
  <c r="H18" i="108"/>
  <c r="E18" i="108"/>
  <c r="H17" i="108"/>
  <c r="E17" i="108"/>
  <c r="H16" i="108"/>
  <c r="E16" i="108"/>
  <c r="G15" i="108"/>
  <c r="F15" i="108"/>
  <c r="H15" i="108"/>
  <c r="D15" i="108"/>
  <c r="E15" i="108"/>
  <c r="C15" i="108"/>
  <c r="H14" i="108"/>
  <c r="E14" i="108"/>
  <c r="H13" i="108"/>
  <c r="E13" i="108"/>
  <c r="H12" i="108"/>
  <c r="E12" i="108"/>
  <c r="H11" i="108"/>
  <c r="E11" i="108"/>
  <c r="H10" i="108"/>
  <c r="E10" i="108"/>
  <c r="H9" i="108"/>
  <c r="E9" i="108"/>
  <c r="H8" i="108"/>
  <c r="E8" i="108"/>
  <c r="G7" i="108"/>
  <c r="F7" i="108"/>
  <c r="H7" i="108" s="1"/>
  <c r="D7" i="108"/>
  <c r="C7" i="108"/>
  <c r="E7" i="108"/>
  <c r="E30" i="110"/>
  <c r="H11" i="110"/>
  <c r="H8" i="110"/>
  <c r="D68" i="108"/>
  <c r="H30" i="110"/>
  <c r="C68" i="108"/>
  <c r="E68" i="108" s="1"/>
  <c r="H6" i="109"/>
  <c r="D43" i="109"/>
  <c r="D45" i="109" s="1"/>
  <c r="B1" i="97"/>
  <c r="G33" i="97"/>
  <c r="F33" i="97"/>
  <c r="E33" i="97"/>
  <c r="D33" i="97"/>
  <c r="G24" i="97"/>
  <c r="F24" i="97"/>
  <c r="E24" i="97"/>
  <c r="D24" i="97"/>
  <c r="C24" i="97"/>
  <c r="G18" i="97"/>
  <c r="F18" i="97"/>
  <c r="E18" i="97"/>
  <c r="C18" i="97"/>
  <c r="G14" i="97"/>
  <c r="F14" i="97"/>
  <c r="E14" i="97"/>
  <c r="D14" i="97"/>
  <c r="C14" i="97"/>
  <c r="G11" i="97"/>
  <c r="F11" i="97"/>
  <c r="E11" i="97"/>
  <c r="D11" i="97"/>
  <c r="C11" i="97"/>
  <c r="G8" i="97"/>
  <c r="G21" i="97" s="1"/>
  <c r="F8" i="97"/>
  <c r="E8" i="97"/>
  <c r="D8" i="97"/>
  <c r="C8" i="97"/>
  <c r="B1" i="95"/>
  <c r="B1" i="93"/>
  <c r="B1" i="64"/>
  <c r="B1" i="90"/>
  <c r="B1" i="69"/>
  <c r="B1" i="94"/>
  <c r="B1" i="89"/>
  <c r="B1" i="73"/>
  <c r="B1" i="88"/>
  <c r="B1" i="52"/>
  <c r="B1" i="86"/>
  <c r="G5" i="86"/>
  <c r="F5" i="86"/>
  <c r="E5" i="86"/>
  <c r="D5" i="86"/>
  <c r="G5" i="84"/>
  <c r="F5" i="84"/>
  <c r="E5" i="84"/>
  <c r="D5" i="84"/>
  <c r="C5" i="84"/>
  <c r="E6" i="86"/>
  <c r="E13" i="86" s="1"/>
  <c r="F6" i="86"/>
  <c r="F13" i="86"/>
  <c r="G6" i="86"/>
  <c r="G13" i="86"/>
  <c r="B1" i="91"/>
  <c r="B1" i="84"/>
  <c r="C26" i="95"/>
  <c r="C22" i="95"/>
  <c r="C8" i="95"/>
  <c r="D6" i="86"/>
  <c r="D13" i="86"/>
  <c r="C6" i="86"/>
  <c r="C13" i="86" s="1"/>
  <c r="S21" i="90"/>
  <c r="S20" i="90"/>
  <c r="S19" i="90"/>
  <c r="S18" i="90"/>
  <c r="S17" i="90"/>
  <c r="S16" i="90"/>
  <c r="S15" i="90"/>
  <c r="S14" i="90"/>
  <c r="S13" i="90"/>
  <c r="S12" i="90"/>
  <c r="S11" i="90"/>
  <c r="S10" i="90"/>
  <c r="S9" i="90"/>
  <c r="S8" i="90"/>
  <c r="S22" i="90" s="1"/>
  <c r="T21" i="64"/>
  <c r="U21" i="64"/>
  <c r="S21" i="64"/>
  <c r="C21" i="64"/>
  <c r="G22" i="91"/>
  <c r="H22" i="91" s="1"/>
  <c r="F22" i="91"/>
  <c r="E22" i="91"/>
  <c r="D22" i="91"/>
  <c r="C22" i="91"/>
  <c r="H21" i="91"/>
  <c r="H20" i="91"/>
  <c r="H19" i="91"/>
  <c r="H18" i="91"/>
  <c r="H17" i="91"/>
  <c r="H16" i="91"/>
  <c r="H15" i="91"/>
  <c r="H14" i="91"/>
  <c r="H13" i="91"/>
  <c r="H12" i="91"/>
  <c r="H11" i="91"/>
  <c r="H10" i="91"/>
  <c r="H9" i="91"/>
  <c r="H8" i="91"/>
  <c r="K22" i="90"/>
  <c r="L22" i="90"/>
  <c r="M22" i="90"/>
  <c r="N22" i="90"/>
  <c r="O22" i="90"/>
  <c r="P22" i="90"/>
  <c r="Q22" i="90"/>
  <c r="R22" i="90"/>
  <c r="C22" i="90"/>
  <c r="C12" i="89"/>
  <c r="C6" i="89"/>
  <c r="D22" i="90"/>
  <c r="E22" i="90"/>
  <c r="F22" i="90"/>
  <c r="G22" i="90"/>
  <c r="H22" i="90"/>
  <c r="I22" i="90"/>
  <c r="J22" i="90"/>
  <c r="C32" i="89"/>
  <c r="C31" i="89"/>
  <c r="C36" i="89"/>
  <c r="C44" i="89"/>
  <c r="C48" i="89"/>
  <c r="C42" i="89"/>
  <c r="B9" i="121"/>
  <c r="C53" i="89"/>
  <c r="B10" i="121" s="1"/>
  <c r="D21" i="64"/>
  <c r="E21" i="64"/>
  <c r="F21" i="64"/>
  <c r="G21" i="64"/>
  <c r="H21" i="64"/>
  <c r="I21" i="64"/>
  <c r="J21" i="64"/>
  <c r="K21" i="64"/>
  <c r="L21" i="64"/>
  <c r="M21" i="64"/>
  <c r="N21" i="64"/>
  <c r="O21" i="64"/>
  <c r="P21" i="64"/>
  <c r="Q21" i="64"/>
  <c r="R21" i="64"/>
  <c r="V8" i="64"/>
  <c r="V9" i="64"/>
  <c r="V10" i="64"/>
  <c r="V11" i="64"/>
  <c r="V12" i="64"/>
  <c r="V13" i="64"/>
  <c r="V14" i="64"/>
  <c r="V15" i="64"/>
  <c r="V16" i="64"/>
  <c r="V17" i="64"/>
  <c r="V18" i="64"/>
  <c r="V19" i="64"/>
  <c r="V20" i="64"/>
  <c r="V7" i="64"/>
  <c r="V21" i="64" s="1"/>
  <c r="C15" i="114" l="1"/>
  <c r="G37" i="97"/>
  <c r="G39" i="97" s="1"/>
  <c r="Q18" i="92"/>
  <c r="Q7" i="92"/>
  <c r="Q6" i="92" s="1"/>
  <c r="Q34" i="92" s="1"/>
  <c r="Q10" i="92"/>
  <c r="C11" i="95"/>
  <c r="I34" i="92"/>
  <c r="C12" i="95" s="1"/>
  <c r="C14" i="95" s="1"/>
  <c r="C32" i="95" s="1"/>
  <c r="I7" i="92"/>
  <c r="I6" i="92" s="1"/>
  <c r="C29" i="89"/>
  <c r="B8" i="121" s="1"/>
  <c r="B7" i="121" s="1"/>
  <c r="B6" i="121"/>
  <c r="B16" i="121"/>
  <c r="B14" i="121" s="1"/>
  <c r="E37" i="88"/>
  <c r="C5" i="73" s="1"/>
  <c r="C8" i="73" s="1"/>
  <c r="C13" i="73" s="1"/>
  <c r="D16" i="94"/>
  <c r="D21" i="94"/>
  <c r="D17" i="94"/>
  <c r="D12" i="94"/>
  <c r="D15" i="94"/>
  <c r="B18" i="121"/>
  <c r="D8" i="94"/>
  <c r="D11" i="94"/>
  <c r="D19" i="94"/>
  <c r="D20" i="94"/>
  <c r="D9" i="94"/>
  <c r="D13" i="94"/>
  <c r="D7" i="94"/>
  <c r="F43" i="109"/>
  <c r="H43" i="109" s="1"/>
  <c r="C43" i="109"/>
  <c r="E43" i="109" s="1"/>
  <c r="F68" i="108"/>
  <c r="H68" i="108" s="1"/>
  <c r="D69" i="108"/>
  <c r="H41" i="108"/>
  <c r="H53" i="108"/>
  <c r="C53" i="108"/>
  <c r="H36" i="108"/>
  <c r="C36" i="108"/>
  <c r="E36" i="108" s="1"/>
  <c r="K24" i="93"/>
  <c r="K25" i="93" s="1"/>
  <c r="J25" i="93"/>
  <c r="H24" i="93"/>
  <c r="H25" i="93" s="1"/>
  <c r="B19" i="121" l="1"/>
  <c r="C34" i="95"/>
  <c r="B21" i="121"/>
  <c r="B23" i="121"/>
  <c r="B22" i="121"/>
  <c r="F45" i="109"/>
  <c r="H45" i="109" s="1"/>
  <c r="C45" i="109"/>
  <c r="E45" i="109" s="1"/>
  <c r="F69" i="108"/>
  <c r="H69" i="108" s="1"/>
  <c r="E53" i="108"/>
  <c r="C69" i="108"/>
  <c r="E69" i="10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<sst xmlns="http://schemas.openxmlformats.org/spreadsheetml/2006/main" count="1251" uniqueCount="782">
  <si>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</si>
  <si>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</si>
  <si>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</si>
  <si>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</si>
  <si>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</si>
  <si>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</si>
  <si>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</si>
  <si>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</si>
  <si>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</si>
  <si>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</si>
  <si>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</si>
  <si>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</si>
  <si>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</si>
  <si>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</si>
  <si>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</si>
  <si>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</si>
  <si>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</si>
  <si>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</si>
  <si>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</si>
  <si>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</si>
  <si>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</si>
  <si>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</si>
  <si>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</si>
  <si>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</si>
  <si>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</si>
  <si>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</si>
  <si>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</si>
  <si>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</si>
  <si>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</si>
  <si>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</si>
  <si>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</si>
  <si>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</si>
  <si>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</si>
  <si>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</si>
  <si>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</si>
  <si>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</si>
  <si>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</si>
  <si>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</si>
  <si>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</si>
  <si>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</si>
  <si>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</si>
  <si>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</si>
  <si>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</si>
  <si>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</si>
  <si>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</si>
  <si>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</si>
  <si>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</si>
  <si>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</si>
  <si>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</si>
  <si>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</si>
  <si>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</si>
  <si>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</si>
  <si>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</si>
  <si>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</si>
  <si>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</si>
  <si>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</si>
  <si>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</si>
  <si>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</si>
  <si>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</si>
  <si>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</si>
  <si>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</si>
  <si>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</si>
  <si>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</si>
  <si>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</si>
  <si>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</si>
  <si>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</si>
  <si>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</si>
  <si>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</si>
  <si>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</si>
  <si>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</si>
  <si>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</si>
  <si>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</si>
  <si>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</si>
  <si>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</si>
  <si>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</si>
  <si>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</si>
  <si>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</si>
  <si>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</si>
  <si>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</si>
  <si>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</si>
  <si>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</si>
  <si>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</si>
  <si>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</si>
  <si>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</si>
  <si>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</si>
  <si>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</si>
  <si>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</si>
  <si>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</si>
  <si>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</si>
  <si>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</si>
  <si>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</si>
  <si>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</si>
  <si>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</si>
  <si>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</si>
  <si>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</si>
  <si>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</si>
  <si>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</si>
  <si>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</si>
  <si>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</si>
  <si>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</si>
  <si>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</si>
  <si>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</si>
  <si>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</si>
  <si>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</si>
  <si>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</si>
  <si>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</si>
  <si>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</si>
  <si>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</si>
  <si>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</si>
  <si>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</si>
  <si>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</si>
  <si>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</si>
  <si>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</si>
  <si>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</si>
  <si>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</si>
  <si>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</si>
  <si>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</si>
  <si>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</si>
  <si>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</si>
  <si>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</si>
  <si>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</si>
  <si>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</si>
  <si>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</si>
  <si>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</si>
  <si>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</si>
  <si>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</si>
  <si>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</si>
  <si>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</si>
  <si>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</si>
  <si>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</si>
  <si>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</si>
  <si>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</si>
  <si>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</si>
  <si>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</si>
  <si>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</si>
  <si>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</si>
  <si>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</si>
  <si>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</si>
  <si>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</si>
  <si>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</si>
  <si>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</si>
  <si>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</si>
  <si>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</si>
  <si>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</si>
  <si>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</si>
  <si>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</si>
  <si>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</si>
  <si>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</si>
  <si>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</si>
  <si>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</si>
  <si>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</si>
  <si>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</si>
  <si>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</si>
  <si>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</si>
  <si>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</si>
  <si>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</si>
  <si>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</si>
  <si>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</si>
  <si>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</si>
  <si>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</si>
  <si>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</si>
  <si>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</si>
  <si>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</si>
  <si>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</si>
  <si>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</si>
  <si>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</si>
  <si>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</si>
  <si>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</si>
  <si>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</si>
  <si>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</si>
  <si>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</si>
  <si>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</si>
  <si>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</si>
  <si>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</si>
  <si>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</si>
  <si>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</si>
  <si>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</si>
  <si>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</si>
  <si>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</si>
  <si>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</si>
  <si>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</si>
  <si>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</si>
  <si>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</si>
  <si>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</si>
  <si>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</si>
  <si>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</si>
  <si>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</si>
  <si>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</si>
  <si>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</si>
  <si>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</si>
  <si>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</si>
  <si>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</si>
  <si>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</si>
  <si>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</si>
  <si>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</si>
  <si>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</si>
  <si>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</si>
  <si>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</si>
  <si>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</si>
  <si>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</si>
  <si>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</si>
  <si>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</si>
  <si>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</si>
  <si>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</si>
  <si>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</si>
  <si>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</si>
  <si>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</si>
  <si>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</si>
  <si>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</si>
  <si>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</si>
  <si>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</si>
  <si>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</si>
  <si>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</si>
  <si>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</si>
  <si>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</si>
  <si>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</si>
  <si>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</si>
  <si>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</si>
  <si>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</si>
  <si>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</si>
  <si>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</si>
  <si>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</si>
  <si>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</si>
  <si>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</si>
  <si>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</si>
  <si>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</si>
  <si>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</si>
  <si>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</si>
  <si>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</si>
  <si>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</si>
  <si>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</si>
  <si>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</si>
  <si>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</si>
  <si>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</si>
  <si>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</si>
  <si>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</si>
  <si>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</si>
  <si>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</si>
  <si>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</si>
  <si>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</si>
  <si>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</si>
  <si>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</si>
  <si>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</si>
  <si>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</si>
  <si>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</si>
  <si>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</si>
  <si>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</si>
  <si>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</si>
  <si>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</si>
  <si>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</si>
  <si>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</si>
  <si>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</si>
  <si>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</si>
  <si>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</si>
  <si>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</si>
  <si>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</si>
  <si>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</si>
  <si>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</si>
  <si>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</si>
  <si>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</si>
  <si>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</si>
  <si>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</si>
  <si>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</si>
  <si>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</si>
  <si>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</si>
  <si>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</si>
  <si>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</si>
  <si>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</si>
  <si>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</si>
  <si>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</si>
  <si>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</si>
  <si>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</si>
  <si>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</si>
  <si>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</si>
  <si>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</si>
  <si>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</si>
  <si>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</si>
  <si>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</si>
  <si>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</si>
  <si>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</si>
  <si>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</si>
  <si>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</si>
  <si>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</si>
  <si>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</si>
  <si>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</si>
  <si>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</si>
  <si>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</si>
  <si>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</si>
  <si>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</si>
  <si>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</si>
  <si>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</si>
  <si>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</si>
  <si>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</si>
  <si>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</si>
  <si>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</si>
  <si>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</si>
  <si>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</si>
  <si>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</si>
  <si>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</si>
  <si>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</si>
  <si>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</si>
  <si>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</si>
  <si>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</si>
  <si>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</si>
  <si>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</si>
  <si>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</si>
  <si>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</si>
  <si>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</si>
  <si>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</si>
  <si>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</si>
  <si>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</si>
  <si>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</si>
  <si>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</si>
  <si>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</si>
  <si>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</si>
  <si>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</si>
  <si>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</si>
  <si>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</si>
  <si>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</si>
  <si>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</si>
  <si>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</si>
  <si>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</si>
  <si>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</si>
  <si>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</si>
  <si>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</si>
  <si>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</si>
  <si>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</si>
  <si>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</si>
  <si>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</si>
  <si>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</si>
  <si>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</si>
  <si>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</si>
  <si>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</si>
  <si>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</si>
  <si>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</si>
  <si>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</si>
  <si>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</si>
  <si>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</si>
  <si>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</si>
  <si>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</si>
  <si>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</si>
  <si>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</si>
  <si>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</si>
  <si>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</si>
  <si>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</si>
  <si>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</si>
  <si>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</si>
  <si>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</si>
  <si>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</si>
  <si>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</si>
  <si>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</si>
  <si>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</si>
  <si>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</si>
  <si>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</si>
  <si>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</si>
  <si>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</si>
  <si>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</si>
  <si>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</si>
  <si>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</si>
  <si>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</si>
  <si>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</si>
  <si>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</si>
  <si>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</si>
  <si>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</si>
  <si>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</si>
  <si>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</si>
  <si>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</si>
  <si>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</si>
  <si>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</si>
  <si>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</si>
  <si>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</si>
  <si>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</si>
  <si>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</si>
  <si>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</si>
  <si>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</si>
  <si>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</si>
  <si>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</si>
  <si>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</si>
  <si>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</si>
  <si>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</si>
  <si>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</si>
  <si>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</si>
  <si>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</si>
  <si>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</si>
  <si>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</si>
  <si>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</si>
  <si>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</si>
  <si>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</si>
  <si>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</si>
  <si>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</si>
  <si>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</si>
  <si>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</si>
  <si>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</si>
  <si>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</si>
  <si>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</si>
  <si>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</si>
  <si>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</si>
  <si>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</si>
  <si>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</si>
  <si>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</si>
  <si>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</si>
  <si>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</si>
  <si>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</si>
  <si>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</si>
  <si>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</si>
  <si>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</si>
  <si>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</si>
  <si>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</si>
  <si>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</si>
  <si>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</si>
  <si>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</si>
  <si>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</si>
  <si>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</si>
  <si>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</si>
  <si>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</si>
  <si>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</si>
  <si>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</si>
  <si>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</si>
  <si>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</si>
  <si>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</si>
  <si>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</si>
  <si>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</si>
  <si>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</si>
  <si>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</si>
  <si>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</si>
  <si>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</si>
  <si>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</si>
  <si>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</si>
  <si>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</si>
  <si>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</si>
  <si>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</si>
  <si>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</si>
  <si>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</si>
  <si>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</si>
  <si>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</si>
  <si>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</si>
  <si>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</si>
  <si>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</si>
  <si>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</si>
  <si>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</si>
  <si>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</si>
  <si>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</si>
  <si>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</si>
  <si>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</si>
  <si>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</si>
  <si>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</si>
  <si>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</si>
  <si>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</si>
  <si>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</si>
  <si>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</si>
  <si>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</si>
  <si>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</si>
  <si>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</si>
  <si>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</si>
  <si>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</si>
  <si>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</si>
  <si>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</si>
  <si>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</si>
  <si>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</si>
  <si>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</si>
  <si>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</si>
  <si>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</si>
  <si>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</si>
  <si>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</si>
  <si>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</si>
  <si>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</si>
  <si>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</si>
  <si>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</si>
  <si>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</si>
  <si>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</si>
  <si>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</si>
  <si>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</si>
  <si>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</si>
  <si>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</si>
  <si>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</si>
  <si>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</si>
  <si>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</si>
  <si>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</si>
  <si>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</si>
  <si>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</si>
  <si>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</si>
  <si>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</si>
  <si>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</si>
  <si>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</si>
  <si>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</si>
  <si>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</si>
  <si>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</si>
  <si>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</si>
  <si>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</si>
  <si>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</si>
  <si>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</si>
  <si>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</si>
  <si>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</si>
  <si>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</si>
  <si>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</si>
  <si>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</si>
  <si>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</si>
  <si>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</si>
  <si>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</si>
  <si>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</si>
  <si>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</si>
  <si>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</si>
  <si>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</si>
  <si>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</si>
  <si>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</si>
  <si>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</si>
  <si>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</si>
  <si>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</si>
  <si>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</si>
  <si>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</si>
  <si>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</si>
  <si>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</si>
  <si>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</si>
  <si>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</si>
  <si>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</si>
  <si>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</si>
  <si>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</si>
  <si>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</si>
  <si>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</si>
  <si>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</si>
  <si>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</si>
  <si>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</si>
  <si>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</si>
  <si>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</si>
  <si>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</si>
  <si>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</si>
  <si>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</si>
  <si>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</si>
  <si>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</si>
  <si>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</si>
  <si>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</si>
  <si>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</si>
  <si>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</si>
  <si>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</si>
  <si>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</si>
  <si>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</si>
  <si>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</si>
  <si>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</si>
  <si>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</si>
  <si>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</si>
  <si>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</si>
  <si>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</si>
  <si>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</si>
  <si>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</si>
  <si>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</si>
  <si>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</si>
  <si>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</si>
  <si>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</si>
  <si>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</si>
  <si>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</si>
  <si>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</si>
  <si>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</si>
  <si>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</si>
  <si>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</si>
  <si>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</si>
  <si>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</si>
  <si>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</si>
  <si>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</si>
  <si>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</si>
  <si>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</si>
  <si>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</si>
  <si>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</si>
  <si>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</si>
  <si>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</si>
  <si>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</si>
  <si>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</si>
  <si>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</si>
  <si>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</si>
  <si>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</si>
  <si>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</si>
  <si>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</si>
  <si>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</si>
  <si>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</si>
  <si>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</si>
  <si>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</si>
  <si>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</si>
  <si>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</si>
  <si>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</si>
  <si>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</si>
  <si>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</si>
  <si>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</si>
  <si>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</si>
  <si>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</si>
  <si>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</si>
  <si>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</si>
  <si>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</si>
  <si>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</si>
  <si>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</si>
  <si>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</si>
  <si>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</si>
  <si>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</si>
  <si>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</si>
  <si>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</si>
  <si>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</si>
  <si>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</si>
  <si>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</si>
  <si>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</si>
  <si>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</si>
  <si>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</si>
  <si>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</si>
  <si>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</si>
  <si>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</si>
  <si>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</si>
  <si>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</si>
  <si>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</si>
  <si>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</si>
  <si>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</si>
  <si>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</si>
  <si>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</si>
  <si>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</si>
  <si>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</si>
  <si>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</si>
  <si>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</si>
  <si>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</si>
  <si>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</si>
  <si>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</si>
  <si>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</si>
  <si>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</si>
  <si>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</si>
  <si>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</si>
  <si>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</si>
  <si>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</si>
  <si>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</si>
  <si>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</si>
  <si>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</si>
  <si>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</si>
  <si>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</si>
  <si>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</si>
  <si>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</si>
  <si>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</si>
  <si>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</si>
  <si>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</si>
  <si>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</si>
  <si>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</si>
  <si>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</si>
  <si>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</si>
  <si>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</si>
  <si>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</si>
  <si>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</si>
  <si>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</si>
  <si>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</si>
  <si>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</si>
  <si>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</si>
  <si>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</si>
  <si>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</si>
  <si>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</si>
  <si>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</si>
  <si>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</si>
  <si>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</si>
  <si>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</si>
  <si>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</si>
  <si>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</si>
  <si>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</si>
  <si>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</si>
  <si>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</si>
  <si>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</si>
  <si>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</si>
  <si>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</si>
  <si>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</si>
  <si>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</si>
  <si>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</si>
  <si>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</si>
  <si>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</si>
  <si>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</si>
  <si>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</si>
  <si>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</si>
  <si>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</si>
  <si>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</si>
  <si>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</si>
  <si>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</si>
  <si>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</si>
  <si>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</si>
  <si>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</si>
  <si>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</si>
  <si>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</si>
  <si>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</si>
  <si>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</si>
  <si>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</si>
  <si>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</si>
  <si>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</si>
  <si>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</si>
  <si>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</si>
  <si>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</si>
  <si>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</si>
  <si>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</si>
  <si>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</si>
  <si>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</si>
  <si>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</si>
  <si>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</si>
  <si>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</si>
  <si>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</si>
  <si>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</si>
  <si>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</si>
  <si>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</si>
  <si>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</si>
  <si>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</si>
  <si>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</si>
  <si>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</si>
  <si>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</si>
  <si>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</si>
  <si>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</si>
  <si>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</si>
  <si>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</si>
  <si>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</si>
  <si>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</si>
  <si>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</si>
  <si>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</si>
  <si>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</si>
  <si>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</si>
  <si>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</si>
  <si>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</si>
  <si>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</si>
  <si>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</si>
  <si>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</si>
  <si>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</si>
  <si>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</si>
  <si>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</si>
  <si>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</si>
  <si>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</si>
  <si>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</si>
  <si>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</si>
  <si>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</si>
  <si>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</si>
  <si>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</si>
  <si>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</si>
  <si>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</si>
  <si>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</si>
  <si>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</si>
  <si>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</si>
  <si>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</si>
  <si>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</si>
  <si>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</si>
  <si>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</si>
  <si>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</si>
  <si>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</si>
  <si>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</si>
  <si>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</si>
  <si>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</si>
  <si>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</si>
  <si>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</si>
  <si>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</si>
  <si>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</si>
  <si>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</si>
  <si>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</si>
  <si>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</si>
  <si>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</si>
  <si>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</si>
  <si>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</si>
  <si>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</si>
  <si>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</si>
  <si>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</si>
  <si>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</si>
  <si>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 xml:space="preserve">PASHA Bank Georgia JSC </t>
  </si>
  <si>
    <t>Rovshan Allahverdiyev</t>
  </si>
  <si>
    <t>Ramil Imamov</t>
  </si>
  <si>
    <t>www.pashabank.ge</t>
  </si>
  <si>
    <t>Shahin Mammadov</t>
  </si>
  <si>
    <t>George Glonti</t>
  </si>
  <si>
    <t>Ebru Ogan Knottnerus</t>
  </si>
  <si>
    <t>Kamala Nuriyeva</t>
  </si>
  <si>
    <t>Non-independent member</t>
  </si>
  <si>
    <t>Independent member</t>
  </si>
  <si>
    <t>Non-independent chair</t>
  </si>
  <si>
    <t>Acting Chairman of Board of Directors​, CEO</t>
  </si>
  <si>
    <t>Parvin Mammadov</t>
  </si>
  <si>
    <t>Member of the Board of Directors, CFO</t>
  </si>
  <si>
    <t>Levan Aladashvili</t>
  </si>
  <si>
    <t>Member of the Board of Directors, Chief Risk Officer</t>
  </si>
  <si>
    <t>Anzor Mantskava</t>
  </si>
  <si>
    <t>Member of the Board of Directors, Chief Operating Officer</t>
  </si>
  <si>
    <t>PASHA Bank OJSC</t>
  </si>
  <si>
    <t>Pasha Holding LLC</t>
  </si>
  <si>
    <t xml:space="preserve">Mr. Arif Pashayev </t>
  </si>
  <si>
    <t>Mrs. Arzu Aliyeva</t>
  </si>
  <si>
    <t>Mrs. Leyla Aliyeva</t>
  </si>
  <si>
    <t>Mr. Mir Jamal Pashayev</t>
  </si>
  <si>
    <t>Table 9 (Capital), N15</t>
  </si>
  <si>
    <t>Table 9 (Capital), N38</t>
  </si>
  <si>
    <t>Table 9 (Capital), N2</t>
  </si>
  <si>
    <t>Table 9 (Capital), N6</t>
  </si>
  <si>
    <t>TOTAL EQUITY*</t>
  </si>
  <si>
    <t xml:space="preserve">*Share capital as defined by the Law on Commercial 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</si>
</sst>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
      <sz val="10"/>
      <name val="Cambria"/>
      <family val="2"/>
      <scheme val="major"/>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18" fillId="0" borderId="0"/>
    <xf numFmtId="0" fontId="145"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6" fillId="0" borderId="0" applyFont="0" applyFill="0" applyBorder="0" applyAlignment="0" applyProtection="0"/>
    <xf numFmtId="8" fontId="147" fillId="0" borderId="0" applyFont="0" applyFill="0" applyBorder="0" applyAlignment="0" applyProtection="0"/>
    <xf numFmtId="8"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3" fontId="146" fillId="0" borderId="0" applyFont="0" applyFill="0" applyBorder="0" applyAlignment="0" applyProtection="0"/>
    <xf numFmtId="203" fontId="146" fillId="0" borderId="0" applyFont="0" applyFill="0" applyBorder="0" applyAlignment="0" applyProtection="0"/>
    <xf numFmtId="7" fontId="146" fillId="0" borderId="0" applyFont="0" applyFill="0" applyBorder="0" applyAlignment="0" applyProtection="0"/>
    <xf numFmtId="7" fontId="146" fillId="0" borderId="0" applyFont="0" applyFill="0" applyBorder="0" applyAlignment="0" applyProtection="0"/>
    <xf numFmtId="204" fontId="146" fillId="0" borderId="0" applyFont="0" applyFill="0" applyBorder="0" applyAlignment="0" applyProtection="0"/>
    <xf numFmtId="204"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5" fontId="102" fillId="0" borderId="0"/>
    <xf numFmtId="205" fontId="102" fillId="0" borderId="0"/>
    <xf numFmtId="205" fontId="102" fillId="0" borderId="0"/>
    <xf numFmtId="205" fontId="102" fillId="0" borderId="0"/>
    <xf numFmtId="0" fontId="102" fillId="0" borderId="0"/>
    <xf numFmtId="205" fontId="102" fillId="0" borderId="0"/>
    <xf numFmtId="5" fontId="147" fillId="0" borderId="0" applyFont="0" applyFill="0" applyBorder="0" applyAlignment="0" applyProtection="0"/>
    <xf numFmtId="5"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10" fontId="147" fillId="0" borderId="0" applyFont="0" applyFill="0" applyBorder="0" applyAlignment="0" applyProtection="0"/>
    <xf numFmtId="10" fontId="147" fillId="0" borderId="0" applyFon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2" fillId="0" borderId="0" applyNumberForma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206" fontId="151" fillId="0" borderId="0" applyFont="0" applyFill="0" applyBorder="0" applyAlignment="0" applyProtection="0"/>
    <xf numFmtId="0" fontId="19" fillId="0" borderId="0" applyFont="0" applyFill="0" applyBorder="0" applyAlignment="0" applyProtection="0"/>
    <xf numFmtId="207" fontId="152" fillId="0" borderId="0" applyFont="0" applyFill="0" applyBorder="0" applyAlignment="0" applyProtection="0"/>
    <xf numFmtId="208" fontId="152" fillId="0" borderId="0" applyFont="0" applyFill="0" applyBorder="0" applyAlignment="0" applyProtection="0"/>
    <xf numFmtId="209" fontId="152" fillId="0" borderId="0" applyFont="0" applyFill="0" applyBorder="0" applyAlignment="0" applyProtection="0"/>
    <xf numFmtId="210" fontId="152" fillId="0" borderId="0" applyFont="0" applyFill="0" applyBorder="0" applyAlignment="0" applyProtection="0"/>
    <xf numFmtId="0" fontId="152" fillId="0" borderId="0"/>
    <xf numFmtId="0" fontId="19" fillId="0" borderId="0" applyFont="0" applyFill="0" applyBorder="0" applyAlignment="0" applyProtection="0"/>
    <xf numFmtId="211" fontId="151" fillId="0" borderId="0" applyFont="0" applyFill="0" applyBorder="0" applyAlignment="0" applyProtection="0"/>
    <xf numFmtId="0" fontId="147"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3"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56" fillId="0" borderId="0"/>
    <xf numFmtId="0" fontId="156"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6" fillId="0" borderId="0"/>
    <xf numFmtId="0" fontId="2" fillId="0" borderId="0"/>
    <xf numFmtId="0" fontId="2" fillId="0" borderId="0">
      <alignment horizontal="left" wrapText="1"/>
    </xf>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7" fillId="0" borderId="0"/>
    <xf numFmtId="0" fontId="2" fillId="85" borderId="0"/>
    <xf numFmtId="0" fontId="2" fillId="0" borderId="0"/>
    <xf numFmtId="0" fontId="2" fillId="0" borderId="0"/>
    <xf numFmtId="0" fontId="2" fillId="0" borderId="0" applyFont="0" applyFill="0" applyBorder="0" applyAlignment="0" applyProtection="0"/>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60" fillId="89"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6" fillId="0" borderId="0"/>
    <xf numFmtId="0" fontId="156" fillId="0" borderId="0"/>
    <xf numFmtId="0" fontId="156" fillId="0" borderId="0"/>
    <xf numFmtId="0" fontId="156"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6"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6"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1"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6" fillId="0" borderId="0"/>
    <xf numFmtId="0" fontId="156" fillId="0" borderId="0"/>
    <xf numFmtId="0" fontId="2" fillId="0" borderId="0"/>
    <xf numFmtId="0" fontId="156" fillId="0" borderId="0"/>
    <xf numFmtId="0" fontId="156" fillId="0" borderId="0"/>
    <xf numFmtId="0" fontId="156" fillId="0" borderId="0"/>
    <xf numFmtId="0" fontId="8" fillId="0" borderId="0"/>
    <xf numFmtId="0" fontId="157" fillId="0" borderId="0"/>
    <xf numFmtId="0" fontId="2" fillId="0" borderId="0"/>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156" fillId="0" borderId="0"/>
    <xf numFmtId="0" fontId="156"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6"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2" fillId="0" borderId="0">
      <alignment horizontal="left" wrapText="1"/>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lignment horizontal="left" wrapText="1"/>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56" fillId="0" borderId="0"/>
    <xf numFmtId="0" fontId="156" fillId="0" borderId="0"/>
    <xf numFmtId="0" fontId="2" fillId="0" borderId="0"/>
    <xf numFmtId="0" fontId="2" fillId="0" borderId="0"/>
    <xf numFmtId="0" fontId="156" fillId="0" borderId="0"/>
    <xf numFmtId="0" fontId="156"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156" fillId="0"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xf numFmtId="0" fontId="2" fillId="0" borderId="0"/>
    <xf numFmtId="0" fontId="2" fillId="0" borderId="0"/>
    <xf numFmtId="0" fontId="158"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8" fillId="0" borderId="0">
      <alignment horizontal="left" vertical="center"/>
    </xf>
    <xf numFmtId="0" fontId="156" fillId="0" borderId="0"/>
    <xf numFmtId="0" fontId="168"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9" fillId="0" borderId="0"/>
    <xf numFmtId="1" fontId="170"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1" fillId="0" borderId="0" applyFill="0" applyBorder="0" applyAlignment="0" applyProtection="0"/>
    <xf numFmtId="239" fontId="171" fillId="0" borderId="0" applyFill="0" applyBorder="0" applyAlignment="0" applyProtection="0"/>
    <xf numFmtId="239"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2" fillId="0" borderId="68"/>
    <xf numFmtId="0" fontId="158"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0" fontId="147" fillId="0" borderId="0" applyFont="0" applyFill="0" applyBorder="0" applyAlignment="0" applyProtection="0"/>
    <xf numFmtId="14" fontId="173" fillId="0" borderId="0" applyFill="0" applyBorder="0" applyProtection="0">
      <alignment horizontal="right"/>
    </xf>
    <xf numFmtId="16" fontId="173" fillId="0" borderId="0" applyFill="0" applyBorder="0" applyProtection="0">
      <alignment horizontal="right"/>
    </xf>
    <xf numFmtId="18" fontId="173" fillId="0" borderId="0" applyFill="0" applyBorder="0" applyProtection="0">
      <alignment horizontal="right"/>
    </xf>
    <xf numFmtId="16" fontId="173" fillId="0" borderId="0" applyFill="0" applyBorder="0" applyProtection="0">
      <alignment horizontal="right"/>
    </xf>
    <xf numFmtId="22" fontId="173" fillId="0" borderId="0" applyFill="0" applyBorder="0" applyProtection="0">
      <alignment horizontal="right"/>
    </xf>
    <xf numFmtId="14" fontId="173" fillId="0" borderId="0" applyFill="0" applyBorder="0" applyProtection="0">
      <alignment horizontal="right"/>
    </xf>
    <xf numFmtId="20" fontId="173" fillId="0" borderId="0" applyFill="0" applyBorder="0" applyProtection="0">
      <alignment horizontal="right"/>
    </xf>
    <xf numFmtId="16" fontId="173" fillId="0" borderId="0" applyFill="0" applyBorder="0" applyProtection="0">
      <alignment horizontal="right"/>
    </xf>
    <xf numFmtId="16" fontId="173" fillId="0" borderId="0" applyFill="0" applyBorder="0" applyProtection="0">
      <alignment horizontal="right"/>
    </xf>
    <xf numFmtId="14"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4"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6"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4"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0" fontId="177" fillId="0" borderId="0" applyNumberForma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0" fontId="178"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0" fontId="15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80"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1" fillId="108" borderId="142" applyNumberFormat="0" applyAlignment="0" applyProtection="0"/>
    <xf numFmtId="0" fontId="181" fillId="108" borderId="142" applyNumberFormat="0" applyAlignment="0" applyProtection="0"/>
    <xf numFmtId="0" fontId="182" fillId="0" borderId="0" applyNumberFormat="0" applyFill="0" applyAlignment="0"/>
    <xf numFmtId="0" fontId="183" fillId="0" borderId="143" applyNumberFormat="0" applyFont="0" applyFill="0" applyAlignment="0"/>
    <xf numFmtId="248"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21" fillId="63" borderId="144" applyNumberFormat="0" applyAlignment="0" applyProtection="0"/>
    <xf numFmtId="0" fontId="185" fillId="0" borderId="0" applyNumberFormat="0" applyFill="0" applyBorder="0" applyAlignment="0">
      <alignment horizontal="right"/>
    </xf>
    <xf numFmtId="38" fontId="186"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7"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8" fillId="0" borderId="0" applyFont="0" applyFill="0" applyBorder="0" applyAlignment="0" applyProtection="0"/>
    <xf numFmtId="250" fontId="189" fillId="0" borderId="0"/>
    <xf numFmtId="0" fontId="190" fillId="0" borderId="145"/>
    <xf numFmtId="251" fontId="2" fillId="0" borderId="0"/>
    <xf numFmtId="0" fontId="190" fillId="0" borderId="146"/>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81" fillId="108" borderId="147">
      <alignment horizontal="center" vertical="center"/>
    </xf>
    <xf numFmtId="0" fontId="181" fillId="108" borderId="147">
      <alignment horizontal="center" vertical="center"/>
    </xf>
    <xf numFmtId="0" fontId="194" fillId="0" borderId="0" applyProtection="0">
      <alignment horizontal="center"/>
    </xf>
    <xf numFmtId="0" fontId="194"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58" fillId="0" borderId="0">
      <alignment vertical="top"/>
    </xf>
    <xf numFmtId="172" fontId="158" fillId="0" borderId="0">
      <alignment vertical="top"/>
    </xf>
    <xf numFmtId="172" fontId="158" fillId="0" borderId="0">
      <alignment vertical="top"/>
    </xf>
    <xf numFmtId="0" fontId="45" fillId="0" borderId="0" applyNumberFormat="0" applyFill="0" applyBorder="0" applyProtection="0">
      <alignment horizontal="right"/>
    </xf>
    <xf numFmtId="172" fontId="197" fillId="0" borderId="0">
      <alignment horizontal="right"/>
    </xf>
    <xf numFmtId="172" fontId="197" fillId="0" borderId="0">
      <alignment horizontal="right"/>
    </xf>
    <xf numFmtId="172" fontId="197" fillId="0" borderId="0">
      <alignment horizontal="right"/>
    </xf>
    <xf numFmtId="0" fontId="197" fillId="0" borderId="0">
      <alignment horizontal="left"/>
    </xf>
    <xf numFmtId="0" fontId="198" fillId="74" borderId="0" applyNumberFormat="0" applyBorder="0" applyAlignment="0" applyProtection="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2" fillId="72" borderId="0"/>
    <xf numFmtId="0" fontId="199" fillId="0" borderId="1" applyNumberFormat="0" applyFont="0" applyFill="0" applyAlignment="0" applyProtection="0"/>
    <xf numFmtId="0" fontId="199" fillId="0" borderId="148" applyNumberFormat="0" applyFont="0" applyFill="0" applyAlignment="0" applyProtection="0"/>
    <xf numFmtId="0" fontId="147" fillId="0" borderId="108" applyNumberFormat="0" applyFont="0" applyFill="0" applyAlignment="0" applyProtection="0"/>
    <xf numFmtId="0" fontId="147" fillId="0" borderId="108"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68" applyNumberFormat="0" applyFont="0" applyFill="0" applyAlignment="0" applyProtection="0"/>
    <xf numFmtId="0" fontId="147" fillId="0" borderId="68"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0" fontId="29"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0"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7" fontId="8"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8" fontId="200"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4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9" fontId="200"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1" fillId="109" borderId="144" applyNumberFormat="0" applyAlignment="0" applyProtection="0"/>
    <xf numFmtId="0" fontId="143" fillId="8" borderId="32" applyNumberFormat="0" applyAlignment="0" applyProtection="0"/>
    <xf numFmtId="3" fontId="45" fillId="41" borderId="70">
      <protection hidden="1"/>
    </xf>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40" fontId="147" fillId="0" borderId="0" applyFont="0" applyFill="0" applyBorder="0" applyAlignment="0" applyProtection="0"/>
    <xf numFmtId="40" fontId="147"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2" fillId="0" borderId="70" applyBorder="0"/>
    <xf numFmtId="260" fontId="203"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10" fontId="205" fillId="0" borderId="0">
      <alignment vertical="center"/>
    </xf>
    <xf numFmtId="3" fontId="205"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6" fillId="0" borderId="149"/>
    <xf numFmtId="201" fontId="207" fillId="0" borderId="0" applyFont="0" applyFill="0" applyBorder="0" applyAlignment="0" applyProtection="0"/>
    <xf numFmtId="0" fontId="208" fillId="0" borderId="0"/>
    <xf numFmtId="0" fontId="208" fillId="0" borderId="0"/>
    <xf numFmtId="0" fontId="208" fillId="0" borderId="0"/>
    <xf numFmtId="0" fontId="208" fillId="0" borderId="0"/>
    <xf numFmtId="261" fontId="2" fillId="0" borderId="0"/>
    <xf numFmtId="261" fontId="2" fillId="0" borderId="0"/>
    <xf numFmtId="261" fontId="2" fillId="0" borderId="0"/>
    <xf numFmtId="261" fontId="2" fillId="0" borderId="0"/>
    <xf numFmtId="217" fontId="209" fillId="0" borderId="0">
      <alignment horizontal="right" vertical="center" wrapText="1"/>
    </xf>
    <xf numFmtId="217" fontId="209" fillId="0" borderId="0">
      <alignment horizontal="right" vertical="center" wrapText="1"/>
    </xf>
    <xf numFmtId="217" fontId="209"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4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38" fontId="210"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1" fillId="0" borderId="0">
      <alignment horizontal="center"/>
      <protection locked="0"/>
    </xf>
    <xf numFmtId="0" fontId="2" fillId="0" borderId="0" applyFont="0" applyFill="0" applyBorder="0" applyAlignment="0" applyProtection="0"/>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0" fillId="0" borderId="0" applyFont="0" applyFill="0" applyBorder="0" applyAlignment="0" applyProtection="0">
      <alignment horizontal="right"/>
    </xf>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3" fontId="160"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21" fontId="146" fillId="0" borderId="0" applyFont="0" applyFill="0" applyBorder="0" applyAlignment="0" applyProtection="0"/>
    <xf numFmtId="221" fontId="146" fillId="0" borderId="0" applyFont="0" applyFill="0" applyBorder="0" applyAlignment="0" applyProtection="0"/>
    <xf numFmtId="3" fontId="207" fillId="0" borderId="133">
      <alignment vertical="center"/>
    </xf>
    <xf numFmtId="39"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3" fillId="111" borderId="0" applyBorder="0">
      <alignment horizontal="left"/>
    </xf>
    <xf numFmtId="0" fontId="214"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7"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5" fillId="0" borderId="0" applyFill="0" applyBorder="0">
      <alignment horizontal="left"/>
    </xf>
    <xf numFmtId="0" fontId="216"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7" fillId="0" borderId="0" applyNumberFormat="0" applyAlignment="0">
      <alignment horizontal="left"/>
    </xf>
    <xf numFmtId="0" fontId="218" fillId="0" borderId="128" applyNumberFormat="0" applyFill="0" applyBorder="0" applyAlignment="0" applyProtection="0">
      <alignment horizontal="center"/>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3" fontId="220" fillId="0" borderId="151" applyNumberFormat="0" applyAlignment="0">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3" fontId="207" fillId="0" borderId="133">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 fillId="0" borderId="0" applyFont="0" applyFill="0" applyBorder="0" applyAlignment="0" applyProtection="0"/>
    <xf numFmtId="265" fontId="221"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7"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21"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0" fillId="0" borderId="0" applyFont="0" applyFill="0" applyBorder="0" applyAlignment="0" applyProtection="0">
      <alignment horizontal="right"/>
    </xf>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267" fontId="160" fillId="0" borderId="0" applyFont="0" applyFill="0" applyBorder="0" applyAlignment="0" applyProtection="0">
      <alignment horizontal="right"/>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7" fillId="0" borderId="133">
      <alignment vertical="center"/>
    </xf>
    <xf numFmtId="3" fontId="207" fillId="0" borderId="133">
      <alignment vertical="center"/>
    </xf>
    <xf numFmtId="268" fontId="222" fillId="0" borderId="0"/>
    <xf numFmtId="0" fontId="2" fillId="0" borderId="0" applyNumberFormat="0" applyFont="0" applyFill="0" applyBorder="0" applyAlignment="0" applyProtection="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 fillId="0" borderId="0" applyNumberFormat="0" applyFont="0" applyFill="0" applyBorder="0" applyAlignment="0" applyProtection="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7" fillId="0" borderId="133">
      <alignment vertical="center"/>
    </xf>
    <xf numFmtId="0" fontId="185" fillId="0" borderId="0" applyNumberFormat="0" applyBorder="0" applyAlignment="0">
      <alignment horizontal="center"/>
    </xf>
    <xf numFmtId="0" fontId="185" fillId="117" borderId="0" applyNumberFormat="0" applyBorder="0" applyAlignment="0">
      <alignment horizontal="center"/>
    </xf>
    <xf numFmtId="0" fontId="181" fillId="118" borderId="0" applyNumberFormat="0" applyBorder="0" applyAlignment="0"/>
    <xf numFmtId="0" fontId="224"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14" fontId="226" fillId="0" borderId="0"/>
    <xf numFmtId="271" fontId="209" fillId="0" borderId="0">
      <alignment horizontal="left" vertical="center" wrapText="1"/>
    </xf>
    <xf numFmtId="271" fontId="209" fillId="0" borderId="0">
      <alignment horizontal="left" vertical="center" wrapText="1"/>
    </xf>
    <xf numFmtId="271" fontId="209" fillId="0" borderId="0">
      <alignment horizontal="left" vertical="center" wrapText="1"/>
    </xf>
    <xf numFmtId="17" fontId="209" fillId="0" borderId="0">
      <alignment horizontal="left" vertical="center" wrapText="1"/>
    </xf>
    <xf numFmtId="0" fontId="2" fillId="0" borderId="0" applyNumberFormat="0" applyFont="0" applyFill="0" applyBorder="0" applyAlignment="0" applyProtection="0"/>
    <xf numFmtId="21" fontId="209" fillId="0" borderId="0">
      <alignment horizontal="left" vertical="center" wrapText="1"/>
    </xf>
    <xf numFmtId="19" fontId="209" fillId="0" borderId="0">
      <alignment horizontal="left" vertical="center" wrapText="1"/>
    </xf>
    <xf numFmtId="3" fontId="207" fillId="0" borderId="133">
      <alignment vertical="center"/>
    </xf>
    <xf numFmtId="0" fontId="209" fillId="0" borderId="0">
      <alignment horizontal="left" vertical="center" wrapText="1"/>
    </xf>
    <xf numFmtId="3" fontId="207" fillId="0" borderId="133">
      <alignment vertical="center"/>
    </xf>
    <xf numFmtId="0" fontId="209" fillId="0" borderId="0">
      <alignment horizontal="left" vertical="center" wrapText="1"/>
    </xf>
    <xf numFmtId="19" fontId="209" fillId="0" borderId="0">
      <alignment horizontal="left" vertical="center" wrapText="1"/>
    </xf>
    <xf numFmtId="19" fontId="209" fillId="0" borderId="0">
      <alignment horizontal="left" vertical="center" wrapText="1"/>
    </xf>
    <xf numFmtId="17" fontId="209"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6" fillId="0" borderId="0"/>
    <xf numFmtId="273" fontId="160"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7" fillId="0" borderId="133">
      <alignment vertical="center"/>
    </xf>
    <xf numFmtId="22" fontId="29" fillId="0" borderId="0" applyFill="0" applyBorder="0" applyAlignment="0"/>
    <xf numFmtId="3" fontId="207"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7" fillId="0" borderId="133">
      <alignment vertical="center"/>
    </xf>
    <xf numFmtId="172" fontId="199" fillId="0" borderId="0" applyFont="0" applyFill="0" applyBorder="0" applyProtection="0">
      <alignment horizontal="right"/>
    </xf>
    <xf numFmtId="179" fontId="158"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7"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0" fontId="229"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31"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9"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0"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3" fillId="1" borderId="0" applyNumberFormat="0" applyBorder="0" applyAlignment="0" applyProtection="0"/>
    <xf numFmtId="0" fontId="10" fillId="0" borderId="0"/>
    <xf numFmtId="0" fontId="10" fillId="0" borderId="0"/>
    <xf numFmtId="0" fontId="10" fillId="0" borderId="0"/>
    <xf numFmtId="0" fontId="10" fillId="0" borderId="0"/>
    <xf numFmtId="0"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7" fontId="235"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36"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16"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3"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85" fontId="237" fillId="0" borderId="0">
      <alignment horizontal="right" vertical="top"/>
    </xf>
    <xf numFmtId="286" fontId="238" fillId="0" borderId="0" applyBorder="0">
      <alignment horizontal="right" vertical="top"/>
    </xf>
    <xf numFmtId="286" fontId="238" fillId="0" borderId="0" applyBorder="0">
      <alignment horizontal="right" vertical="top"/>
    </xf>
    <xf numFmtId="3" fontId="207" fillId="0" borderId="133">
      <alignment vertical="center"/>
    </xf>
    <xf numFmtId="287" fontId="20" fillId="0" borderId="0">
      <alignment horizontal="right" vertical="top"/>
    </xf>
    <xf numFmtId="288" fontId="153" fillId="0" borderId="0" applyBorder="0">
      <alignment horizontal="right" vertical="top"/>
    </xf>
    <xf numFmtId="288" fontId="153" fillId="0" borderId="0" applyBorder="0">
      <alignment horizontal="right" vertical="top"/>
    </xf>
    <xf numFmtId="3" fontId="207" fillId="0" borderId="133">
      <alignment vertical="center"/>
    </xf>
    <xf numFmtId="287" fontId="237" fillId="0" borderId="0">
      <alignment horizontal="right" vertical="top"/>
    </xf>
    <xf numFmtId="288" fontId="238" fillId="0" borderId="0" applyBorder="0">
      <alignment horizontal="right" vertical="top"/>
    </xf>
    <xf numFmtId="288" fontId="238" fillId="0" borderId="0" applyBorder="0">
      <alignment horizontal="right" vertical="top"/>
    </xf>
    <xf numFmtId="3" fontId="207"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3" fillId="0" borderId="0" applyFill="0" applyBorder="0">
      <alignment horizontal="right" vertical="top"/>
    </xf>
    <xf numFmtId="212" fontId="153" fillId="0" borderId="0" applyFill="0" applyBorder="0">
      <alignment horizontal="right" vertical="top"/>
    </xf>
    <xf numFmtId="3" fontId="207" fillId="0" borderId="133">
      <alignment vertical="center"/>
    </xf>
    <xf numFmtId="291" fontId="20" fillId="0" borderId="0" applyFill="0" applyBorder="0">
      <alignment horizontal="right" vertical="top"/>
    </xf>
    <xf numFmtId="292" fontId="153" fillId="0" borderId="0" applyFill="0" applyBorder="0">
      <alignment horizontal="right" vertical="top"/>
    </xf>
    <xf numFmtId="292" fontId="153" fillId="0" borderId="0" applyFill="0" applyBorder="0">
      <alignment horizontal="right" vertical="top"/>
    </xf>
    <xf numFmtId="3" fontId="207" fillId="0" borderId="133">
      <alignment vertical="center"/>
    </xf>
    <xf numFmtId="293" fontId="20" fillId="0" borderId="0" applyFill="0" applyBorder="0">
      <alignment horizontal="right" vertical="top"/>
    </xf>
    <xf numFmtId="294" fontId="153" fillId="0" borderId="0" applyFill="0" applyBorder="0">
      <alignment horizontal="right" vertical="top"/>
    </xf>
    <xf numFmtId="294" fontId="153" fillId="0" borderId="0" applyFill="0" applyBorder="0">
      <alignment horizontal="right" vertical="top"/>
    </xf>
    <xf numFmtId="3" fontId="207" fillId="0" borderId="133">
      <alignment vertical="center"/>
    </xf>
    <xf numFmtId="295" fontId="20" fillId="0" borderId="0" applyFill="0" applyBorder="0">
      <alignment horizontal="right" vertical="top"/>
    </xf>
    <xf numFmtId="296" fontId="153" fillId="0" borderId="0" applyFill="0" applyBorder="0">
      <alignment horizontal="right" vertical="top"/>
    </xf>
    <xf numFmtId="296" fontId="153" fillId="0" borderId="0" applyFill="0" applyBorder="0">
      <alignment horizontal="right" vertical="top"/>
    </xf>
    <xf numFmtId="3" fontId="207" fillId="0" borderId="133">
      <alignment vertical="center"/>
    </xf>
    <xf numFmtId="0" fontId="239" fillId="0" borderId="0">
      <alignment horizontal="left"/>
    </xf>
    <xf numFmtId="0" fontId="240" fillId="0" borderId="0">
      <alignment horizontal="center"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97" fontId="241"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right"/>
    </xf>
    <xf numFmtId="297" fontId="241" fillId="0" borderId="154">
      <alignment horizontal="right"/>
    </xf>
    <xf numFmtId="297" fontId="241" fillId="0" borderId="154">
      <alignment horizontal="right"/>
    </xf>
    <xf numFmtId="0" fontId="2" fillId="0" borderId="0" applyNumberFormat="0" applyFont="0" applyFill="0" applyBorder="0" applyAlignment="0" applyProtection="0"/>
    <xf numFmtId="0" fontId="242" fillId="0" borderId="0">
      <alignment vertical="center"/>
    </xf>
    <xf numFmtId="298" fontId="242" fillId="0" borderId="0">
      <alignment horizontal="left" vertical="center"/>
    </xf>
    <xf numFmtId="299" fontId="243" fillId="0" borderId="0">
      <alignment vertical="center"/>
    </xf>
    <xf numFmtId="0" fontId="42" fillId="0" borderId="0">
      <alignment vertical="center"/>
    </xf>
    <xf numFmtId="297" fontId="241"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left"/>
    </xf>
    <xf numFmtId="297" fontId="241" fillId="0" borderId="154">
      <alignment horizontal="left"/>
    </xf>
    <xf numFmtId="0" fontId="2" fillId="0" borderId="0" applyNumberFormat="0" applyFont="0" applyFill="0" applyBorder="0" applyAlignment="0" applyProtection="0"/>
    <xf numFmtId="297" fontId="215" fillId="0" borderId="0" applyFill="0" applyBorder="0">
      <alignment vertical="top"/>
    </xf>
    <xf numFmtId="297" fontId="226" fillId="0" borderId="0" applyFill="0" applyBorder="0" applyProtection="0">
      <alignment vertical="top"/>
    </xf>
    <xf numFmtId="297" fontId="244" fillId="0" borderId="0">
      <alignment vertical="top"/>
    </xf>
    <xf numFmtId="297" fontId="153" fillId="0" borderId="0">
      <alignment horizontal="center"/>
    </xf>
    <xf numFmtId="297" fontId="245"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5" fillId="0" borderId="154">
      <alignment horizontal="center"/>
    </xf>
    <xf numFmtId="297" fontId="245"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8" fillId="0" borderId="0"/>
    <xf numFmtId="297"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7" fillId="0" borderId="133">
      <alignment vertical="center"/>
    </xf>
    <xf numFmtId="297" fontId="247"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3" fillId="0" borderId="0" applyFill="0" applyBorder="0">
      <alignment horizontal="left" vertical="top" wrapText="1"/>
    </xf>
    <xf numFmtId="0" fontId="153" fillId="0" borderId="0" applyFill="0" applyBorder="0">
      <alignment horizontal="left" vertical="top" wrapText="1"/>
    </xf>
    <xf numFmtId="3" fontId="207" fillId="0" borderId="133">
      <alignment vertical="center"/>
    </xf>
    <xf numFmtId="0" fontId="248" fillId="0" borderId="0">
      <alignment horizontal="left" vertical="top" wrapText="1"/>
    </xf>
    <xf numFmtId="0" fontId="249" fillId="0" borderId="0">
      <alignment horizontal="left" vertical="top" wrapText="1"/>
    </xf>
    <xf numFmtId="0" fontId="238" fillId="0" borderId="0">
      <alignment horizontal="left" vertical="top" wrapText="1"/>
    </xf>
    <xf numFmtId="3" fontId="250" fillId="85" borderId="70">
      <alignment horizontal="centerContinuous"/>
    </xf>
    <xf numFmtId="0" fontId="163" fillId="0" borderId="63" applyNumberFormat="0" applyFill="0" applyBorder="0" applyAlignment="0"/>
    <xf numFmtId="300" fontId="251" fillId="0" borderId="0"/>
    <xf numFmtId="0" fontId="2" fillId="0" borderId="0" applyNumberFormat="0" applyFont="0" applyFill="0" applyBorder="0" applyAlignment="0" applyProtection="0"/>
    <xf numFmtId="0" fontId="10" fillId="0" borderId="0"/>
    <xf numFmtId="38" fontId="199" fillId="0" borderId="0"/>
    <xf numFmtId="301" fontId="252"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7" fillId="0" borderId="133">
      <alignment vertical="center"/>
    </xf>
    <xf numFmtId="0" fontId="10" fillId="0" borderId="0"/>
    <xf numFmtId="0" fontId="253" fillId="0" borderId="0" applyFill="0" applyBorder="0" applyProtection="0">
      <alignment horizontal="left"/>
    </xf>
    <xf numFmtId="0" fontId="254" fillId="68" borderId="0"/>
    <xf numFmtId="37" fontId="255" fillId="68" borderId="0" applyNumberFormat="0" applyBorder="0" applyAlignment="0" applyProtection="0"/>
    <xf numFmtId="295" fontId="255" fillId="68" borderId="0" applyNumberFormat="0" applyBorder="0" applyAlignment="0" applyProtection="0"/>
    <xf numFmtId="3" fontId="207" fillId="0" borderId="133">
      <alignment vertical="center"/>
    </xf>
    <xf numFmtId="0" fontId="256"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7" fillId="0" borderId="0">
      <alignment horizontal="centerContinuous" vertical="center"/>
    </xf>
    <xf numFmtId="304" fontId="2" fillId="0" borderId="0" applyFont="0" applyFill="0" applyBorder="0" applyAlignment="0" applyProtection="0"/>
    <xf numFmtId="0" fontId="216" fillId="115" borderId="0">
      <alignment horizontal="left"/>
    </xf>
    <xf numFmtId="1" fontId="258" fillId="0" borderId="156">
      <alignment horizontal="left"/>
    </xf>
    <xf numFmtId="248" fontId="259"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1" fillId="123" borderId="0" applyNumberFormat="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9" fontId="171" fillId="123" borderId="0" applyNumberFormat="0" applyBorder="0" applyAlignment="0" applyProtection="0"/>
    <xf numFmtId="0" fontId="2" fillId="0" borderId="0" applyNumberFormat="0" applyFont="0" applyFill="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71"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45" fillId="68" borderId="136"/>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5" fillId="111" borderId="0" applyBorder="0" applyAlignment="0"/>
    <xf numFmtId="306" fontId="160"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1" fillId="126" borderId="125" applyNumberFormat="0" applyFont="0" applyBorder="0" applyAlignment="0">
      <alignment horizontal="centerContinuous"/>
    </xf>
    <xf numFmtId="0" fontId="260" fillId="0" borderId="0" applyProtection="0">
      <alignment horizontal="right"/>
    </xf>
    <xf numFmtId="0" fontId="260"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0"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61"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10" fillId="0" borderId="0"/>
    <xf numFmtId="0" fontId="10" fillId="0" borderId="0"/>
    <xf numFmtId="0" fontId="10" fillId="0" borderId="0"/>
    <xf numFmtId="0" fontId="10" fillId="0" borderId="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3"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33"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1"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55" fillId="0" borderId="0" applyNumberFormat="0" applyBorder="0" applyAlignment="0" applyProtection="0"/>
    <xf numFmtId="295" fontId="255" fillId="0" borderId="0" applyNumberFormat="0" applyBorder="0" applyAlignment="0" applyProtection="0"/>
    <xf numFmtId="3" fontId="207" fillId="0" borderId="133">
      <alignment vertical="center"/>
    </xf>
    <xf numFmtId="37" fontId="45" fillId="0" borderId="0"/>
    <xf numFmtId="295" fontId="45" fillId="0" borderId="0"/>
    <xf numFmtId="3" fontId="207" fillId="0" borderId="133">
      <alignment vertical="center"/>
    </xf>
    <xf numFmtId="0" fontId="267"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8" fontId="268"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69" fillId="0" borderId="76">
      <protection locked="0"/>
    </xf>
    <xf numFmtId="0" fontId="269" fillId="0" borderId="76">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9" fillId="88" borderId="160">
      <alignment horizontal="right" vertical="center"/>
      <protection locked="0"/>
    </xf>
    <xf numFmtId="310" fontId="269" fillId="88" borderId="160">
      <alignment horizontal="right" vertical="center"/>
      <protection locked="0"/>
    </xf>
    <xf numFmtId="310" fontId="269" fillId="88" borderId="160">
      <alignment horizontal="right" vertical="center"/>
      <protection locked="0"/>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 fontId="231"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7" fillId="0" borderId="133">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71" borderId="124" applyFont="0" applyAlignment="0">
      <protection locked="0"/>
    </xf>
    <xf numFmtId="0" fontId="10" fillId="0" borderId="0"/>
    <xf numFmtId="0" fontId="10" fillId="0" borderId="0"/>
    <xf numFmtId="3" fontId="207" fillId="0" borderId="133">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8" fontId="258" fillId="0" borderId="0" applyNumberFormat="0" applyFill="0" applyBorder="0" applyAlignment="0" applyProtection="0"/>
    <xf numFmtId="0" fontId="2" fillId="0" borderId="0" applyNumberFormat="0" applyFont="0" applyFill="0" applyBorder="0" applyAlignment="0" applyProtection="0"/>
    <xf numFmtId="0" fontId="182"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81" fillId="53" borderId="0" applyNumberFormat="0" applyBorder="0" applyProtection="0">
      <alignment horizontal="center"/>
    </xf>
    <xf numFmtId="314" fontId="271"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5" fontId="2" fillId="0" borderId="0" applyFont="0" applyFill="0" applyBorder="0" applyAlignment="0" applyProtection="0"/>
    <xf numFmtId="316" fontId="27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7" fontId="158"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17" fontId="226"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6"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2" fillId="0" borderId="0" applyNumberFormat="0" applyFill="0" applyBorder="0">
      <alignment horizontal="right"/>
    </xf>
    <xf numFmtId="0" fontId="273" fillId="0" borderId="0">
      <protection locked="0"/>
    </xf>
    <xf numFmtId="0" fontId="10" fillId="0" borderId="0"/>
    <xf numFmtId="38" fontId="199"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7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5"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43" fontId="37" fillId="68" borderId="0" applyNumberFormat="0" applyFont="0" applyBorder="0" applyAlignment="0"/>
    <xf numFmtId="0" fontId="2" fillId="68" borderId="0"/>
    <xf numFmtId="319"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58"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17" fontId="278" fillId="0" borderId="134" applyAlignment="0" applyProtection="0">
      <alignment horizontal="centerContinuous"/>
    </xf>
    <xf numFmtId="19" fontId="278" fillId="0" borderId="134" applyAlignment="0" applyProtection="0">
      <alignment horizontal="centerContinuous"/>
    </xf>
    <xf numFmtId="3" fontId="207"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7"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6"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1"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8"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7" fillId="0" borderId="133">
      <alignment vertical="center"/>
    </xf>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24" fontId="209" fillId="0" borderId="0">
      <alignment horizontal="right" vertical="center" wrapText="1"/>
    </xf>
    <xf numFmtId="325" fontId="209"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9"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9" fillId="72" borderId="0" applyNumberFormat="0" applyBorder="0" applyAlignment="0" applyProtection="0"/>
    <xf numFmtId="0" fontId="279" fillId="72" borderId="0" applyNumberFormat="0" applyBorder="0" applyAlignment="0" applyProtection="0"/>
    <xf numFmtId="0" fontId="279"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7" fontId="280" fillId="0" borderId="0"/>
    <xf numFmtId="295" fontId="28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35"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0"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8"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7"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7" fontId="199"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xf>
    <xf numFmtId="0" fontId="281"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70" borderId="128"/>
    <xf numFmtId="0" fontId="282"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6">
      <alignment horizontal="center" vertical="center"/>
    </xf>
    <xf numFmtId="0" fontId="281" fillId="132" borderId="126">
      <alignment horizontal="center" vertical="center"/>
    </xf>
    <xf numFmtId="0" fontId="2" fillId="0" borderId="0" applyNumberFormat="0" applyFont="0" applyFill="0" applyBorder="0" applyAlignment="0" applyProtection="0"/>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 fillId="0" borderId="0" applyNumberFormat="0" applyFont="0" applyFill="0" applyBorder="0" applyAlignment="0" applyProtection="0"/>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04" borderId="126">
      <alignment horizontal="center" vertical="center"/>
    </xf>
    <xf numFmtId="0" fontId="281" fillId="104" borderId="126">
      <alignment horizontal="center" vertical="center"/>
    </xf>
    <xf numFmtId="0" fontId="2" fillId="0" borderId="0" applyNumberFormat="0" applyFont="0" applyFill="0" applyBorder="0" applyAlignment="0" applyProtection="0"/>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84"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235" fillId="0" borderId="76" applyNumberFormat="0" applyBorder="0" applyAlignment="0" applyProtection="0">
      <alignment horizontal="right"/>
      <protection locked="0"/>
    </xf>
    <xf numFmtId="0" fontId="183"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1"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2"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5"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86"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87" fillId="0" borderId="0" applyFill="0" applyBorder="0" applyProtection="0">
      <alignment horizontal="left"/>
    </xf>
    <xf numFmtId="0" fontId="288" fillId="0" borderId="0" applyFill="0" applyBorder="0" applyProtection="0">
      <alignment horizontal="left"/>
    </xf>
    <xf numFmtId="1" fontId="289"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58"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9"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51"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91"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7"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2" fillId="0" borderId="0">
      <protection locked="0"/>
    </xf>
    <xf numFmtId="0" fontId="292"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93" fillId="0" borderId="0" applyNumberFormat="0" applyFill="0" applyBorder="0" applyAlignment="0" applyProtection="0"/>
    <xf numFmtId="295" fontId="293" fillId="0" borderId="0" applyNumberFormat="0" applyFill="0" applyBorder="0" applyAlignment="0" applyProtection="0"/>
    <xf numFmtId="3" fontId="207" fillId="0" borderId="133">
      <alignment vertical="center"/>
    </xf>
    <xf numFmtId="0" fontId="10" fillId="0" borderId="0"/>
    <xf numFmtId="0" fontId="175" fillId="111"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7" fillId="0" borderId="0"/>
    <xf numFmtId="0" fontId="10" fillId="0" borderId="0"/>
    <xf numFmtId="38" fontId="294" fillId="0" borderId="0">
      <alignment horizontal="center"/>
    </xf>
    <xf numFmtId="0" fontId="10" fillId="0" borderId="0"/>
    <xf numFmtId="0" fontId="295"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65" fontId="296"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8"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99" fillId="0" borderId="0"/>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300" fillId="0" borderId="0"/>
    <xf numFmtId="341" fontId="158" fillId="0" borderId="0"/>
    <xf numFmtId="342" fontId="158" fillId="0" borderId="0"/>
    <xf numFmtId="0" fontId="208" fillId="0" borderId="27"/>
    <xf numFmtId="0" fontId="301"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2" fillId="141" borderId="0"/>
    <xf numFmtId="0" fontId="303" fillId="141" borderId="0"/>
    <xf numFmtId="0" fontId="304" fillId="141" borderId="172">
      <alignment horizontal="right"/>
    </xf>
    <xf numFmtId="0" fontId="304" fillId="141" borderId="0"/>
    <xf numFmtId="0" fontId="302" fillId="69" borderId="172">
      <protection locked="0"/>
    </xf>
    <xf numFmtId="0" fontId="302" fillId="141" borderId="0"/>
    <xf numFmtId="0" fontId="305" fillId="71" borderId="0"/>
    <xf numFmtId="0" fontId="305" fillId="98" borderId="0"/>
    <xf numFmtId="0" fontId="305"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6" fillId="0" borderId="0">
      <alignment horizontal="right"/>
    </xf>
    <xf numFmtId="0" fontId="229" fillId="0" borderId="0"/>
    <xf numFmtId="164" fontId="199" fillId="142" borderId="0" applyNumberFormat="0" applyFont="0"/>
    <xf numFmtId="0" fontId="158" fillId="143" borderId="0" applyNumberFormat="0" applyFont="0" applyBorder="0" applyAlignment="0" applyProtection="0"/>
    <xf numFmtId="346" fontId="306"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65" fontId="307"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38" fontId="171" fillId="0" borderId="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7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45" fillId="0" borderId="0" applyNumberFormat="0"/>
    <xf numFmtId="0" fontId="10" fillId="0" borderId="0"/>
    <xf numFmtId="165" fontId="309"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58"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0" fillId="0" borderId="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1"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9" fillId="68" borderId="0">
      <alignment horizontal="center"/>
    </xf>
    <xf numFmtId="0" fontId="2" fillId="0" borderId="0" applyNumberFormat="0" applyFont="0" applyFill="0" applyBorder="0" applyAlignment="0" applyProtection="0"/>
    <xf numFmtId="0" fontId="10" fillId="0" borderId="0"/>
    <xf numFmtId="236" fontId="309"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8" fillId="0" borderId="0"/>
    <xf numFmtId="40" fontId="312" fillId="0" borderId="0" applyBorder="0">
      <alignment horizontal="right"/>
    </xf>
    <xf numFmtId="0" fontId="313" fillId="0" borderId="0" applyNumberFormat="0" applyFont="0" applyBorder="0" applyAlignment="0">
      <alignment horizontal="left"/>
    </xf>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2" fillId="0" borderId="0" applyNumberFormat="0" applyFont="0" applyFill="0" applyBorder="0" applyAlignment="0" applyProtection="0"/>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144"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93"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314" fillId="0" borderId="174" applyNumberFormat="0" applyAlignment="0" applyProtection="0"/>
    <xf numFmtId="0" fontId="315"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Alignment="0" applyProtection="0"/>
    <xf numFmtId="0" fontId="316" fillId="0" borderId="0" applyNumberFormat="0" applyFill="0" applyBorder="0" applyProtection="0"/>
    <xf numFmtId="0" fontId="317" fillId="0" borderId="0" applyNumberFormat="0" applyFill="0" applyBorder="0" applyProtection="0">
      <alignmen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126" applyNumberFormat="0" applyProtection="0">
      <alignment horizontal="lef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19" fillId="0" borderId="0" applyNumberFormat="0" applyFill="0" applyBorder="0" applyProtection="0">
      <alignment horizontal="right" vertical="top"/>
    </xf>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5" fillId="0" borderId="108" applyNumberFormat="0" applyFill="0" applyAlignment="0" applyProtection="0">
      <alignment vertical="top"/>
    </xf>
    <xf numFmtId="0" fontId="315" fillId="0" borderId="108" applyNumberFormat="0" applyFill="0" applyAlignment="0" applyProtection="0">
      <alignment vertical="top"/>
    </xf>
    <xf numFmtId="349"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1" fillId="0" borderId="0" applyFill="0" applyBorder="0" applyProtection="0">
      <alignment horizontal="center" vertical="center"/>
    </xf>
    <xf numFmtId="0" fontId="320" fillId="0" borderId="0" applyBorder="0" applyProtection="0">
      <alignment vertical="center"/>
    </xf>
    <xf numFmtId="277" fontId="320"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1"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1"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59" fillId="0" borderId="0" applyBorder="0" applyProtection="0">
      <alignment horizontal="left"/>
    </xf>
    <xf numFmtId="0" fontId="101"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2"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lignment horizontal="centerContinuous"/>
    </xf>
    <xf numFmtId="0" fontId="10" fillId="0" borderId="0"/>
    <xf numFmtId="0" fontId="10" fillId="0" borderId="0"/>
    <xf numFmtId="3" fontId="207" fillId="0" borderId="133">
      <alignment vertical="center"/>
    </xf>
    <xf numFmtId="0" fontId="323"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3"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4"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5" fillId="148" borderId="0" applyNumberFormat="0">
      <alignment horizontal="left"/>
    </xf>
    <xf numFmtId="0" fontId="325" fillId="148" borderId="0" applyNumberFormat="0">
      <alignment horizontal="left"/>
    </xf>
    <xf numFmtId="0" fontId="325"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6"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1" fontId="326" fillId="0" borderId="0">
      <protection locked="0"/>
    </xf>
    <xf numFmtId="351" fontId="326" fillId="0" borderId="0">
      <protection locked="0"/>
    </xf>
    <xf numFmtId="0" fontId="10" fillId="0" borderId="0"/>
    <xf numFmtId="0" fontId="76" fillId="0" borderId="0" applyNumberForma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7" fillId="149" borderId="0">
      <alignment horizontal="centerContinuous"/>
    </xf>
    <xf numFmtId="0" fontId="328" fillId="63" borderId="0" applyNumberFormat="0" applyBorder="0" applyAlignment="0">
      <alignment horizontal="center"/>
    </xf>
    <xf numFmtId="0" fontId="329" fillId="0" borderId="103"/>
    <xf numFmtId="0" fontId="10" fillId="0" borderId="0"/>
    <xf numFmtId="0" fontId="329" fillId="0" borderId="103"/>
    <xf numFmtId="0" fontId="10" fillId="0" borderId="0"/>
    <xf numFmtId="0" fontId="329" fillId="0" borderId="103"/>
    <xf numFmtId="0" fontId="10" fillId="0" borderId="0"/>
    <xf numFmtId="0" fontId="329" fillId="0" borderId="103"/>
    <xf numFmtId="0" fontId="329" fillId="0" borderId="103"/>
    <xf numFmtId="246" fontId="251"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7"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199" fillId="0" borderId="180">
      <alignment horizontal="right"/>
    </xf>
    <xf numFmtId="0" fontId="270"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2" fillId="69" borderId="0">
      <alignment horizontal="center"/>
    </xf>
    <xf numFmtId="0" fontId="102" fillId="69" borderId="0">
      <alignment horizontal="center"/>
    </xf>
    <xf numFmtId="3" fontId="207" fillId="0" borderId="133">
      <alignment vertical="center"/>
    </xf>
    <xf numFmtId="0" fontId="330" fillId="104" borderId="0" applyNumberFormat="0" applyBorder="0"/>
    <xf numFmtId="0" fontId="183" fillId="0" borderId="182" applyNumberFormat="0" applyFont="0" applyFill="0" applyAlignment="0"/>
    <xf numFmtId="0" fontId="331"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77" fillId="0" borderId="63" applyNumberFormat="0" applyBorder="0">
      <protection locked="0"/>
    </xf>
    <xf numFmtId="37" fontId="332" fillId="111" borderId="0"/>
    <xf numFmtId="37" fontId="158" fillId="150" borderId="124" applyNumberFormat="0" applyAlignment="0" applyProtection="0"/>
    <xf numFmtId="0" fontId="2" fillId="0" borderId="0" applyNumberFormat="0" applyFont="0" applyFill="0" applyBorder="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 fontId="207" fillId="0" borderId="133">
      <alignment vertical="center"/>
    </xf>
    <xf numFmtId="0" fontId="2" fillId="0" borderId="0" applyNumberFormat="0" applyFont="0" applyFill="0" applyBorder="0" applyAlignment="0" applyProtection="0"/>
    <xf numFmtId="0" fontId="146" fillId="0" borderId="0" applyNumberFormat="0" applyFill="0" applyBorder="0" applyAlignment="0" applyProtection="0"/>
    <xf numFmtId="0" fontId="10" fillId="0" borderId="0"/>
    <xf numFmtId="0" fontId="10" fillId="0" borderId="0"/>
    <xf numFmtId="221" fontId="3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4" fillId="0" borderId="108">
      <alignment horizontal="center"/>
    </xf>
    <xf numFmtId="43" fontId="2" fillId="0" borderId="0" applyNumberFormat="0" applyFont="0" applyBorder="0" applyAlignment="0">
      <protection locked="0"/>
    </xf>
    <xf numFmtId="2" fontId="332" fillId="111" borderId="0" applyNumberFormat="0" applyFill="0" applyBorder="0" applyAlignment="0" applyProtection="0"/>
    <xf numFmtId="352" fontId="335" fillId="111" borderId="0" applyNumberFormat="0" applyFill="0" applyBorder="0" applyAlignment="0" applyProtection="0"/>
    <xf numFmtId="37" fontId="336" fillId="110" borderId="0" applyNumberFormat="0" applyFill="0" applyBorder="0" applyAlignment="0"/>
    <xf numFmtId="0" fontId="148"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8" fontId="2" fillId="0" borderId="0"/>
    <xf numFmtId="2" fontId="231"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65" fontId="337"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4" fontId="2" fillId="0" borderId="0" applyFont="0" applyFill="0" applyBorder="0" applyAlignment="0" applyProtection="0"/>
    <xf numFmtId="355" fontId="252"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8"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39"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0">
      <alignment horizontal="center"/>
    </xf>
    <xf numFmtId="0" fontId="10" fillId="0" borderId="0"/>
    <xf numFmtId="3" fontId="207" fillId="0" borderId="133">
      <alignment vertical="center"/>
    </xf>
    <xf numFmtId="0" fontId="307" fillId="0" borderId="0" applyProtection="0">
      <alignment horizontal="center"/>
    </xf>
    <xf numFmtId="0" fontId="10" fillId="0" borderId="0"/>
    <xf numFmtId="3" fontId="207" fillId="0" borderId="133">
      <alignment vertical="center"/>
    </xf>
    <xf numFmtId="0" fontId="2" fillId="0" borderId="0" applyNumberFormat="0" applyFont="0" applyFill="0" applyBorder="0" applyAlignment="0" applyProtection="0"/>
    <xf numFmtId="0" fontId="340" fillId="0" borderId="0" applyProtection="0">
      <alignment horizontal="center"/>
    </xf>
    <xf numFmtId="0" fontId="10" fillId="0" borderId="0"/>
    <xf numFmtId="3" fontId="207" fillId="0" borderId="133">
      <alignment vertical="center"/>
    </xf>
    <xf numFmtId="0" fontId="45" fillId="0" borderId="0" applyNumberFormat="0" applyFill="0" applyBorder="0" applyProtection="0">
      <alignment horizontal="left"/>
    </xf>
    <xf numFmtId="331" fontId="158" fillId="0" borderId="0" applyNumberFormat="0" applyFont="0" applyFill="0" applyBorder="0" applyProtection="0">
      <alignment vertical="top" wrapText="1"/>
    </xf>
    <xf numFmtId="0" fontId="204" fillId="0" borderId="0" applyNumberFormat="0" applyFill="0" applyBorder="0" applyProtection="0">
      <alignment horizontal="right"/>
    </xf>
    <xf numFmtId="0" fontId="177" fillId="0" borderId="0" applyNumberFormat="0" applyFill="0" applyBorder="0" applyProtection="0">
      <alignment horizontal="center"/>
    </xf>
    <xf numFmtId="15" fontId="177" fillId="0" borderId="0" applyFill="0" applyBorder="0" applyProtection="0">
      <alignment horizontal="center"/>
    </xf>
    <xf numFmtId="357" fontId="102" fillId="0" borderId="0"/>
    <xf numFmtId="357" fontId="10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45" fillId="0" borderId="183" applyNumberFormat="0"/>
    <xf numFmtId="14" fontId="158" fillId="0" borderId="0" applyFont="0" applyFill="0" applyBorder="0" applyProtection="0"/>
    <xf numFmtId="16" fontId="158" fillId="0" borderId="0" applyFont="0" applyFill="0" applyBorder="0" applyProtection="0"/>
    <xf numFmtId="3" fontId="207" fillId="0" borderId="133">
      <alignment vertical="center"/>
    </xf>
    <xf numFmtId="358" fontId="341"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16"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2" fillId="0" borderId="0" applyNumberFormat="0" applyFont="0" applyBorder="0" applyAlignment="0"/>
    <xf numFmtId="0" fontId="343" fillId="0" borderId="0"/>
    <xf numFmtId="0" fontId="6" fillId="0" borderId="0" applyNumberFormat="0" applyFill="0" applyBorder="0" applyAlignment="0" applyProtection="0">
      <alignment vertical="top"/>
      <protection locked="0"/>
    </xf>
    <xf numFmtId="208" fontId="343" fillId="0" borderId="0" applyFont="0" applyFill="0" applyBorder="0" applyAlignment="0" applyProtection="0"/>
    <xf numFmtId="209" fontId="343" fillId="0" borderId="0" applyFont="0" applyFill="0" applyBorder="0" applyAlignment="0" applyProtection="0"/>
    <xf numFmtId="207" fontId="343" fillId="0" borderId="0" applyFont="0" applyFill="0" applyBorder="0" applyAlignment="0" applyProtection="0"/>
    <xf numFmtId="210" fontId="3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4"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5" fillId="69" borderId="189" applyNumberFormat="0" applyFill="0" applyBorder="0" applyAlignment="0" applyProtection="0">
      <alignment horizontal="left"/>
    </xf>
    <xf numFmtId="0" fontId="1" fillId="0" borderId="0"/>
    <xf numFmtId="0" fontId="172" fillId="0" borderId="194"/>
    <xf numFmtId="244" fontId="174"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81" fillId="108" borderId="196" applyNumberFormat="0" applyAlignment="0" applyProtection="0"/>
    <xf numFmtId="0" fontId="181" fillId="108" borderId="196" applyNumberFormat="0" applyAlignment="0" applyProtection="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99" fillId="0" borderId="185"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94" applyNumberFormat="0" applyFont="0" applyFill="0" applyAlignment="0" applyProtection="0"/>
    <xf numFmtId="0" fontId="147" fillId="0" borderId="194"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2" fillId="0" borderId="189" applyBorder="0"/>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vertical="center"/>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201" fontId="20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0" fillId="0" borderId="0" applyFont="0" applyFill="0" applyBorder="0" applyAlignment="0" applyProtection="0">
      <alignment horizontal="righ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0" fillId="120" borderId="190" applyNumberFormat="0" applyBorder="0" applyAlignment="0">
      <alignment horizontal="center"/>
      <protection locked="0"/>
    </xf>
    <xf numFmtId="0" fontId="230" fillId="120" borderId="190" applyNumberFormat="0" applyBorder="0" applyAlignment="0">
      <alignment horizontal="center"/>
      <protection locked="0"/>
    </xf>
    <xf numFmtId="3" fontId="231"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2" fontId="231"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8" fillId="0" borderId="195" applyBorder="0"/>
    <xf numFmtId="253" fontId="226"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1" fillId="107" borderId="190" applyNumberFormat="0" applyBorder="0" applyAlignment="0">
      <protection locked="0"/>
    </xf>
    <xf numFmtId="3" fontId="207" fillId="0" borderId="133">
      <alignment vertical="center"/>
    </xf>
    <xf numFmtId="37" fontId="199" fillId="0" borderId="0" applyNumberFormat="0" applyFill="0" applyAlignment="0"/>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1" fillId="132" borderId="191">
      <alignment horizontal="center" vertical="top"/>
    </xf>
    <xf numFmtId="0" fontId="281"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2" fillId="70" borderId="197"/>
    <xf numFmtId="0" fontId="282"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1" fillId="132" borderId="192">
      <alignment horizontal="center" vertical="center"/>
    </xf>
    <xf numFmtId="0" fontId="281" fillId="132" borderId="192">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92">
      <alignment horizontal="center" vertical="center"/>
    </xf>
    <xf numFmtId="0" fontId="281" fillId="104" borderId="192">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4"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1" fillId="134" borderId="195" applyNumberFormat="0" applyBorder="0" applyAlignment="0" applyProtection="0">
      <alignment horizontal="center"/>
      <protection hidden="1"/>
    </xf>
    <xf numFmtId="3" fontId="285" fillId="57" borderId="190" applyNumberFormat="0" applyBorder="0" applyAlignment="0" applyProtection="0">
      <protection hidden="1"/>
    </xf>
    <xf numFmtId="3" fontId="286"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8"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5"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1" fillId="0" borderId="195" applyNumberFormat="0" applyFill="0" applyBorder="0" applyAlignment="0" applyProtection="0">
      <alignment horizontal="center"/>
      <protection locked="0"/>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3" fillId="0" borderId="189" applyFill="0" applyBorder="0" applyProtection="0">
      <alignment horizontal="left" vertical="top"/>
    </xf>
    <xf numFmtId="0" fontId="183" fillId="131" borderId="201" applyNumberFormat="0" applyFont="0">
      <alignment horizontal="center" vertical="center"/>
    </xf>
    <xf numFmtId="350" fontId="45" fillId="68" borderId="197" applyNumberFormat="0" applyBorder="0" applyAlignment="0">
      <alignment horizontal="right"/>
    </xf>
    <xf numFmtId="0" fontId="329" fillId="0" borderId="187"/>
    <xf numFmtId="0" fontId="329" fillId="0" borderId="187"/>
    <xf numFmtId="0" fontId="329" fillId="0" borderId="187"/>
    <xf numFmtId="0" fontId="329" fillId="0" borderId="187"/>
    <xf numFmtId="0" fontId="329"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331" fillId="0" borderId="197" applyNumberFormat="0" applyFill="0" applyBorder="0" applyAlignment="0" applyProtection="0">
      <alignment horizontal="center"/>
      <protection locked="0"/>
    </xf>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1" fillId="69" borderId="190" applyBorder="0" applyAlignment="0"/>
    <xf numFmtId="165" fontId="337" fillId="69" borderId="189">
      <alignment horizontal="center"/>
    </xf>
    <xf numFmtId="0" fontId="344" fillId="0" borderId="0" applyNumberFormat="0" applyFill="0" applyBorder="0" applyAlignment="0" applyProtection="0"/>
  </cellStyleXfs>
  <cellXfs count="855">
    <xf numFmtId="0" fontId="0" fillId="0" borderId="0" xfId="0"/>
    <xf numFmtId="43" fontId="0" fillId="0" borderId="0" xfId="0" applyNumberFormat="1"/>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46" fillId="0" borderId="0" xfId="10" applyFont="1" applyAlignment="1">
      <alignment horizontal="right"/>
    </xf>
    <xf numFmtId="0" fontId="45" fillId="0" borderId="16" xfId="10" applyFont="1" applyBorder="1" applyAlignment="1">
      <alignment horizontal="center" vertical="center"/>
    </xf>
    <xf numFmtId="0" fontId="45" fillId="0" borderId="17"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7" xfId="6" applyNumberFormat="1" applyFont="1" applyFill="1" applyBorder="1" applyAlignment="1" applyProtection="1">
      <alignment horizontal="center" vertical="center"/>
      <protection locked="0"/>
    </xf>
    <xf numFmtId="0" fontId="2" fillId="0" borderId="18"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9"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9"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9"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8"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9"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2" xfId="0" applyFont="1" applyFill="1" applyBorder="1" applyAlignment="1" applyProtection="1">
      <alignment vertical="center" wrapText="1"/>
      <protection locked="0"/>
    </xf>
    <xf numFmtId="191" fontId="2" fillId="35" borderId="23"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84" fillId="0" borderId="61" xfId="0" applyNumberFormat="1" applyFont="1" applyBorder="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8" applyFont="1" applyFill="1" applyBorder="1" applyAlignment="1" applyProtection="1">
      <alignment horizontal="left" vertical="center"/>
      <protection locked="0"/>
    </xf>
    <xf numFmtId="0" fontId="45" fillId="3" borderId="22" xfId="14"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4" applyFill="1" applyBorder="1" applyAlignment="1" applyProtection="1">
      <alignment horizontal="right" vertical="center"/>
      <protection locked="0"/>
    </xf>
    <xf numFmtId="191" fontId="84" fillId="0" borderId="19" xfId="0" applyNumberFormat="1" applyFont="1" applyBorder="1"/>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0" applyFont="1" applyBorder="1" applyAlignment="1" applyProtection="1">
      <alignment horizontal="center" vertical="center" wrapText="1"/>
      <protection locked="0"/>
    </xf>
    <xf numFmtId="0" fontId="45" fillId="0" borderId="25" xfId="0" applyFont="1" applyBorder="1" applyAlignment="1">
      <alignment vertical="center" wrapText="1"/>
    </xf>
    <xf numFmtId="0" fontId="89"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0"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0" applyBorder="1" applyAlignment="1">
      <alignment vertical="center"/>
    </xf>
    <xf numFmtId="0" fontId="2" fillId="0" borderId="16" xfId="10"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1" fillId="0" borderId="0" xfId="10" applyFont="1"/>
    <xf numFmtId="0" fontId="92"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4"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48" applyFont="1" applyBorder="1"/>
    <xf numFmtId="9" fontId="3" fillId="35" borderId="23" xfId="20948"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3" fillId="0" borderId="0" xfId="0" applyFont="1" applyAlignment="1">
      <alignment wrapText="1"/>
    </xf>
    <xf numFmtId="0" fontId="2" fillId="0" borderId="0" xfId="0" applyFont="1" applyAlignment="1">
      <alignment wrapText="1"/>
    </xf>
    <xf numFmtId="0" fontId="96" fillId="3" borderId="78" xfId="0" applyFont="1" applyFill="1" applyBorder="1" applyAlignment="1">
      <alignment horizontal="left"/>
    </xf>
    <xf numFmtId="0" fontId="96"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18"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18" applyBorder="1"/>
    <xf numFmtId="169" fontId="9" fillId="36" borderId="89" xfId="18" applyBorder="1"/>
    <xf numFmtId="169" fontId="9" fillId="36" borderId="25" xfId="18"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18"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7"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7" fillId="0" borderId="0" xfId="0" applyFont="1" applyAlignment="1">
      <alignment horizontal="left" vertical="center"/>
    </xf>
    <xf numFmtId="49" fontId="98" fillId="0" borderId="21" xfId="4" applyNumberFormat="1" applyFont="1" applyBorder="1" applyAlignment="1" applyProtection="1">
      <alignment horizontal="left" vertical="center"/>
      <protection locked="0"/>
    </xf>
    <xf numFmtId="0" fontId="99" fillId="0" borderId="22" xfId="8"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7" quotePrefix="1" applyNumberFormat="1" applyFont="1" applyFill="1" applyBorder="1" applyAlignment="1" applyProtection="1">
      <alignment horizontal="left"/>
      <protection locked="0"/>
    </xf>
    <xf numFmtId="3" fontId="100" fillId="35" borderId="81" xfId="0" applyNumberFormat="1" applyFont="1" applyFill="1" applyBorder="1" applyAlignment="1">
      <alignment vertical="center" wrapText="1"/>
    </xf>
    <xf numFmtId="3" fontId="100" fillId="35" borderId="22" xfId="0" applyNumberFormat="1" applyFont="1" applyFill="1" applyBorder="1" applyAlignment="1">
      <alignment vertical="center" wrapText="1"/>
    </xf>
    <xf numFmtId="3" fontId="100" fillId="35" borderId="23" xfId="0" applyNumberFormat="1" applyFont="1" applyFill="1" applyBorder="1" applyAlignment="1">
      <alignment vertical="center" wrapText="1"/>
    </xf>
    <xf numFmtId="0" fontId="6" fillId="0" borderId="80" xfId="15" applyFill="1" applyBorder="1" applyAlignment="1" applyProtection="1"/>
    <xf numFmtId="49" fontId="84" fillId="0" borderId="8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7" fillId="0" borderId="96" xfId="0" applyFont="1" applyBorder="1" applyAlignment="1">
      <alignment horizontal="left" vertical="center" wrapText="1"/>
    </xf>
    <xf numFmtId="10" fontId="4" fillId="35" borderId="96" xfId="0" applyNumberFormat="1" applyFont="1" applyFill="1" applyBorder="1" applyAlignment="1">
      <alignment horizontal="left" vertical="center" wrapText="1"/>
    </xf>
    <xf numFmtId="10" fontId="97" fillId="0" borderId="96" xfId="20948" applyNumberFormat="1" applyFont="1" applyFill="1" applyBorder="1" applyAlignment="1">
      <alignment horizontal="left" vertical="center" wrapText="1"/>
    </xf>
    <xf numFmtId="10" fontId="4" fillId="35" borderId="96" xfId="20948"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99" fillId="0" borderId="22" xfId="20948"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48"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0" fontId="4" fillId="35" borderId="82" xfId="0" applyFont="1" applyFill="1" applyBorder="1" applyAlignment="1">
      <alignment vertical="center" wrapText="1"/>
    </xf>
    <xf numFmtId="0" fontId="4" fillId="35" borderId="95"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5" applyFill="1" applyBorder="1" applyAlignment="1" applyProtection="1">
      <alignment horizontal="left" vertical="center"/>
    </xf>
    <xf numFmtId="0" fontId="6" fillId="0" borderId="96" xfId="15" applyBorder="1" applyAlignment="1" applyProtection="1"/>
    <xf numFmtId="0" fontId="6" fillId="0" borderId="96" xfId="15" applyFill="1" applyBorder="1" applyAlignment="1" applyProtection="1">
      <alignment horizontal="left" vertical="center" wrapText="1"/>
    </xf>
    <xf numFmtId="0" fontId="6" fillId="0" borderId="96" xfId="15"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0" fillId="35" borderId="96" xfId="0" applyNumberFormat="1" applyFont="1" applyFill="1" applyBorder="1" applyAlignment="1">
      <alignment vertical="center" wrapText="1"/>
    </xf>
    <xf numFmtId="3" fontId="100" fillId="35" borderId="97" xfId="0" applyNumberFormat="1" applyFont="1" applyFill="1" applyBorder="1" applyAlignment="1">
      <alignment vertical="center" wrapText="1"/>
    </xf>
    <xf numFmtId="3" fontId="100" fillId="35" borderId="24" xfId="0" applyNumberFormat="1" applyFont="1" applyFill="1" applyBorder="1" applyAlignment="1">
      <alignment vertical="center" wrapText="1"/>
    </xf>
    <xf numFmtId="3" fontId="100" fillId="35" borderId="84" xfId="0" applyNumberFormat="1" applyFont="1" applyFill="1" applyBorder="1" applyAlignment="1">
      <alignment vertical="center" wrapText="1"/>
    </xf>
    <xf numFmtId="3" fontId="100"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93" xfId="18"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5" xfId="0" applyFont="1" applyFill="1" applyBorder="1" applyAlignment="1">
      <alignment horizontal="center" wrapText="1"/>
    </xf>
    <xf numFmtId="0" fontId="3" fillId="0" borderId="96"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6" applyNumberFormat="1" applyFont="1" applyBorder="1"/>
    <xf numFmtId="164" fontId="3" fillId="0" borderId="81" xfId="6" applyNumberFormat="1" applyFont="1" applyBorder="1"/>
    <xf numFmtId="0" fontId="96" fillId="0" borderId="96" xfId="0" applyFont="1" applyBorder="1" applyAlignment="1">
      <alignment horizontal="left" wrapText="1" indent="2"/>
    </xf>
    <xf numFmtId="169" fontId="9" fillId="36" borderId="96" xfId="18" applyBorder="1"/>
    <xf numFmtId="164" fontId="3" fillId="0" borderId="96" xfId="6"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81" xfId="6" applyNumberFormat="1" applyFont="1" applyBorder="1"/>
    <xf numFmtId="0" fontId="106" fillId="3" borderId="63" xfId="0" applyFont="1" applyFill="1" applyBorder="1" applyAlignment="1">
      <alignment horizontal="left"/>
    </xf>
    <xf numFmtId="0" fontId="106"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93" xfId="6" applyNumberFormat="1" applyFont="1" applyFill="1" applyBorder="1"/>
    <xf numFmtId="164" fontId="3" fillId="0" borderId="96" xfId="6" applyNumberFormat="1" applyFont="1" applyFill="1" applyBorder="1"/>
    <xf numFmtId="164" fontId="3" fillId="0" borderId="96" xfId="6" applyNumberFormat="1" applyFont="1" applyFill="1" applyBorder="1" applyAlignment="1">
      <alignment vertical="center"/>
    </xf>
    <xf numFmtId="0" fontId="96"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48" applyNumberFormat="1" applyFont="1" applyBorder="1"/>
    <xf numFmtId="0" fontId="2" fillId="2" borderId="87" xfId="0" applyFont="1" applyFill="1" applyBorder="1" applyAlignment="1">
      <alignment horizontal="right" vertical="center"/>
    </xf>
    <xf numFmtId="0" fontId="2" fillId="0" borderId="94" xfId="0" applyFont="1" applyBorder="1" applyAlignment="1">
      <alignment vertical="center" wrapText="1"/>
    </xf>
    <xf numFmtId="0" fontId="107" fillId="0" borderId="0" xfId="10" applyFont="1"/>
    <xf numFmtId="0" fontId="109" fillId="0" borderId="0" xfId="10" applyFont="1"/>
    <xf numFmtId="0" fontId="108" fillId="0" borderId="0" xfId="0" applyFont="1"/>
    <xf numFmtId="0" fontId="110" fillId="0" borderId="68" xfId="0" applyFont="1" applyBorder="1" applyAlignment="1">
      <alignment horizontal="left" vertical="center" wrapText="1"/>
    </xf>
    <xf numFmtId="0" fontId="6" fillId="0" borderId="111" xfId="15" applyBorder="1" applyAlignment="1" applyProtection="1"/>
    <xf numFmtId="0" fontId="108" fillId="0" borderId="0" xfId="0" applyFont="1" applyAlignment="1">
      <alignment horizontal="left" vertical="top" wrapText="1"/>
    </xf>
    <xf numFmtId="191" fontId="2" fillId="3" borderId="81" xfId="6" applyNumberFormat="1" applyFont="1" applyFill="1" applyBorder="1" applyAlignment="1" applyProtection="1">
      <alignment vertical="top" wrapText="1"/>
      <protection locked="0"/>
    </xf>
    <xf numFmtId="0" fontId="0" fillId="0" borderId="111" xfId="0" applyBorder="1" applyAlignment="1">
      <alignment horizontal="center"/>
    </xf>
    <xf numFmtId="0" fontId="119" fillId="3" borderId="111" xfId="20951" applyFont="1" applyFill="1" applyBorder="1" applyAlignment="1">
      <alignment horizontal="left" vertical="center" wrapText="1"/>
    </xf>
    <xf numFmtId="0" fontId="120" fillId="0" borderId="111" xfId="20951" applyFont="1" applyBorder="1" applyAlignment="1">
      <alignment horizontal="left" vertical="center" wrapText="1" indent="1"/>
    </xf>
    <xf numFmtId="0" fontId="121" fillId="3" borderId="121" xfId="0" applyFont="1" applyFill="1" applyBorder="1" applyAlignment="1">
      <alignment horizontal="left" vertical="center" wrapText="1"/>
    </xf>
    <xf numFmtId="0" fontId="120" fillId="3" borderId="111" xfId="20951" applyFont="1" applyFill="1" applyBorder="1" applyAlignment="1">
      <alignment horizontal="left" vertical="center" wrapText="1" indent="1"/>
    </xf>
    <xf numFmtId="0" fontId="119" fillId="0" borderId="121" xfId="0" applyFont="1" applyBorder="1" applyAlignment="1">
      <alignment horizontal="left" vertical="center" wrapText="1"/>
    </xf>
    <xf numFmtId="0" fontId="121" fillId="0" borderId="121" xfId="0" applyFont="1" applyBorder="1" applyAlignment="1">
      <alignment horizontal="left"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indent="1"/>
    </xf>
    <xf numFmtId="0" fontId="122" fillId="3" borderId="121" xfId="0" applyFont="1" applyFill="1" applyBorder="1" applyAlignment="1">
      <alignment horizontal="left" vertical="center" wrapText="1" indent="1"/>
    </xf>
    <xf numFmtId="0" fontId="121" fillId="3" borderId="122" xfId="0" applyFont="1" applyFill="1" applyBorder="1" applyAlignment="1">
      <alignment horizontal="left" vertical="center" wrapText="1"/>
    </xf>
    <xf numFmtId="0" fontId="122" fillId="0" borderId="111" xfId="20951" applyFont="1" applyBorder="1" applyAlignment="1">
      <alignment horizontal="left" vertical="center" wrapText="1" indent="1"/>
    </xf>
    <xf numFmtId="0" fontId="121" fillId="0" borderId="111" xfId="0" applyFont="1" applyBorder="1" applyAlignment="1">
      <alignment horizontal="left" vertical="center" wrapText="1"/>
    </xf>
    <xf numFmtId="0" fontId="123" fillId="0" borderId="111" xfId="20951" applyFont="1" applyBorder="1" applyAlignment="1">
      <alignment horizontal="center" vertical="center" wrapText="1"/>
    </xf>
    <xf numFmtId="0" fontId="121" fillId="3" borderId="123" xfId="0" applyFont="1" applyFill="1" applyBorder="1" applyAlignment="1">
      <alignment horizontal="left" vertical="center" wrapText="1"/>
    </xf>
    <xf numFmtId="0" fontId="0" fillId="0" borderId="124" xfId="0" applyBorder="1" applyAlignment="1">
      <alignment horizontal="center"/>
    </xf>
    <xf numFmtId="0" fontId="120" fillId="3" borderId="124" xfId="20951" applyFont="1" applyFill="1" applyBorder="1" applyAlignment="1">
      <alignment horizontal="left" vertical="center" wrapText="1" indent="1"/>
    </xf>
    <xf numFmtId="0" fontId="120" fillId="3" borderId="121" xfId="0" applyFont="1" applyFill="1" applyBorder="1" applyAlignment="1">
      <alignment horizontal="left" vertical="center" wrapText="1" indent="1"/>
    </xf>
    <xf numFmtId="0" fontId="120" fillId="0" borderId="124" xfId="20951" applyFont="1" applyBorder="1" applyAlignment="1">
      <alignment horizontal="left" vertical="center" wrapText="1" indent="1"/>
    </xf>
    <xf numFmtId="0" fontId="121" fillId="0" borderId="124" xfId="20951" applyFont="1" applyBorder="1" applyAlignment="1">
      <alignment horizontal="left" vertical="center" wrapText="1"/>
    </xf>
    <xf numFmtId="0" fontId="121" fillId="0" borderId="124" xfId="0" applyFont="1" applyBorder="1" applyAlignment="1">
      <alignment vertical="center" wrapText="1"/>
    </xf>
    <xf numFmtId="0" fontId="123" fillId="0" borderId="124" xfId="20951" applyFont="1" applyBorder="1" applyAlignment="1">
      <alignment horizontal="center" vertical="center" wrapText="1"/>
    </xf>
    <xf numFmtId="0" fontId="121" fillId="3" borderId="124" xfId="20951" applyFont="1" applyFill="1" applyBorder="1" applyAlignment="1">
      <alignment horizontal="left" vertical="center" wrapText="1"/>
    </xf>
    <xf numFmtId="0" fontId="121"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1" fillId="0" borderId="0" xfId="0" applyNumberFormat="1" applyFont="1" applyAlignment="1">
      <alignment horizontal="right"/>
    </xf>
    <xf numFmtId="43" fontId="84" fillId="0" borderId="124" xfId="6" applyFont="1" applyFill="1" applyBorder="1" applyAlignment="1">
      <alignment horizontal="center" vertical="center"/>
    </xf>
    <xf numFmtId="0" fontId="120" fillId="3" borderId="122" xfId="0" applyFont="1" applyFill="1" applyBorder="1" applyAlignment="1">
      <alignment horizontal="left" vertical="center" wrapText="1" indent="1"/>
    </xf>
    <xf numFmtId="0" fontId="120"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0" fillId="0" borderId="124" xfId="0" applyFont="1" applyBorder="1" applyAlignment="1">
      <alignment horizontal="left" vertical="center" wrapText="1" indent="1"/>
    </xf>
    <xf numFmtId="0" fontId="121" fillId="3" borderId="124" xfId="0" applyFont="1" applyFill="1" applyBorder="1" applyAlignment="1">
      <alignment horizontal="left" vertical="center" wrapText="1"/>
    </xf>
    <xf numFmtId="0" fontId="122" fillId="3" borderId="124" xfId="0" applyFont="1" applyFill="1" applyBorder="1" applyAlignment="1">
      <alignment horizontal="left" vertical="center" wrapText="1" indent="1"/>
    </xf>
    <xf numFmtId="0" fontId="124" fillId="0" borderId="124" xfId="0" applyFont="1" applyBorder="1" applyAlignment="1">
      <alignment horizontal="justify"/>
    </xf>
    <xf numFmtId="167" fontId="86" fillId="0" borderId="124" xfId="0" applyNumberFormat="1" applyFont="1" applyBorder="1" applyAlignment="1">
      <alignment horizontal="center"/>
    </xf>
    <xf numFmtId="167" fontId="86" fillId="0" borderId="56" xfId="0" applyNumberFormat="1" applyFont="1" applyBorder="1" applyAlignment="1">
      <alignment horizontal="center"/>
    </xf>
    <xf numFmtId="167" fontId="87"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4" xfId="0" applyFont="1" applyBorder="1" applyAlignment="1">
      <alignment horizontal="center"/>
    </xf>
    <xf numFmtId="0" fontId="111" fillId="0" borderId="124" xfId="0" applyFont="1" applyBorder="1"/>
    <xf numFmtId="49" fontId="113" fillId="0" borderId="124" xfId="4" applyNumberFormat="1" applyFont="1" applyBorder="1" applyAlignment="1" applyProtection="1">
      <alignment horizontal="right" vertical="center"/>
      <protection locked="0"/>
    </xf>
    <xf numFmtId="0" fontId="112" fillId="3" borderId="124" xfId="0" applyFont="1" applyFill="1" applyBorder="1" applyAlignment="1" applyProtection="1">
      <alignment horizontal="left" vertical="center" wrapText="1"/>
      <protection locked="0"/>
    </xf>
    <xf numFmtId="49" fontId="112" fillId="3" borderId="124" xfId="4" applyNumberFormat="1" applyFont="1" applyFill="1" applyBorder="1" applyAlignment="1" applyProtection="1">
      <alignment horizontal="right" vertical="center"/>
      <protection locked="0"/>
    </xf>
    <xf numFmtId="0" fontId="112" fillId="0" borderId="124" xfId="0" applyFont="1" applyBorder="1" applyAlignment="1" applyProtection="1">
      <alignment horizontal="left" vertical="center" wrapText="1"/>
      <protection locked="0"/>
    </xf>
    <xf numFmtId="49" fontId="112" fillId="0" borderId="124" xfId="4" applyNumberFormat="1" applyFont="1" applyBorder="1" applyAlignment="1" applyProtection="1">
      <alignment horizontal="right" vertical="center"/>
      <protection locked="0"/>
    </xf>
    <xf numFmtId="0" fontId="114" fillId="0" borderId="124" xfId="0" applyFont="1" applyBorder="1" applyAlignment="1" applyProtection="1">
      <alignment horizontal="left" vertical="center" wrapText="1"/>
      <protection locked="0"/>
    </xf>
    <xf numFmtId="0" fontId="111" fillId="0" borderId="124" xfId="0" applyFont="1" applyBorder="1" applyAlignment="1">
      <alignment horizontal="center" vertical="center" wrapText="1"/>
    </xf>
    <xf numFmtId="14" fontId="108" fillId="0" borderId="0" xfId="0" applyNumberFormat="1" applyFont="1"/>
    <xf numFmtId="43" fontId="93" fillId="0" borderId="0" xfId="6" applyFont="1"/>
    <xf numFmtId="0" fontId="108" fillId="0" borderId="0" xfId="0" applyFont="1" applyAlignment="1">
      <alignment wrapText="1"/>
    </xf>
    <xf numFmtId="0" fontId="107" fillId="0" borderId="124" xfId="0" applyFont="1" applyBorder="1"/>
    <xf numFmtId="0" fontId="107" fillId="0" borderId="124" xfId="0" applyFont="1" applyBorder="1" applyAlignment="1">
      <alignment horizontal="left" indent="8"/>
    </xf>
    <xf numFmtId="0" fontId="107" fillId="0" borderId="124" xfId="0" applyFont="1" applyBorder="1" applyAlignment="1">
      <alignment wrapText="1"/>
    </xf>
    <xf numFmtId="0" fontId="111" fillId="0" borderId="0" xfId="0" applyFont="1"/>
    <xf numFmtId="0" fontId="110" fillId="0" borderId="124" xfId="0" applyFont="1" applyBorder="1"/>
    <xf numFmtId="49" fontId="113" fillId="0" borderId="124" xfId="4" applyNumberFormat="1" applyFont="1" applyBorder="1" applyAlignment="1" applyProtection="1">
      <alignment horizontal="right" vertical="center" wrapText="1"/>
      <protection locked="0"/>
    </xf>
    <xf numFmtId="49" fontId="112" fillId="3" borderId="124" xfId="4" applyNumberFormat="1" applyFont="1" applyFill="1" applyBorder="1" applyAlignment="1" applyProtection="1">
      <alignment horizontal="right" vertical="center" wrapText="1"/>
      <protection locked="0"/>
    </xf>
    <xf numFmtId="49" fontId="112" fillId="0" borderId="124" xfId="4" applyNumberFormat="1" applyFont="1" applyBorder="1" applyAlignment="1" applyProtection="1">
      <alignment horizontal="right" vertical="center" wrapText="1"/>
      <protection locked="0"/>
    </xf>
    <xf numFmtId="0" fontId="107" fillId="0" borderId="124"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124" xfId="0" applyFont="1" applyBorder="1" applyAlignment="1">
      <alignment horizontal="center" vertical="center"/>
    </xf>
    <xf numFmtId="0" fontId="107" fillId="0" borderId="0" xfId="0" applyFont="1"/>
    <xf numFmtId="0" fontId="107" fillId="0" borderId="0" xfId="0" applyFont="1" applyAlignment="1">
      <alignment wrapText="1"/>
    </xf>
    <xf numFmtId="14" fontId="107" fillId="0" borderId="0" xfId="0" applyNumberFormat="1" applyFont="1"/>
    <xf numFmtId="0" fontId="108" fillId="0" borderId="0" xfId="0" applyFont="1" applyAlignment="1">
      <alignment horizontal="left"/>
    </xf>
    <xf numFmtId="0" fontId="107" fillId="0" borderId="124" xfId="0" applyFont="1" applyBorder="1" applyAlignment="1">
      <alignment horizontal="left" vertical="center" wrapText="1"/>
    </xf>
    <xf numFmtId="0" fontId="110" fillId="0" borderId="124" xfId="0" applyFont="1" applyBorder="1" applyAlignment="1">
      <alignment horizontal="left" wrapText="1" indent="1"/>
    </xf>
    <xf numFmtId="0" fontId="110" fillId="0" borderId="124" xfId="0" applyFont="1" applyBorder="1" applyAlignment="1">
      <alignment horizontal="left" vertical="center" indent="1"/>
    </xf>
    <xf numFmtId="0" fontId="108" fillId="0" borderId="124" xfId="0" applyFont="1" applyBorder="1"/>
    <xf numFmtId="0" fontId="107" fillId="0" borderId="124" xfId="0" applyFont="1" applyBorder="1" applyAlignment="1">
      <alignment horizontal="left" wrapText="1" indent="1"/>
    </xf>
    <xf numFmtId="0" fontId="107" fillId="0" borderId="124" xfId="0" applyFont="1" applyBorder="1" applyAlignment="1">
      <alignment horizontal="left" indent="1"/>
    </xf>
    <xf numFmtId="0" fontId="107" fillId="0" borderId="124" xfId="0" applyFont="1" applyBorder="1" applyAlignment="1">
      <alignment horizontal="left" wrapText="1" indent="4"/>
    </xf>
    <xf numFmtId="0" fontId="110" fillId="0" borderId="124" xfId="0" applyFont="1" applyBorder="1" applyAlignment="1">
      <alignment horizontal="left" indent="1"/>
    </xf>
    <xf numFmtId="0" fontId="108" fillId="77" borderId="124" xfId="0" applyFont="1" applyFill="1" applyBorder="1"/>
    <xf numFmtId="0" fontId="111" fillId="0" borderId="7" xfId="0" applyFont="1" applyBorder="1"/>
    <xf numFmtId="0" fontId="108" fillId="0" borderId="124" xfId="0" applyFont="1" applyBorder="1" applyAlignment="1">
      <alignment horizontal="left" wrapText="1" indent="2"/>
    </xf>
    <xf numFmtId="0" fontId="108" fillId="0" borderId="124" xfId="0" applyFont="1" applyBorder="1" applyAlignment="1">
      <alignment horizontal="left" wrapText="1"/>
    </xf>
    <xf numFmtId="0" fontId="107" fillId="0" borderId="0" xfId="0" applyFont="1" applyAlignment="1">
      <alignment horizontal="center" vertical="center"/>
    </xf>
    <xf numFmtId="0" fontId="107" fillId="0" borderId="7" xfId="0" applyFont="1" applyBorder="1" applyAlignment="1">
      <alignment horizontal="center" vertical="center" wrapText="1"/>
    </xf>
    <xf numFmtId="0" fontId="107" fillId="0" borderId="7" xfId="0" applyFont="1" applyBorder="1" applyAlignment="1">
      <alignment wrapText="1"/>
    </xf>
    <xf numFmtId="0" fontId="107" fillId="0" borderId="0" xfId="0" applyFont="1" applyAlignment="1">
      <alignment horizontal="center" vertical="center" wrapText="1"/>
    </xf>
    <xf numFmtId="0" fontId="107" fillId="0" borderId="103" xfId="0" applyFont="1" applyBorder="1" applyAlignment="1">
      <alignment horizontal="center" vertical="center" wrapText="1"/>
    </xf>
    <xf numFmtId="0" fontId="107" fillId="0" borderId="127" xfId="0" applyFont="1" applyBorder="1" applyAlignment="1">
      <alignment horizontal="center" vertical="center" wrapText="1"/>
    </xf>
    <xf numFmtId="0" fontId="107" fillId="0" borderId="104" xfId="0" applyFont="1" applyBorder="1" applyAlignment="1">
      <alignment horizontal="center" vertical="center" wrapText="1"/>
    </xf>
    <xf numFmtId="0" fontId="107" fillId="0" borderId="75" xfId="0" applyFont="1" applyBorder="1" applyAlignment="1">
      <alignment horizontal="center" vertical="center" wrapText="1"/>
    </xf>
    <xf numFmtId="0" fontId="107" fillId="0" borderId="81" xfId="0" applyFont="1" applyBorder="1" applyAlignment="1">
      <alignment horizontal="center" vertical="center" wrapText="1"/>
    </xf>
    <xf numFmtId="0" fontId="107" fillId="0" borderId="0" xfId="0" applyFont="1" applyAlignment="1">
      <alignment horizontal="left"/>
    </xf>
    <xf numFmtId="0" fontId="110" fillId="0" borderId="124" xfId="0" applyFont="1" applyBorder="1" applyAlignment="1">
      <alignment horizontal="left" vertical="center" wrapText="1"/>
    </xf>
    <xf numFmtId="0" fontId="112" fillId="0" borderId="0" xfId="0" applyFont="1"/>
    <xf numFmtId="0" fontId="91" fillId="0" borderId="0" xfId="0" applyFont="1" applyAlignment="1">
      <alignment wrapText="1"/>
    </xf>
    <xf numFmtId="0" fontId="110" fillId="0" borderId="124" xfId="0" applyFont="1" applyBorder="1" applyAlignment="1">
      <alignment horizontal="center" vertical="center" wrapText="1"/>
    </xf>
    <xf numFmtId="0" fontId="112" fillId="0" borderId="0" xfId="0" applyFont="1" applyAlignment="1">
      <alignment horizontal="center" vertical="center"/>
    </xf>
    <xf numFmtId="0" fontId="128" fillId="0" borderId="0" xfId="0" applyFont="1"/>
    <xf numFmtId="0" fontId="110" fillId="0" borderId="124" xfId="0" applyFont="1" applyBorder="1" applyAlignment="1">
      <alignment vertical="center" wrapText="1" readingOrder="1"/>
    </xf>
    <xf numFmtId="0" fontId="107" fillId="0" borderId="120" xfId="0" applyFont="1" applyBorder="1" applyAlignment="1">
      <alignment vertical="center" wrapText="1" readingOrder="1"/>
    </xf>
    <xf numFmtId="0" fontId="107" fillId="0" borderId="119" xfId="0" applyFont="1" applyBorder="1" applyAlignment="1">
      <alignment vertical="center" wrapText="1" readingOrder="1"/>
    </xf>
    <xf numFmtId="0" fontId="107" fillId="0" borderId="118" xfId="0" applyFont="1" applyBorder="1" applyAlignment="1">
      <alignment vertical="center" wrapText="1" readingOrder="1"/>
    </xf>
    <xf numFmtId="0" fontId="128" fillId="0" borderId="7" xfId="0" applyFont="1" applyBorder="1"/>
    <xf numFmtId="167" fontId="129" fillId="79" borderId="57" xfId="0" applyNumberFormat="1" applyFont="1" applyFill="1" applyBorder="1" applyAlignment="1">
      <alignment horizontal="center"/>
    </xf>
    <xf numFmtId="0" fontId="93" fillId="0" borderId="0" xfId="10" applyFont="1"/>
    <xf numFmtId="0" fontId="93" fillId="0" borderId="0" xfId="0" applyFont="1"/>
    <xf numFmtId="14" fontId="3" fillId="0" borderId="0" xfId="0" applyNumberFormat="1" applyFont="1"/>
    <xf numFmtId="0" fontId="130" fillId="0" borderId="0" xfId="10" applyFont="1"/>
    <xf numFmtId="0" fontId="131" fillId="0" borderId="0" xfId="0" applyFont="1"/>
    <xf numFmtId="0" fontId="132" fillId="80" borderId="16" xfId="0" applyFont="1" applyFill="1" applyBorder="1" applyAlignment="1">
      <alignment horizontal="center" vertical="center"/>
    </xf>
    <xf numFmtId="0" fontId="132" fillId="80" borderId="17" xfId="0" applyFont="1" applyFill="1" applyBorder="1" applyAlignment="1">
      <alignment horizontal="center" vertical="center"/>
    </xf>
    <xf numFmtId="0" fontId="132" fillId="81" borderId="124" xfId="0" applyFont="1" applyFill="1" applyBorder="1" applyAlignment="1">
      <alignment horizontal="left" vertical="center"/>
    </xf>
    <xf numFmtId="192" fontId="132" fillId="81" borderId="81" xfId="6" applyNumberFormat="1" applyFont="1" applyFill="1" applyBorder="1" applyAlignment="1">
      <alignment horizontal="left" vertical="center"/>
    </xf>
    <xf numFmtId="49" fontId="134" fillId="0" borderId="124" xfId="0" applyNumberFormat="1" applyFont="1" applyBorder="1" applyAlignment="1">
      <alignment horizontal="left" vertical="center"/>
    </xf>
    <xf numFmtId="192" fontId="134" fillId="0" borderId="81" xfId="6" applyNumberFormat="1" applyFont="1" applyFill="1" applyBorder="1" applyAlignment="1">
      <alignment horizontal="left" vertical="center"/>
    </xf>
    <xf numFmtId="0" fontId="134" fillId="0" borderId="124" xfId="0" applyFont="1" applyBorder="1" applyAlignment="1">
      <alignment horizontal="left" vertical="center"/>
    </xf>
    <xf numFmtId="0" fontId="132" fillId="0" borderId="124" xfId="0" applyFont="1" applyBorder="1" applyAlignment="1">
      <alignment horizontal="left" vertical="center"/>
    </xf>
    <xf numFmtId="10" fontId="93" fillId="0" borderId="81" xfId="0" applyNumberFormat="1" applyFont="1" applyBorder="1" applyAlignment="1">
      <alignment horizontal="right" vertical="center" wrapText="1"/>
    </xf>
    <xf numFmtId="0" fontId="136" fillId="82" borderId="22" xfId="0" applyFont="1" applyFill="1" applyBorder="1" applyAlignment="1">
      <alignment horizontal="left" vertical="center"/>
    </xf>
    <xf numFmtId="10" fontId="130" fillId="83" borderId="23" xfId="0" applyNumberFormat="1" applyFont="1" applyFill="1" applyBorder="1" applyAlignment="1">
      <alignment horizontal="right" vertical="center" wrapText="1"/>
    </xf>
    <xf numFmtId="0" fontId="137" fillId="0" borderId="0" xfId="0" applyFont="1" applyAlignment="1">
      <alignment vertical="top" wrapText="1"/>
    </xf>
    <xf numFmtId="0" fontId="139" fillId="0" borderId="0" xfId="0" applyFont="1" applyAlignment="1">
      <alignment vertical="top"/>
    </xf>
    <xf numFmtId="0" fontId="139"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6" applyNumberFormat="1" applyFont="1" applyFill="1" applyBorder="1" applyAlignment="1">
      <alignment vertical="center"/>
    </xf>
    <xf numFmtId="192" fontId="4" fillId="83" borderId="81" xfId="6" applyNumberFormat="1" applyFont="1" applyFill="1" applyBorder="1" applyAlignment="1">
      <alignment vertical="center"/>
    </xf>
    <xf numFmtId="0" fontId="134" fillId="81" borderId="124" xfId="0" applyFont="1" applyFill="1" applyBorder="1" applyAlignment="1">
      <alignment horizontal="left" vertical="center" wrapText="1" indent="3"/>
    </xf>
    <xf numFmtId="192" fontId="4" fillId="35" borderId="124" xfId="6" applyNumberFormat="1" applyFont="1" applyFill="1" applyBorder="1" applyAlignment="1">
      <alignment vertical="center"/>
    </xf>
    <xf numFmtId="0" fontId="140" fillId="81" borderId="124" xfId="0" applyFont="1" applyFill="1" applyBorder="1" applyAlignment="1">
      <alignment horizontal="left" vertical="center" wrapText="1" indent="5"/>
    </xf>
    <xf numFmtId="0" fontId="141" fillId="80" borderId="124" xfId="0" applyFont="1" applyFill="1" applyBorder="1" applyAlignment="1">
      <alignment horizontal="left" vertical="center" wrapText="1" indent="1"/>
    </xf>
    <xf numFmtId="192" fontId="141" fillId="80" borderId="124" xfId="6" applyNumberFormat="1" applyFont="1" applyFill="1" applyBorder="1" applyAlignment="1">
      <alignment vertical="center"/>
    </xf>
    <xf numFmtId="192" fontId="141" fillId="82" borderId="81" xfId="6" applyNumberFormat="1" applyFont="1" applyFill="1" applyBorder="1" applyAlignment="1">
      <alignment vertical="center"/>
    </xf>
    <xf numFmtId="192" fontId="142" fillId="81" borderId="124" xfId="6" applyNumberFormat="1" applyFont="1" applyFill="1" applyBorder="1" applyAlignment="1">
      <alignment vertical="center"/>
    </xf>
    <xf numFmtId="192" fontId="142" fillId="82" borderId="81" xfId="6" applyNumberFormat="1" applyFont="1" applyFill="1" applyBorder="1" applyAlignment="1">
      <alignment vertical="center"/>
    </xf>
    <xf numFmtId="192" fontId="142" fillId="81" borderId="22" xfId="6" applyNumberFormat="1" applyFont="1" applyFill="1" applyBorder="1" applyAlignment="1">
      <alignment vertical="center"/>
    </xf>
    <xf numFmtId="192" fontId="142" fillId="82" borderId="23" xfId="6" applyNumberFormat="1" applyFont="1" applyFill="1" applyBorder="1" applyAlignment="1">
      <alignment vertical="center"/>
    </xf>
    <xf numFmtId="169" fontId="9" fillId="36" borderId="93" xfId="18" applyBorder="1"/>
    <xf numFmtId="0" fontId="91" fillId="0" borderId="184" xfId="0" applyFont="1" applyBorder="1" applyAlignment="1">
      <alignment horizontal="center" vertical="center" wrapText="1"/>
    </xf>
    <xf numFmtId="0" fontId="91" fillId="0" borderId="0" xfId="0" applyFont="1"/>
    <xf numFmtId="0" fontId="346" fillId="0" borderId="0" xfId="0" applyFont="1"/>
    <xf numFmtId="14" fontId="91" fillId="0" borderId="0" xfId="0" applyNumberFormat="1" applyFont="1"/>
    <xf numFmtId="0" fontId="91" fillId="0" borderId="111" xfId="0" applyFont="1" applyBorder="1" applyAlignment="1">
      <alignment horizontal="center" vertical="center" wrapText="1"/>
    </xf>
    <xf numFmtId="0" fontId="347" fillId="0" borderId="111" xfId="0" applyFont="1" applyBorder="1" applyAlignment="1">
      <alignment horizontal="center" vertical="center"/>
    </xf>
    <xf numFmtId="0" fontId="346" fillId="0" borderId="111" xfId="0" applyFont="1" applyBorder="1" applyAlignment="1">
      <alignment horizontal="center"/>
    </xf>
    <xf numFmtId="0" fontId="348" fillId="0" borderId="111" xfId="20951" applyFont="1" applyBorder="1" applyAlignment="1">
      <alignment horizontal="center" vertical="center" wrapText="1"/>
    </xf>
    <xf numFmtId="0" fontId="346" fillId="0" borderId="124" xfId="0" applyFont="1" applyBorder="1" applyAlignment="1">
      <alignment horizontal="center"/>
    </xf>
    <xf numFmtId="0" fontId="348" fillId="0" borderId="124" xfId="0" applyFont="1" applyBorder="1" applyAlignment="1">
      <alignment vertical="center" wrapText="1"/>
    </xf>
    <xf numFmtId="0" fontId="348" fillId="0" borderId="124" xfId="20951" applyFont="1" applyBorder="1" applyAlignment="1">
      <alignment horizontal="center" vertical="center" wrapText="1"/>
    </xf>
    <xf numFmtId="0" fontId="350" fillId="0" borderId="0" xfId="0" applyFont="1" applyAlignment="1">
      <alignment horizontal="justify"/>
    </xf>
    <xf numFmtId="0" fontId="348" fillId="0" borderId="124" xfId="0" applyFont="1" applyBorder="1" applyAlignment="1">
      <alignment horizontal="left" vertical="center" wrapText="1"/>
    </xf>
    <xf numFmtId="0" fontId="346" fillId="0" borderId="0" xfId="0" applyFont="1" applyAlignment="1">
      <alignment horizontal="center"/>
    </xf>
    <xf numFmtId="0" fontId="346" fillId="0" borderId="0" xfId="0" applyFont="1" applyAlignment="1">
      <alignment horizontal="left" vertical="center"/>
    </xf>
    <xf numFmtId="191" fontId="2" fillId="0" borderId="124" xfId="0" applyNumberFormat="1" applyFont="1" applyBorder="1" applyAlignment="1">
      <alignment horizontal="right"/>
    </xf>
    <xf numFmtId="191" fontId="2" fillId="35" borderId="124"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4" xfId="0" applyFont="1" applyBorder="1" applyAlignment="1">
      <alignment vertical="center"/>
    </xf>
    <xf numFmtId="0" fontId="45" fillId="0" borderId="124" xfId="0" applyFont="1" applyBorder="1" applyAlignment="1">
      <alignment vertical="center" wrapText="1"/>
    </xf>
    <xf numFmtId="191" fontId="91" fillId="35" borderId="190" xfId="0" applyNumberFormat="1" applyFont="1" applyFill="1" applyBorder="1" applyAlignment="1">
      <alignment horizontal="right"/>
    </xf>
    <xf numFmtId="0" fontId="348" fillId="0" borderId="190" xfId="20951" applyFont="1" applyBorder="1" applyAlignment="1">
      <alignment horizontal="left" vertical="center" wrapText="1"/>
    </xf>
    <xf numFmtId="191" fontId="91" fillId="0" borderId="190" xfId="0" applyNumberFormat="1" applyFont="1" applyBorder="1" applyAlignment="1">
      <alignment horizontal="right"/>
    </xf>
    <xf numFmtId="0" fontId="6" fillId="0" borderId="190" xfId="15"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1" fillId="3" borderId="0" xfId="0" applyFont="1" applyFill="1" applyAlignment="1" applyProtection="1">
      <alignment vertical="center"/>
      <protection locked="0"/>
    </xf>
    <xf numFmtId="0" fontId="128" fillId="3" borderId="190" xfId="4" applyFont="1" applyFill="1" applyBorder="1" applyAlignment="1" applyProtection="1">
      <alignment vertical="center" wrapText="1"/>
      <protection locked="0"/>
    </xf>
    <xf numFmtId="0" fontId="128" fillId="0" borderId="190" xfId="0" applyFont="1" applyBorder="1" applyAlignment="1" applyProtection="1">
      <alignment horizontal="center" vertical="center" wrapText="1"/>
      <protection locked="0"/>
    </xf>
    <xf numFmtId="3" fontId="128" fillId="3" borderId="190" xfId="1" applyNumberFormat="1" applyFont="1" applyFill="1" applyBorder="1" applyAlignment="1" applyProtection="1">
      <alignment horizontal="center" vertical="center" wrapText="1"/>
      <protection locked="0"/>
    </xf>
    <xf numFmtId="9" fontId="128" fillId="3" borderId="190" xfId="13" applyNumberFormat="1" applyFont="1" applyFill="1" applyBorder="1" applyAlignment="1" applyProtection="1">
      <alignment horizontal="center" vertical="center" wrapText="1"/>
      <protection locked="0"/>
    </xf>
    <xf numFmtId="0" fontId="128" fillId="3" borderId="190" xfId="0" applyFont="1" applyFill="1" applyBorder="1" applyAlignment="1" applyProtection="1">
      <alignment horizontal="center" vertical="center" wrapText="1"/>
      <protection locked="0"/>
    </xf>
    <xf numFmtId="0" fontId="351" fillId="3" borderId="190" xfId="0" applyFont="1" applyFill="1" applyBorder="1" applyProtection="1">
      <protection locked="0"/>
    </xf>
    <xf numFmtId="3" fontId="128" fillId="151" borderId="190" xfId="4" applyNumberFormat="1" applyFont="1" applyFill="1" applyBorder="1"/>
    <xf numFmtId="0" fontId="352" fillId="3" borderId="190" xfId="0" applyFont="1" applyFill="1" applyBorder="1" applyAlignment="1" applyProtection="1">
      <alignment horizontal="right"/>
      <protection locked="0"/>
    </xf>
    <xf numFmtId="359" fontId="128" fillId="151" borderId="190" xfId="4" applyNumberFormat="1" applyFont="1" applyFill="1" applyBorder="1" applyProtection="1">
      <protection locked="0"/>
    </xf>
    <xf numFmtId="164" fontId="128" fillId="151" borderId="190" xfId="1" applyNumberFormat="1" applyFont="1" applyFill="1" applyBorder="1" applyAlignment="1" applyProtection="1"/>
    <xf numFmtId="0" fontId="128" fillId="3" borderId="190" xfId="0" applyFont="1" applyFill="1" applyBorder="1" applyAlignment="1" applyProtection="1">
      <alignment horizontal="left" vertical="center"/>
      <protection locked="0"/>
    </xf>
    <xf numFmtId="3" fontId="128" fillId="3" borderId="190" xfId="4" applyNumberFormat="1" applyFont="1" applyFill="1" applyBorder="1" applyProtection="1">
      <protection locked="0"/>
    </xf>
    <xf numFmtId="0" fontId="128" fillId="3" borderId="190" xfId="4" applyFont="1" applyFill="1" applyBorder="1" applyProtection="1">
      <protection locked="0"/>
    </xf>
    <xf numFmtId="0" fontId="353" fillId="3" borderId="190" xfId="0" applyFont="1" applyFill="1" applyBorder="1" applyAlignment="1" applyProtection="1">
      <alignment horizontal="right"/>
      <protection locked="0"/>
    </xf>
    <xf numFmtId="0" fontId="128" fillId="0" borderId="190" xfId="0" applyFont="1" applyBorder="1" applyAlignment="1" applyProtection="1">
      <alignment horizontal="left" vertical="center"/>
      <protection locked="0"/>
    </xf>
    <xf numFmtId="0" fontId="351" fillId="3" borderId="190" xfId="14" applyFont="1" applyFill="1" applyBorder="1" applyProtection="1">
      <protection locked="0"/>
    </xf>
    <xf numFmtId="3" fontId="351" fillId="75" borderId="190" xfId="14" applyNumberFormat="1" applyFont="1" applyFill="1" applyBorder="1"/>
    <xf numFmtId="0" fontId="356" fillId="0" borderId="0" xfId="0" applyFont="1" applyAlignment="1" applyProtection="1">
      <alignment vertical="center"/>
      <protection locked="0"/>
    </xf>
    <xf numFmtId="0" fontId="128" fillId="0" borderId="190" xfId="0" applyFont="1" applyBorder="1" applyAlignment="1" applyProtection="1">
      <alignment horizontal="center" vertical="top" wrapText="1"/>
      <protection locked="0"/>
    </xf>
    <xf numFmtId="0" fontId="351" fillId="3" borderId="190" xfId="0" applyFont="1" applyFill="1" applyBorder="1" applyAlignment="1" applyProtection="1">
      <alignment wrapText="1"/>
      <protection locked="0"/>
    </xf>
    <xf numFmtId="3" fontId="128" fillId="0" borderId="190" xfId="4" applyNumberFormat="1" applyFont="1" applyBorder="1"/>
    <xf numFmtId="0" fontId="117" fillId="75" borderId="97" xfId="20949" applyFont="1" applyFill="1" applyBorder="1">
      <alignment vertical="center"/>
    </xf>
    <xf numFmtId="0" fontId="117" fillId="75" borderId="98" xfId="20949" applyFont="1" applyFill="1" applyBorder="1">
      <alignment vertical="center"/>
    </xf>
    <xf numFmtId="0" fontId="117" fillId="75" borderId="95" xfId="20949" applyFont="1" applyFill="1" applyBorder="1">
      <alignment vertical="center"/>
    </xf>
    <xf numFmtId="164" fontId="117" fillId="75" borderId="95" xfId="6" applyNumberFormat="1" applyFont="1" applyFill="1" applyBorder="1" applyAlignment="1">
      <alignment horizontal="right" vertical="center"/>
    </xf>
    <xf numFmtId="0" fontId="117" fillId="76" borderId="98" xfId="20949" applyFont="1" applyFill="1" applyBorder="1">
      <alignment vertical="center"/>
    </xf>
    <xf numFmtId="0" fontId="117" fillId="3" borderId="98" xfId="20949" applyFont="1" applyFill="1" applyBorder="1">
      <alignment vertical="center"/>
    </xf>
    <xf numFmtId="0" fontId="91" fillId="69" borderId="94" xfId="20949" applyFont="1" applyFill="1" applyBorder="1" applyAlignment="1">
      <alignment horizontal="center" vertical="center"/>
    </xf>
    <xf numFmtId="0" fontId="91" fillId="69" borderId="95" xfId="20949" applyFont="1" applyFill="1" applyBorder="1" applyAlignment="1">
      <alignment horizontal="left" vertical="center" wrapText="1"/>
    </xf>
    <xf numFmtId="164" fontId="91" fillId="0" borderId="96" xfId="6" applyNumberFormat="1" applyFont="1" applyFill="1" applyBorder="1" applyAlignment="1" applyProtection="1">
      <alignment horizontal="right" vertical="center"/>
      <protection locked="0"/>
    </xf>
    <xf numFmtId="0" fontId="117" fillId="76" borderId="96" xfId="20949" applyFont="1" applyFill="1" applyBorder="1" applyAlignment="1">
      <alignment horizontal="center" vertical="center"/>
    </xf>
    <xf numFmtId="0" fontId="117" fillId="76" borderId="98" xfId="20949" applyFont="1" applyFill="1" applyBorder="1" applyAlignment="1">
      <alignment vertical="top" wrapText="1"/>
    </xf>
    <xf numFmtId="0" fontId="91" fillId="69" borderId="98" xfId="20949" applyFont="1" applyFill="1" applyBorder="1" applyAlignment="1">
      <alignment vertical="center" wrapText="1"/>
    </xf>
    <xf numFmtId="0" fontId="91" fillId="69" borderId="95" xfId="20949" applyFont="1" applyFill="1" applyBorder="1" applyAlignment="1">
      <alignment horizontal="left" vertical="center"/>
    </xf>
    <xf numFmtId="0" fontId="91" fillId="3" borderId="94" xfId="20949" applyFont="1" applyFill="1" applyBorder="1" applyAlignment="1">
      <alignment horizontal="center" vertical="center"/>
    </xf>
    <xf numFmtId="164" fontId="91" fillId="76" borderId="96" xfId="6" applyNumberFormat="1" applyFont="1" applyFill="1" applyBorder="1" applyAlignment="1" applyProtection="1">
      <alignment horizontal="right" vertical="center"/>
      <protection locked="0"/>
    </xf>
    <xf numFmtId="164" fontId="91" fillId="3" borderId="96" xfId="6" applyNumberFormat="1" applyFont="1" applyFill="1" applyBorder="1" applyAlignment="1" applyProtection="1">
      <alignment horizontal="right" vertical="center"/>
      <protection locked="0"/>
    </xf>
    <xf numFmtId="0" fontId="91" fillId="69" borderId="96" xfId="20949" applyFont="1" applyFill="1" applyBorder="1" applyAlignment="1">
      <alignment horizontal="center" vertical="center"/>
    </xf>
    <xf numFmtId="0" fontId="346" fillId="0" borderId="0" xfId="0" applyFont="1" applyAlignment="1">
      <alignment wrapText="1"/>
    </xf>
    <xf numFmtId="0" fontId="103" fillId="69" borderId="197" xfId="20949" applyFont="1" applyFill="1" applyBorder="1" applyAlignment="1" applyProtection="1">
      <alignment horizontal="center" vertical="center"/>
      <protection locked="0"/>
    </xf>
    <xf numFmtId="0" fontId="104" fillId="76" borderId="190" xfId="20949" applyFont="1" applyFill="1" applyBorder="1" applyAlignment="1" applyProtection="1">
      <alignment horizontal="center" vertical="center"/>
      <protection locked="0"/>
    </xf>
    <xf numFmtId="164" fontId="346" fillId="0" borderId="124" xfId="6" applyNumberFormat="1" applyFont="1" applyBorder="1"/>
    <xf numFmtId="164" fontId="346" fillId="35" borderId="124" xfId="6" applyNumberFormat="1" applyFont="1" applyFill="1" applyBorder="1"/>
    <xf numFmtId="164" fontId="0" fillId="0" borderId="190" xfId="6" applyNumberFormat="1" applyFont="1" applyBorder="1"/>
    <xf numFmtId="164" fontId="346" fillId="0" borderId="111" xfId="6" applyNumberFormat="1" applyFont="1" applyBorder="1"/>
    <xf numFmtId="164" fontId="346" fillId="35" borderId="111" xfId="6" applyNumberFormat="1" applyFont="1" applyFill="1" applyBorder="1"/>
    <xf numFmtId="164" fontId="346" fillId="0" borderId="111" xfId="6" applyNumberFormat="1" applyFont="1" applyBorder="1" applyAlignment="1">
      <alignment vertical="center"/>
    </xf>
    <xf numFmtId="164" fontId="346" fillId="35" borderId="111" xfId="6" applyNumberFormat="1" applyFont="1" applyFill="1" applyBorder="1" applyAlignment="1">
      <alignment vertical="center"/>
    </xf>
    <xf numFmtId="164" fontId="346" fillId="0" borderId="0" xfId="0" applyNumberFormat="1" applyFont="1"/>
    <xf numFmtId="0" fontId="121" fillId="0" borderId="204" xfId="0" applyFont="1" applyBorder="1" applyAlignment="1">
      <alignment horizontal="justify" vertical="center" wrapText="1"/>
    </xf>
    <xf numFmtId="0" fontId="120" fillId="0" borderId="204" xfId="0" applyFont="1" applyBorder="1" applyAlignment="1">
      <alignment horizontal="left" vertical="center" wrapText="1" indent="1"/>
    </xf>
    <xf numFmtId="0" fontId="119" fillId="0" borderId="204" xfId="0" applyFont="1" applyBorder="1" applyAlignment="1">
      <alignment horizontal="justify" vertical="center" wrapText="1"/>
    </xf>
    <xf numFmtId="0" fontId="121" fillId="3" borderId="204" xfId="0" applyFont="1" applyFill="1" applyBorder="1" applyAlignment="1">
      <alignment horizontal="justify" vertical="center" wrapText="1"/>
    </xf>
    <xf numFmtId="0" fontId="122" fillId="0" borderId="204" xfId="0" applyFont="1" applyBorder="1" applyAlignment="1">
      <alignment horizontal="left" vertical="center" wrapText="1" indent="1"/>
    </xf>
    <xf numFmtId="0" fontId="121" fillId="0" borderId="204" xfId="0" applyFont="1" applyBorder="1" applyAlignment="1">
      <alignment horizontal="left" vertical="center" wrapText="1"/>
    </xf>
    <xf numFmtId="0" fontId="119" fillId="0" borderId="204" xfId="0" applyFont="1" applyBorder="1" applyAlignment="1">
      <alignment vertical="center" wrapText="1"/>
    </xf>
    <xf numFmtId="0" fontId="120" fillId="0" borderId="204" xfId="0" applyFont="1" applyBorder="1" applyAlignment="1">
      <alignment horizontal="left" vertical="center" wrapText="1"/>
    </xf>
    <xf numFmtId="0" fontId="121" fillId="0" borderId="204" xfId="0" applyFont="1" applyBorder="1" applyAlignment="1">
      <alignment vertical="center" wrapText="1"/>
    </xf>
    <xf numFmtId="0" fontId="121" fillId="3" borderId="204" xfId="0" applyFont="1" applyFill="1" applyBorder="1" applyAlignment="1">
      <alignment vertical="center" wrapText="1"/>
    </xf>
    <xf numFmtId="164" fontId="0" fillId="0" borderId="124" xfId="6" applyNumberFormat="1" applyFont="1" applyBorder="1"/>
    <xf numFmtId="164" fontId="0" fillId="0" borderId="0" xfId="0" applyNumberFormat="1"/>
    <xf numFmtId="164" fontId="100" fillId="0" borderId="96" xfId="6" applyNumberFormat="1" applyFont="1" applyBorder="1" applyAlignment="1">
      <alignment vertical="center" wrapText="1"/>
    </xf>
    <xf numFmtId="164" fontId="100" fillId="0" borderId="97" xfId="6" applyNumberFormat="1" applyFont="1" applyBorder="1" applyAlignment="1">
      <alignment vertical="center" wrapText="1"/>
    </xf>
    <xf numFmtId="164" fontId="100" fillId="0" borderId="84" xfId="6" applyNumberFormat="1" applyFont="1" applyBorder="1" applyAlignment="1">
      <alignment vertical="center" wrapText="1"/>
    </xf>
    <xf numFmtId="43" fontId="88" fillId="0" borderId="0" xfId="6" applyFont="1"/>
    <xf numFmtId="191" fontId="85" fillId="0" borderId="0" xfId="0" applyNumberFormat="1" applyFont="1"/>
    <xf numFmtId="43" fontId="85" fillId="0" borderId="0" xfId="6" applyFont="1"/>
    <xf numFmtId="0" fontId="2" fillId="0" borderId="87" xfId="0" applyFont="1" applyBorder="1" applyAlignment="1">
      <alignment vertical="center"/>
    </xf>
    <xf numFmtId="0" fontId="2" fillId="0" borderId="187" xfId="0" applyFont="1" applyBorder="1" applyAlignment="1">
      <alignment wrapText="1"/>
    </xf>
    <xf numFmtId="164" fontId="84" fillId="0" borderId="80" xfId="6" applyNumberFormat="1" applyFont="1" applyFill="1" applyBorder="1" applyAlignment="1">
      <alignment horizontal="center" vertical="center"/>
    </xf>
    <xf numFmtId="164" fontId="84" fillId="0" borderId="124" xfId="6" applyNumberFormat="1" applyFont="1" applyFill="1" applyBorder="1" applyAlignment="1">
      <alignment horizontal="center" vertical="center"/>
    </xf>
    <xf numFmtId="164" fontId="3" fillId="0" borderId="205" xfId="6" applyNumberFormat="1" applyFont="1" applyFill="1" applyBorder="1" applyAlignment="1">
      <alignment vertical="center" wrapText="1"/>
    </xf>
    <xf numFmtId="43" fontId="85" fillId="0" borderId="0" xfId="0" applyNumberFormat="1" applyFont="1"/>
    <xf numFmtId="191" fontId="84" fillId="0" borderId="0" xfId="0" applyNumberFormat="1" applyFont="1"/>
    <xf numFmtId="43" fontId="84" fillId="0" borderId="0" xfId="6" applyFont="1"/>
    <xf numFmtId="10" fontId="3" fillId="0" borderId="0" xfId="0" applyNumberFormat="1" applyFont="1" applyAlignment="1">
      <alignment horizontal="left" vertical="center"/>
    </xf>
    <xf numFmtId="43" fontId="3" fillId="0" borderId="0" xfId="6" applyFont="1"/>
    <xf numFmtId="43" fontId="91" fillId="0" borderId="0" xfId="6" applyFont="1"/>
    <xf numFmtId="43" fontId="3" fillId="0" borderId="0" xfId="6" applyFont="1" applyAlignment="1">
      <alignment horizontal="center" vertical="center"/>
    </xf>
    <xf numFmtId="43" fontId="3" fillId="0" borderId="0" xfId="6" applyFont="1" applyAlignment="1">
      <alignment horizontal="left" vertical="center"/>
    </xf>
    <xf numFmtId="164" fontId="86" fillId="0" borderId="31" xfId="6" applyNumberFormat="1" applyFont="1" applyBorder="1" applyAlignment="1">
      <alignment vertical="center"/>
    </xf>
    <xf numFmtId="164" fontId="84" fillId="0" borderId="11" xfId="6" applyNumberFormat="1" applyFont="1" applyBorder="1" applyAlignment="1">
      <alignment vertical="center"/>
    </xf>
    <xf numFmtId="164" fontId="86" fillId="0" borderId="11" xfId="6" applyNumberFormat="1" applyFont="1" applyBorder="1" applyAlignment="1">
      <alignment vertical="center"/>
    </xf>
    <xf numFmtId="164" fontId="87" fillId="0" borderId="11" xfId="6" applyNumberFormat="1" applyFont="1" applyBorder="1" applyAlignment="1">
      <alignment vertical="center"/>
    </xf>
    <xf numFmtId="164" fontId="84" fillId="0" borderId="12" xfId="6" applyNumberFormat="1" applyFont="1" applyBorder="1" applyAlignment="1">
      <alignment vertical="center"/>
    </xf>
    <xf numFmtId="164" fontId="86" fillId="0" borderId="13" xfId="6" applyNumberFormat="1" applyFont="1" applyBorder="1" applyAlignment="1">
      <alignment vertical="center"/>
    </xf>
    <xf numFmtId="164" fontId="86" fillId="0" borderId="14" xfId="6" applyNumberFormat="1" applyFont="1" applyBorder="1" applyAlignment="1">
      <alignment vertical="center"/>
    </xf>
    <xf numFmtId="164" fontId="86" fillId="0" borderId="12" xfId="6" applyNumberFormat="1" applyFont="1" applyBorder="1" applyAlignment="1">
      <alignment vertical="center"/>
    </xf>
    <xf numFmtId="164" fontId="87" fillId="0" borderId="12" xfId="6" applyNumberFormat="1" applyFont="1" applyBorder="1" applyAlignment="1">
      <alignment vertical="center"/>
    </xf>
    <xf numFmtId="164" fontId="84" fillId="0" borderId="124" xfId="6" applyNumberFormat="1" applyFont="1" applyBorder="1" applyAlignment="1">
      <alignment vertical="center"/>
    </xf>
    <xf numFmtId="164" fontId="86" fillId="0" borderId="124" xfId="6" applyNumberFormat="1" applyFont="1" applyBorder="1" applyAlignment="1">
      <alignment vertical="center"/>
    </xf>
    <xf numFmtId="164" fontId="84" fillId="0" borderId="124" xfId="6" applyNumberFormat="1" applyFont="1" applyBorder="1" applyAlignment="1"/>
    <xf numFmtId="164" fontId="86" fillId="0" borderId="124" xfId="6" applyNumberFormat="1" applyFont="1" applyBorder="1" applyAlignment="1"/>
    <xf numFmtId="191" fontId="3" fillId="0" borderId="0" xfId="0" applyNumberFormat="1" applyFont="1"/>
    <xf numFmtId="164" fontId="3" fillId="0" borderId="206" xfId="6" applyNumberFormat="1" applyFont="1" applyBorder="1" applyAlignment="1">
      <alignment vertical="center"/>
    </xf>
    <xf numFmtId="164" fontId="3" fillId="0" borderId="207" xfId="6" applyNumberFormat="1" applyFont="1" applyBorder="1" applyAlignment="1">
      <alignment vertical="center"/>
    </xf>
    <xf numFmtId="164" fontId="3" fillId="0" borderId="187" xfId="6" applyNumberFormat="1" applyFont="1" applyBorder="1" applyAlignment="1">
      <alignment vertical="center"/>
    </xf>
    <xf numFmtId="164" fontId="3" fillId="0" borderId="90" xfId="6" applyNumberFormat="1" applyFont="1" applyBorder="1" applyAlignment="1">
      <alignment vertical="center"/>
    </xf>
    <xf numFmtId="165" fontId="3" fillId="0" borderId="208" xfId="20948" applyNumberFormat="1" applyFont="1" applyBorder="1" applyAlignment="1">
      <alignment vertical="center"/>
    </xf>
    <xf numFmtId="3" fontId="84" fillId="0" borderId="0" xfId="0" applyNumberFormat="1" applyFont="1"/>
    <xf numFmtId="3" fontId="0" fillId="0" borderId="0" xfId="0" applyNumberFormat="1"/>
    <xf numFmtId="164" fontId="108" fillId="0" borderId="124" xfId="6" applyNumberFormat="1" applyFont="1" applyBorder="1"/>
    <xf numFmtId="164" fontId="111" fillId="0" borderId="124" xfId="6" applyNumberFormat="1" applyFont="1" applyBorder="1"/>
    <xf numFmtId="164" fontId="108" fillId="0" borderId="0" xfId="0" applyNumberFormat="1" applyFont="1"/>
    <xf numFmtId="164" fontId="107" fillId="0" borderId="124" xfId="6" applyNumberFormat="1" applyFont="1" applyBorder="1"/>
    <xf numFmtId="164" fontId="107" fillId="35" borderId="124" xfId="6" applyNumberFormat="1" applyFont="1" applyFill="1" applyBorder="1"/>
    <xf numFmtId="164" fontId="110" fillId="0" borderId="124" xfId="6" applyNumberFormat="1" applyFont="1" applyBorder="1"/>
    <xf numFmtId="43" fontId="107" fillId="0" borderId="0" xfId="0" applyNumberFormat="1" applyFont="1"/>
    <xf numFmtId="164" fontId="107" fillId="0" borderId="190" xfId="6" applyNumberFormat="1" applyFont="1" applyBorder="1"/>
    <xf numFmtId="164" fontId="107" fillId="0" borderId="0" xfId="0" applyNumberFormat="1" applyFont="1"/>
    <xf numFmtId="164" fontId="107" fillId="0" borderId="190" xfId="6" applyNumberFormat="1" applyFont="1" applyBorder="1" applyAlignment="1">
      <alignment horizontal="left" vertical="center" wrapText="1"/>
    </xf>
    <xf numFmtId="164" fontId="107" fillId="0" borderId="190" xfId="6" applyNumberFormat="1" applyFont="1" applyBorder="1" applyAlignment="1">
      <alignment horizontal="center" vertical="center" textRotation="90" wrapText="1"/>
    </xf>
    <xf numFmtId="164" fontId="107" fillId="0" borderId="190" xfId="6" applyNumberFormat="1" applyFont="1" applyBorder="1" applyAlignment="1">
      <alignment horizontal="center" vertical="center" wrapText="1"/>
    </xf>
    <xf numFmtId="164" fontId="107" fillId="0" borderId="190" xfId="6" applyNumberFormat="1" applyFont="1" applyBorder="1" applyAlignment="1">
      <alignment horizontal="center" vertical="center"/>
    </xf>
    <xf numFmtId="43" fontId="110" fillId="0" borderId="190" xfId="6" applyFont="1" applyBorder="1" applyAlignment="1">
      <alignment horizontal="left" vertical="center" wrapText="1"/>
    </xf>
    <xf numFmtId="43" fontId="128" fillId="0" borderId="0" xfId="0" applyNumberFormat="1" applyFont="1"/>
    <xf numFmtId="0" fontId="348" fillId="0" borderId="190" xfId="0" applyFont="1" applyBorder="1" applyAlignment="1">
      <alignment horizontal="left" vertical="center" wrapText="1"/>
    </xf>
    <xf numFmtId="0" fontId="91" fillId="3" borderId="190" xfId="0" applyFont="1" applyFill="1" applyBorder="1" applyAlignment="1">
      <alignment horizontal="left" vertical="center" wrapText="1" indent="1"/>
    </xf>
    <xf numFmtId="0" fontId="348" fillId="3" borderId="190" xfId="20951" applyFont="1" applyFill="1" applyBorder="1" applyAlignment="1">
      <alignment horizontal="left" vertical="center" wrapText="1"/>
    </xf>
    <xf numFmtId="0" fontId="349" fillId="3" borderId="190" xfId="0" applyFont="1" applyFill="1" applyBorder="1" applyAlignment="1">
      <alignment horizontal="left" vertical="center" wrapText="1" indent="1"/>
    </xf>
    <xf numFmtId="0" fontId="91" fillId="0" borderId="190" xfId="0" applyFont="1" applyBorder="1" applyAlignment="1">
      <alignment horizontal="left" vertical="center" wrapText="1" indent="1"/>
    </xf>
    <xf numFmtId="0" fontId="348" fillId="3" borderId="190" xfId="0" applyFont="1" applyFill="1" applyBorder="1" applyAlignment="1">
      <alignment horizontal="left" vertical="center" wrapText="1"/>
    </xf>
    <xf numFmtId="0" fontId="91" fillId="3" borderId="190" xfId="20951" applyFont="1" applyFill="1" applyBorder="1" applyAlignment="1">
      <alignment horizontal="left" vertical="center" wrapText="1" indent="1"/>
    </xf>
    <xf numFmtId="0" fontId="91" fillId="0" borderId="190" xfId="20951" applyFont="1" applyBorder="1" applyAlignment="1">
      <alignment horizontal="left" vertical="center" wrapText="1" indent="1"/>
    </xf>
    <xf numFmtId="0" fontId="117" fillId="3" borderId="190" xfId="20951" applyFont="1" applyFill="1" applyBorder="1" applyAlignment="1">
      <alignment horizontal="left" vertical="center" wrapText="1"/>
    </xf>
    <xf numFmtId="0" fontId="117" fillId="0" borderId="190" xfId="0" applyFont="1" applyBorder="1" applyAlignment="1">
      <alignment horizontal="left" vertical="center" wrapText="1"/>
    </xf>
    <xf numFmtId="0" fontId="348" fillId="0" borderId="190" xfId="0" applyFont="1" applyBorder="1" applyAlignment="1">
      <alignment vertical="center" wrapText="1"/>
    </xf>
    <xf numFmtId="0" fontId="349" fillId="0" borderId="190" xfId="0" applyFont="1" applyBorder="1" applyAlignment="1">
      <alignment horizontal="left" vertical="center" wrapText="1" indent="1"/>
    </xf>
    <xf numFmtId="0" fontId="349" fillId="0" borderId="190" xfId="20951" applyFont="1" applyBorder="1" applyAlignment="1">
      <alignment horizontal="left" vertical="center" wrapText="1" indent="1"/>
    </xf>
    <xf numFmtId="10" fontId="85" fillId="0" borderId="0" xfId="0" applyNumberFormat="1" applyFont="1"/>
    <xf numFmtId="192" fontId="0" fillId="0" borderId="0" xfId="0" applyNumberFormat="1"/>
    <xf numFmtId="0" fontId="345" fillId="0" borderId="0" xfId="0" applyFont="1"/>
    <xf numFmtId="192" fontId="345" fillId="0" borderId="0" xfId="0" applyNumberFormat="1" applyFont="1"/>
    <xf numFmtId="164" fontId="112" fillId="0" borderId="124" xfId="6" applyNumberFormat="1" applyFont="1" applyBorder="1"/>
    <xf numFmtId="43" fontId="3" fillId="0" borderId="205" xfId="6" applyFont="1" applyFill="1" applyBorder="1" applyAlignment="1">
      <alignment vertical="center" wrapText="1"/>
    </xf>
    <xf numFmtId="164" fontId="9" fillId="36" borderId="0" xfId="6" applyNumberFormat="1" applyFont="1" applyFill="1"/>
    <xf numFmtId="164" fontId="3" fillId="0" borderId="85" xfId="6" applyNumberFormat="1" applyFont="1" applyBorder="1" applyAlignment="1">
      <alignment vertical="center"/>
    </xf>
    <xf numFmtId="164" fontId="3" fillId="0" borderId="64" xfId="6" applyNumberFormat="1" applyFont="1" applyBorder="1" applyAlignment="1">
      <alignment vertical="center"/>
    </xf>
    <xf numFmtId="164" fontId="3" fillId="3" borderId="83" xfId="6" applyNumberFormat="1" applyFont="1" applyFill="1" applyBorder="1" applyAlignment="1">
      <alignment vertical="center"/>
    </xf>
    <xf numFmtId="164" fontId="3" fillId="3" borderId="84" xfId="6" applyNumberFormat="1" applyFont="1" applyFill="1" applyBorder="1" applyAlignment="1">
      <alignment vertical="center"/>
    </xf>
    <xf numFmtId="164" fontId="3" fillId="0" borderId="80" xfId="6" applyNumberFormat="1" applyFont="1" applyBorder="1" applyAlignment="1">
      <alignment vertical="center"/>
    </xf>
    <xf numFmtId="164" fontId="3" fillId="0" borderId="86" xfId="6" applyNumberFormat="1" applyFont="1" applyBorder="1" applyAlignment="1">
      <alignment vertical="center"/>
    </xf>
    <xf numFmtId="164" fontId="3" fillId="0" borderId="81" xfId="6" applyNumberFormat="1" applyFont="1" applyBorder="1" applyAlignment="1">
      <alignment vertical="center"/>
    </xf>
    <xf numFmtId="164" fontId="3" fillId="76" borderId="204" xfId="6" applyNumberFormat="1" applyFont="1" applyFill="1" applyBorder="1" applyAlignment="1">
      <alignment vertical="center"/>
    </xf>
    <xf numFmtId="164" fontId="3" fillId="76" borderId="203" xfId="6" applyNumberFormat="1" applyFont="1" applyFill="1" applyBorder="1" applyAlignment="1">
      <alignment vertical="center"/>
    </xf>
    <xf numFmtId="164" fontId="84" fillId="0" borderId="204" xfId="6" applyNumberFormat="1" applyFont="1" applyFill="1" applyBorder="1" applyAlignment="1">
      <alignment horizontal="center" vertical="center"/>
    </xf>
    <xf numFmtId="0" fontId="2" fillId="0" borderId="204" xfId="0" applyFont="1" applyBorder="1" applyAlignment="1">
      <alignment wrapText="1"/>
    </xf>
    <xf numFmtId="0" fontId="84" fillId="0" borderId="204" xfId="0" applyFont="1" applyBorder="1"/>
    <xf numFmtId="0" fontId="2" fillId="0" borderId="204" xfId="0" applyFont="1" applyBorder="1"/>
    <xf numFmtId="10" fontId="3" fillId="0" borderId="204" xfId="20948" applyNumberFormat="1" applyFont="1" applyBorder="1"/>
    <xf numFmtId="0" fontId="358" fillId="0" borderId="0" xfId="0" applyFont="1" applyAlignment="1">
      <alignment horizontal="justify"/>
    </xf>
    <xf numFmtId="10" fontId="91" fillId="2" borderId="204" xfId="20948" applyNumberFormat="1" applyFont="1" applyFill="1" applyBorder="1" applyAlignment="1" applyProtection="1">
      <alignment vertical="center"/>
      <protection locked="0"/>
    </xf>
    <xf numFmtId="10" fontId="359" fillId="2" borderId="204" xfId="20948" applyNumberFormat="1" applyFont="1" applyFill="1" applyBorder="1" applyAlignment="1" applyProtection="1">
      <alignment vertical="center"/>
      <protection locked="0"/>
    </xf>
    <xf numFmtId="10" fontId="359" fillId="2" borderId="205" xfId="20948" applyNumberFormat="1" applyFont="1" applyFill="1" applyBorder="1" applyAlignment="1" applyProtection="1">
      <alignment vertical="center"/>
      <protection locked="0"/>
    </xf>
    <xf numFmtId="10" fontId="91" fillId="2" borderId="205" xfId="20948" applyNumberFormat="1" applyFont="1" applyFill="1" applyBorder="1" applyAlignment="1" applyProtection="1">
      <alignment vertical="center"/>
      <protection locked="0"/>
    </xf>
    <xf numFmtId="191" fontId="91" fillId="2" borderId="204" xfId="0" applyNumberFormat="1" applyFont="1" applyFill="1" applyBorder="1" applyAlignment="1" applyProtection="1">
      <alignment vertical="center"/>
      <protection locked="0"/>
    </xf>
    <xf numFmtId="191" fontId="91" fillId="2" borderId="205" xfId="0" applyNumberFormat="1" applyFont="1" applyFill="1" applyBorder="1" applyAlignment="1" applyProtection="1">
      <alignment vertical="center"/>
      <protection locked="0"/>
    </xf>
    <xf numFmtId="191" fontId="359" fillId="2" borderId="204" xfId="0" applyNumberFormat="1" applyFont="1" applyFill="1" applyBorder="1" applyAlignment="1" applyProtection="1">
      <alignment vertical="center"/>
      <protection locked="0"/>
    </xf>
    <xf numFmtId="191" fontId="359" fillId="2" borderId="205" xfId="0" applyNumberFormat="1" applyFont="1" applyFill="1" applyBorder="1" applyAlignment="1" applyProtection="1">
      <alignment vertical="center"/>
      <protection locked="0"/>
    </xf>
    <xf numFmtId="191" fontId="91" fillId="2" borderId="197" xfId="0" applyNumberFormat="1" applyFont="1" applyFill="1" applyBorder="1" applyAlignment="1" applyProtection="1">
      <alignment vertical="center"/>
      <protection locked="0"/>
    </xf>
    <xf numFmtId="191" fontId="359" fillId="2" borderId="197" xfId="0" applyNumberFormat="1" applyFont="1" applyFill="1" applyBorder="1" applyAlignment="1" applyProtection="1">
      <alignment vertical="center"/>
      <protection locked="0"/>
    </xf>
    <xf numFmtId="191" fontId="359" fillId="2" borderId="90" xfId="0" applyNumberFormat="1" applyFont="1" applyFill="1" applyBorder="1" applyAlignment="1" applyProtection="1">
      <alignment vertical="center"/>
      <protection locked="0"/>
    </xf>
    <xf numFmtId="10" fontId="91" fillId="2" borderId="203" xfId="20948" applyNumberFormat="1" applyFont="1" applyFill="1" applyBorder="1" applyAlignment="1" applyProtection="1">
      <alignment vertical="center"/>
      <protection locked="0"/>
    </xf>
    <xf numFmtId="10" fontId="359" fillId="2" borderId="203" xfId="20948" applyNumberFormat="1" applyFont="1" applyFill="1" applyBorder="1" applyAlignment="1" applyProtection="1">
      <alignment vertical="center"/>
      <protection locked="0"/>
    </xf>
    <xf numFmtId="10" fontId="359" fillId="2" borderId="210" xfId="20948" applyNumberFormat="1" applyFont="1" applyFill="1" applyBorder="1" applyAlignment="1" applyProtection="1">
      <alignment vertical="center"/>
      <protection locked="0"/>
    </xf>
    <xf numFmtId="191" fontId="93" fillId="0" borderId="204" xfId="0" applyNumberFormat="1" applyFont="1" applyBorder="1" applyAlignment="1" applyProtection="1">
      <alignment vertical="center" wrapText="1"/>
      <protection locked="0"/>
    </xf>
    <xf numFmtId="191" fontId="3" fillId="0" borderId="204" xfId="0" applyNumberFormat="1" applyFont="1" applyBorder="1" applyAlignment="1" applyProtection="1">
      <alignment vertical="center" wrapText="1"/>
      <protection locked="0"/>
    </xf>
    <xf numFmtId="191" fontId="3" fillId="0" borderId="205" xfId="0" applyNumberFormat="1" applyFont="1" applyBorder="1" applyAlignment="1" applyProtection="1">
      <alignment vertical="center" wrapText="1"/>
      <protection locked="0"/>
    </xf>
    <xf numFmtId="191" fontId="93" fillId="0" borderId="204" xfId="0" applyNumberFormat="1" applyFont="1" applyBorder="1" applyAlignment="1" applyProtection="1">
      <alignment horizontal="right" vertical="center" wrapText="1"/>
      <protection locked="0"/>
    </xf>
    <xf numFmtId="10" fontId="3" fillId="0" borderId="204" xfId="20948" applyNumberFormat="1" applyFont="1" applyFill="1" applyBorder="1" applyAlignment="1" applyProtection="1">
      <alignment horizontal="right" vertical="center" wrapText="1"/>
      <protection locked="0"/>
    </xf>
    <xf numFmtId="10" fontId="3" fillId="0" borderId="204" xfId="20948" applyNumberFormat="1" applyFont="1" applyBorder="1" applyAlignment="1" applyProtection="1">
      <alignment vertical="center" wrapText="1"/>
      <protection locked="0"/>
    </xf>
    <xf numFmtId="10" fontId="3" fillId="0" borderId="205" xfId="20948" applyNumberFormat="1" applyFont="1" applyBorder="1" applyAlignment="1" applyProtection="1">
      <alignment vertical="center" wrapText="1"/>
      <protection locked="0"/>
    </xf>
    <xf numFmtId="164" fontId="0" fillId="0" borderId="204" xfId="6" applyNumberFormat="1" applyFont="1" applyBorder="1"/>
    <xf numFmtId="164" fontId="106" fillId="35" borderId="124" xfId="6" applyNumberFormat="1" applyFont="1" applyFill="1" applyBorder="1"/>
    <xf numFmtId="164" fontId="106" fillId="35" borderId="190" xfId="6" applyNumberFormat="1" applyFont="1" applyFill="1" applyBorder="1"/>
    <xf numFmtId="164" fontId="3" fillId="0" borderId="81" xfId="6" applyNumberFormat="1" applyFont="1" applyBorder="1" applyAlignment="1">
      <alignment horizontal="right" vertical="center" wrapText="1"/>
    </xf>
    <xf numFmtId="164" fontId="3" fillId="0" borderId="23" xfId="6" applyNumberFormat="1" applyFont="1" applyBorder="1" applyAlignment="1">
      <alignment horizontal="right" vertical="center" wrapText="1"/>
    </xf>
    <xf numFmtId="191" fontId="88" fillId="0" borderId="0" xfId="0" applyNumberFormat="1" applyFont="1"/>
    <xf numFmtId="43" fontId="108" fillId="0" borderId="0" xfId="0" applyNumberFormat="1" applyFont="1"/>
    <xf numFmtId="43" fontId="107" fillId="0" borderId="0" xfId="0" applyNumberFormat="1" applyFont="1" applyAlignment="1">
      <alignment horizontal="left"/>
    </xf>
    <xf numFmtId="43" fontId="112" fillId="0" borderId="0" xfId="0" applyNumberFormat="1" applyFont="1"/>
    <xf numFmtId="169" fontId="3" fillId="0" borderId="0" xfId="6" applyNumberFormat="1" applyFont="1"/>
    <xf numFmtId="165" fontId="3" fillId="0" borderId="0" xfId="6" applyNumberFormat="1" applyFont="1"/>
    <xf numFmtId="10" fontId="128" fillId="0" borderId="0" xfId="0" applyNumberFormat="1" applyFont="1"/>
    <xf numFmtId="9" fontId="128" fillId="0" borderId="0" xfId="0" applyNumberFormat="1" applyFont="1"/>
    <xf numFmtId="191" fontId="84" fillId="0" borderId="18" xfId="0" applyNumberFormat="1" applyFont="1" applyBorder="1" applyAlignment="1">
      <alignment vertical="center"/>
    </xf>
    <xf numFmtId="191" fontId="84" fillId="0" borderId="3" xfId="0" applyNumberFormat="1" applyFont="1" applyBorder="1" applyAlignment="1">
      <alignment vertical="center"/>
    </xf>
    <xf numFmtId="191" fontId="84" fillId="0" borderId="19" xfId="0" applyNumberFormat="1" applyFont="1" applyBorder="1" applyAlignment="1">
      <alignment vertical="center"/>
    </xf>
    <xf numFmtId="191" fontId="84" fillId="0" borderId="20" xfId="0" applyNumberFormat="1" applyFont="1" applyBorder="1" applyAlignment="1">
      <alignment vertical="center"/>
    </xf>
    <xf numFmtId="191" fontId="84" fillId="35" borderId="52" xfId="0" applyNumberFormat="1" applyFont="1" applyFill="1" applyBorder="1" applyAlignment="1">
      <alignment vertical="center"/>
    </xf>
    <xf numFmtId="0" fontId="88" fillId="0" borderId="0" xfId="0" applyFont="1" applyAlignment="1">
      <alignment vertical="center"/>
    </xf>
    <xf numFmtId="0" fontId="45" fillId="3" borderId="23" xfId="14" applyFont="1" applyFill="1" applyBorder="1" applyAlignment="1" applyProtection="1">
      <alignment vertical="center"/>
      <protection locked="0"/>
    </xf>
    <xf numFmtId="191" fontId="84" fillId="35" borderId="21" xfId="0" applyNumberFormat="1" applyFont="1" applyFill="1" applyBorder="1" applyAlignment="1">
      <alignment vertical="center"/>
    </xf>
    <xf numFmtId="191" fontId="84" fillId="35" borderId="22" xfId="0" applyNumberFormat="1" applyFont="1" applyFill="1" applyBorder="1" applyAlignment="1">
      <alignment vertical="center"/>
    </xf>
    <xf numFmtId="191" fontId="84" fillId="35" borderId="23" xfId="0" applyNumberFormat="1" applyFont="1" applyFill="1" applyBorder="1" applyAlignment="1">
      <alignment vertical="center"/>
    </xf>
    <xf numFmtId="191" fontId="84" fillId="35" borderId="53" xfId="0" applyNumberFormat="1" applyFont="1" applyFill="1" applyBorder="1" applyAlignment="1">
      <alignment vertical="center"/>
    </xf>
    <xf numFmtId="0" fontId="110" fillId="0" borderId="124" xfId="0" applyFont="1" applyBorder="1" applyAlignment="1">
      <alignment vertical="center"/>
    </xf>
    <xf numFmtId="43" fontId="110" fillId="0" borderId="190" xfId="6" applyFont="1" applyBorder="1" applyAlignment="1">
      <alignment vertical="center"/>
    </xf>
    <xf numFmtId="0" fontId="107" fillId="0" borderId="0" xfId="0" applyFont="1" applyAlignment="1">
      <alignment vertical="center"/>
    </xf>
    <xf numFmtId="0" fontId="107" fillId="0" borderId="124" xfId="0" applyFont="1" applyBorder="1" applyAlignment="1">
      <alignment vertical="center"/>
    </xf>
    <xf numFmtId="0" fontId="107" fillId="0" borderId="124" xfId="0" applyFont="1" applyBorder="1" applyAlignment="1">
      <alignment horizontal="left" vertical="center"/>
    </xf>
    <xf numFmtId="0" fontId="107" fillId="0" borderId="190" xfId="0" applyFont="1" applyBorder="1" applyAlignment="1">
      <alignment horizontal="left" vertical="center"/>
    </xf>
    <xf numFmtId="0" fontId="107" fillId="0" borderId="190" xfId="0" applyFont="1" applyBorder="1" applyAlignment="1">
      <alignment vertical="center"/>
    </xf>
    <xf numFmtId="43" fontId="107" fillId="0" borderId="190" xfId="6" applyFont="1" applyBorder="1" applyAlignment="1">
      <alignment vertical="center"/>
    </xf>
    <xf numFmtId="43" fontId="107" fillId="0" borderId="190" xfId="6" applyFont="1" applyFill="1" applyBorder="1" applyAlignment="1">
      <alignment horizontal="left" vertical="center"/>
    </xf>
    <xf numFmtId="43" fontId="107" fillId="0" borderId="190" xfId="6" applyFont="1" applyFill="1" applyBorder="1" applyAlignment="1">
      <alignment vertical="center"/>
    </xf>
    <xf numFmtId="43" fontId="107" fillId="0" borderId="190" xfId="6" applyFont="1" applyBorder="1" applyAlignment="1">
      <alignment horizontal="left" vertical="center"/>
    </xf>
    <xf numFmtId="43" fontId="110" fillId="151" borderId="190" xfId="6" applyFont="1" applyFill="1" applyBorder="1" applyAlignment="1">
      <alignment vertical="center"/>
    </xf>
    <xf numFmtId="0" fontId="107" fillId="0" borderId="67" xfId="0" applyFont="1" applyBorder="1" applyAlignment="1">
      <alignment vertical="center"/>
    </xf>
    <xf numFmtId="0" fontId="110" fillId="0" borderId="64" xfId="0" applyFont="1" applyBorder="1" applyAlignment="1">
      <alignment vertical="center"/>
    </xf>
    <xf numFmtId="164" fontId="110" fillId="0" borderId="67" xfId="6" applyNumberFormat="1" applyFont="1" applyBorder="1" applyAlignment="1">
      <alignment vertical="center"/>
    </xf>
    <xf numFmtId="164" fontId="107" fillId="0" borderId="190" xfId="6" applyNumberFormat="1" applyFont="1" applyBorder="1" applyAlignment="1">
      <alignment vertical="center"/>
    </xf>
    <xf numFmtId="164" fontId="107" fillId="0" borderId="81" xfId="6" applyNumberFormat="1" applyFont="1" applyBorder="1" applyAlignment="1">
      <alignment vertical="center"/>
    </xf>
    <xf numFmtId="164" fontId="107" fillId="0" borderId="0" xfId="0" applyNumberFormat="1" applyFont="1" applyAlignment="1">
      <alignment vertical="center"/>
    </xf>
    <xf numFmtId="0" fontId="107" fillId="0" borderId="18" xfId="0" applyFont="1" applyBorder="1" applyAlignment="1">
      <alignment horizontal="left" vertical="center"/>
    </xf>
    <xf numFmtId="0" fontId="107" fillId="0" borderId="81" xfId="0" applyFont="1" applyBorder="1" applyAlignment="1">
      <alignment horizontal="left" vertical="center"/>
    </xf>
    <xf numFmtId="164" fontId="107" fillId="0" borderId="184" xfId="6" applyNumberFormat="1" applyFont="1" applyBorder="1" applyAlignment="1">
      <alignment horizontal="left" vertical="center"/>
    </xf>
    <xf numFmtId="49" fontId="107" fillId="0" borderId="18" xfId="0" applyNumberFormat="1" applyFont="1" applyBorder="1" applyAlignment="1">
      <alignment horizontal="left" vertical="center"/>
    </xf>
    <xf numFmtId="49" fontId="107" fillId="0" borderId="81" xfId="0" applyNumberFormat="1" applyFont="1" applyBorder="1" applyAlignment="1">
      <alignment horizontal="left" vertical="center"/>
    </xf>
    <xf numFmtId="164" fontId="107" fillId="78" borderId="184" xfId="6" applyNumberFormat="1" applyFont="1" applyFill="1" applyBorder="1" applyAlignment="1">
      <alignment vertical="center"/>
    </xf>
    <xf numFmtId="164" fontId="107" fillId="78" borderId="190" xfId="6" applyNumberFormat="1" applyFont="1" applyFill="1" applyBorder="1" applyAlignment="1">
      <alignment vertical="center"/>
    </xf>
    <xf numFmtId="164" fontId="107" fillId="78" borderId="81" xfId="6" applyNumberFormat="1" applyFont="1" applyFill="1" applyBorder="1" applyAlignment="1">
      <alignment vertical="center"/>
    </xf>
    <xf numFmtId="49" fontId="107" fillId="0" borderId="18" xfId="0" applyNumberFormat="1" applyFont="1" applyBorder="1" applyAlignment="1">
      <alignment horizontal="left" vertical="center" wrapText="1"/>
    </xf>
    <xf numFmtId="49" fontId="107" fillId="0" borderId="81" xfId="0" applyNumberFormat="1" applyFont="1" applyBorder="1" applyAlignment="1">
      <alignment horizontal="left" vertical="center" wrapText="1"/>
    </xf>
    <xf numFmtId="164" fontId="107" fillId="0" borderId="184" xfId="6" applyNumberFormat="1" applyFont="1" applyFill="1" applyBorder="1" applyAlignment="1">
      <alignment horizontal="left" vertical="center" wrapText="1"/>
    </xf>
    <xf numFmtId="164" fontId="107" fillId="0" borderId="184" xfId="6" applyNumberFormat="1" applyFont="1" applyBorder="1" applyAlignment="1">
      <alignment horizontal="left" vertical="center" wrapText="1"/>
    </xf>
    <xf numFmtId="0" fontId="107" fillId="0" borderId="18" xfId="0" applyFont="1" applyBorder="1" applyAlignment="1">
      <alignment horizontal="left" vertical="center" wrapText="1"/>
    </xf>
    <xf numFmtId="0" fontId="107" fillId="0" borderId="21" xfId="0" applyFont="1" applyBorder="1" applyAlignment="1">
      <alignment horizontal="left" vertical="center" wrapText="1"/>
    </xf>
    <xf numFmtId="49" fontId="107" fillId="0" borderId="23" xfId="0" applyNumberFormat="1" applyFont="1" applyBorder="1" applyAlignment="1">
      <alignment horizontal="left" vertical="center" wrapText="1"/>
    </xf>
    <xf numFmtId="164" fontId="107" fillId="0" borderId="209" xfId="6" applyNumberFormat="1" applyFont="1" applyBorder="1" applyAlignment="1">
      <alignment horizontal="left" vertical="center" wrapText="1"/>
    </xf>
    <xf numFmtId="164" fontId="107" fillId="0" borderId="203" xfId="6" applyNumberFormat="1" applyFont="1" applyBorder="1" applyAlignment="1">
      <alignment vertical="center"/>
    </xf>
    <xf numFmtId="164" fontId="107" fillId="0" borderId="210" xfId="6" applyNumberFormat="1" applyFont="1" applyBorder="1" applyAlignment="1">
      <alignment vertical="center"/>
    </xf>
    <xf numFmtId="0" fontId="128" fillId="0" borderId="124" xfId="0" applyFont="1" applyBorder="1" applyAlignment="1">
      <alignment horizontal="left" vertical="center"/>
    </xf>
    <xf numFmtId="43" fontId="112" fillId="0" borderId="190" xfId="6" applyFont="1" applyBorder="1" applyAlignment="1">
      <alignment vertical="center"/>
    </xf>
    <xf numFmtId="0" fontId="112" fillId="0" borderId="190" xfId="0" applyFont="1" applyBorder="1" applyAlignment="1">
      <alignment vertical="center"/>
    </xf>
    <xf numFmtId="10" fontId="112" fillId="0" borderId="190" xfId="20948" applyNumberFormat="1" applyFont="1" applyBorder="1" applyAlignment="1">
      <alignment vertical="center"/>
    </xf>
    <xf numFmtId="2" fontId="112" fillId="0" borderId="190" xfId="20948" applyNumberFormat="1" applyFont="1" applyBorder="1" applyAlignment="1">
      <alignment vertical="center"/>
    </xf>
    <xf numFmtId="0" fontId="128" fillId="0" borderId="0" xfId="0" applyFont="1" applyAlignment="1">
      <alignment vertical="center"/>
    </xf>
    <xf numFmtId="0" fontId="107" fillId="0" borderId="119" xfId="0" applyFont="1" applyBorder="1" applyAlignment="1">
      <alignment horizontal="left" vertical="center" wrapText="1" readingOrder="1"/>
    </xf>
    <xf numFmtId="0" fontId="128" fillId="0" borderId="128" xfId="0" applyFont="1" applyBorder="1" applyAlignment="1">
      <alignment horizontal="left" vertical="center"/>
    </xf>
    <xf numFmtId="43" fontId="112" fillId="0" borderId="197" xfId="6" applyFont="1" applyBorder="1" applyAlignment="1">
      <alignment vertical="center"/>
    </xf>
    <xf numFmtId="0" fontId="112" fillId="0" borderId="197" xfId="0" applyFont="1" applyBorder="1" applyAlignment="1">
      <alignment vertical="center"/>
    </xf>
    <xf numFmtId="2" fontId="112" fillId="0" borderId="197" xfId="20948" applyNumberFormat="1" applyFont="1" applyBorder="1" applyAlignment="1">
      <alignment vertical="center"/>
    </xf>
    <xf numFmtId="2" fontId="112" fillId="0" borderId="190" xfId="0" applyNumberFormat="1" applyFont="1" applyBorder="1" applyAlignment="1">
      <alignment vertical="center"/>
    </xf>
    <xf numFmtId="43" fontId="2" fillId="0" borderId="124" xfId="6" applyFont="1" applyBorder="1" applyAlignment="1">
      <alignment horizontal="right"/>
    </xf>
    <xf numFmtId="43" fontId="346" fillId="0" borderId="0" xfId="6" applyFont="1"/>
    <xf numFmtId="0" fontId="2" fillId="0" borderId="3" xfId="0" applyFont="1" applyBorder="1" applyAlignment="1" applyProtection="1">
      <alignment horizontal="left" vertical="center" wrapText="1" indent="2"/>
      <protection locked="0"/>
    </xf>
    <xf numFmtId="10" fontId="93" fillId="0" borderId="204" xfId="20948" applyNumberFormat="1" applyFont="1" applyFill="1" applyBorder="1" applyAlignment="1">
      <alignment horizontal="left" vertical="center" wrapText="1"/>
    </xf>
    <xf numFmtId="10" fontId="3" fillId="0" borderId="204" xfId="20948" applyNumberFormat="1" applyFont="1" applyFill="1" applyBorder="1" applyAlignment="1">
      <alignment horizontal="left" vertical="center" wrapText="1"/>
    </xf>
    <xf numFmtId="10" fontId="97" fillId="0" borderId="204" xfId="20948" applyNumberFormat="1" applyFont="1" applyFill="1" applyBorder="1" applyAlignment="1">
      <alignment horizontal="left" vertical="center" wrapText="1"/>
    </xf>
    <xf numFmtId="43" fontId="345" fillId="0" borderId="0" xfId="6" applyFont="1"/>
    <xf numFmtId="191" fontId="84" fillId="0" borderId="0" xfId="0" applyNumberFormat="1" applyFont="1" applyAlignment="1">
      <alignment horizontal="center" vertical="center" wrapText="1"/>
    </xf>
    <xf numFmtId="3" fontId="360" fillId="3" borderId="204" xfId="4" applyNumberFormat="1" applyFont="1" applyFill="1" applyBorder="1"/>
    <xf numFmtId="3" fontId="128" fillId="3" borderId="204" xfId="4" applyNumberFormat="1" applyFont="1" applyFill="1" applyBorder="1" applyProtection="1">
      <protection locked="0"/>
    </xf>
    <xf numFmtId="3" fontId="88" fillId="0" borderId="0" xfId="0" applyNumberFormat="1" applyFont="1"/>
    <xf numFmtId="10" fontId="102" fillId="76" borderId="190" xfId="20948" applyNumberFormat="1" applyFont="1" applyFill="1" applyBorder="1" applyAlignment="1" applyProtection="1">
      <alignment horizontal="right" vertical="center"/>
    </xf>
    <xf numFmtId="10" fontId="112" fillId="0" borderId="197" xfId="20948" applyNumberFormat="1" applyFont="1" applyBorder="1" applyAlignment="1">
      <alignment vertical="center"/>
    </xf>
    <xf numFmtId="164" fontId="3" fillId="0" borderId="0" xfId="0" applyNumberFormat="1" applyFont="1"/>
    <xf numFmtId="0" fontId="90" fillId="0" borderId="66" xfId="0" applyFont="1" applyBorder="1" applyAlignment="1">
      <alignment horizontal="left" wrapText="1"/>
    </xf>
    <xf numFmtId="0" fontId="90" fillId="0" borderId="65" xfId="0" applyFont="1" applyBorder="1" applyAlignment="1">
      <alignment horizontal="left" wrapText="1"/>
    </xf>
    <xf numFmtId="0" fontId="90" fillId="0" borderId="130" xfId="0" applyFont="1" applyBorder="1" applyAlignment="1">
      <alignment horizontal="center" vertical="center"/>
    </xf>
    <xf numFmtId="0" fontId="90" fillId="0" borderId="30" xfId="0" applyFont="1" applyBorder="1" applyAlignment="1">
      <alignment horizontal="center" vertical="center"/>
    </xf>
    <xf numFmtId="0" fontId="90" fillId="0" borderId="131" xfId="0" applyFont="1" applyBorder="1" applyAlignment="1">
      <alignment horizontal="center" vertical="center"/>
    </xf>
    <xf numFmtId="164" fontId="346" fillId="0" borderId="125" xfId="6" applyNumberFormat="1" applyFont="1" applyBorder="1" applyAlignment="1">
      <alignment horizontal="center"/>
    </xf>
    <xf numFmtId="164" fontId="346" fillId="0" borderId="126" xfId="6" applyNumberFormat="1" applyFont="1" applyBorder="1" applyAlignment="1">
      <alignment horizontal="center"/>
    </xf>
    <xf numFmtId="164" fontId="346" fillId="0" borderId="127" xfId="6" applyNumberFormat="1" applyFont="1" applyBorder="1" applyAlignment="1">
      <alignment horizontal="center"/>
    </xf>
    <xf numFmtId="0" fontId="346" fillId="0" borderId="111" xfId="0" applyFont="1" applyBorder="1" applyAlignment="1">
      <alignment horizontal="center" vertical="center"/>
    </xf>
    <xf numFmtId="0" fontId="347" fillId="0" borderId="112" xfId="0" applyFont="1" applyBorder="1" applyAlignment="1">
      <alignment horizontal="center" vertical="center"/>
    </xf>
    <xf numFmtId="0" fontId="347" fillId="0" borderId="7" xfId="0" applyFont="1" applyBorder="1" applyAlignment="1">
      <alignment horizontal="center" vertical="center"/>
    </xf>
    <xf numFmtId="0" fontId="117" fillId="0" borderId="16" xfId="0" applyFont="1" applyBorder="1" applyAlignment="1">
      <alignment horizontal="center" vertical="center"/>
    </xf>
    <xf numFmtId="0" fontId="117" fillId="0" borderId="17" xfId="0" applyFont="1" applyBorder="1" applyAlignment="1">
      <alignment horizontal="center" vertical="center"/>
    </xf>
    <xf numFmtId="0" fontId="346" fillId="0" borderId="113" xfId="0" applyFont="1" applyBorder="1" applyAlignment="1">
      <alignment horizontal="center"/>
    </xf>
    <xf numFmtId="0" fontId="346" fillId="0" borderId="114" xfId="0" applyFont="1" applyBorder="1" applyAlignment="1">
      <alignment horizontal="center"/>
    </xf>
    <xf numFmtId="0" fontId="346" fillId="0" borderId="115" xfId="0" applyFont="1" applyBorder="1" applyAlignment="1">
      <alignment horizontal="center"/>
    </xf>
    <xf numFmtId="164" fontId="346" fillId="0" borderId="113" xfId="6" applyNumberFormat="1" applyFont="1" applyBorder="1" applyAlignment="1">
      <alignment horizontal="center"/>
    </xf>
    <xf numFmtId="164" fontId="346" fillId="0" borderId="114" xfId="6" applyNumberFormat="1" applyFont="1" applyBorder="1" applyAlignment="1">
      <alignment horizontal="center"/>
    </xf>
    <xf numFmtId="164" fontId="346" fillId="0" borderId="115" xfId="6"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6" fillId="0" borderId="128" xfId="0" applyFont="1" applyBorder="1" applyAlignment="1">
      <alignment horizontal="center" vertical="center" wrapText="1"/>
    </xf>
    <xf numFmtId="0" fontId="116" fillId="0" borderId="7" xfId="0" applyFont="1" applyBorder="1" applyAlignment="1">
      <alignment horizontal="center" vertical="center" wrapText="1"/>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0" applyFont="1" applyBorder="1" applyAlignment="1">
      <alignment horizontal="center" vertical="center" wrapText="1"/>
    </xf>
    <xf numFmtId="0" fontId="45" fillId="0" borderId="81" xfId="10" applyFont="1" applyBorder="1" applyAlignment="1">
      <alignment horizontal="center" vertical="center" wrapText="1"/>
    </xf>
    <xf numFmtId="0" fontId="45" fillId="0" borderId="70"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5" fillId="3" borderId="71" xfId="0" applyFont="1" applyFill="1" applyBorder="1" applyAlignment="1" applyProtection="1">
      <alignment horizontal="center" vertical="center" wrapText="1"/>
      <protection locked="0"/>
    </xf>
    <xf numFmtId="0" fontId="95" fillId="3" borderId="64"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6" fillId="0" borderId="54" xfId="0" applyFont="1" applyBorder="1" applyAlignment="1">
      <alignment horizontal="left" vertical="center"/>
    </xf>
    <xf numFmtId="0" fontId="96"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0" fillId="0" borderId="101" xfId="0" applyFont="1" applyBorder="1" applyAlignment="1">
      <alignment horizontal="left" vertical="center" wrapText="1"/>
    </xf>
    <xf numFmtId="0" fontId="110" fillId="0" borderId="102" xfId="0" applyFont="1" applyBorder="1" applyAlignment="1">
      <alignment horizontal="left" vertical="center" wrapText="1"/>
    </xf>
    <xf numFmtId="0" fontId="110" fillId="0" borderId="106" xfId="0" applyFont="1" applyBorder="1" applyAlignment="1">
      <alignment horizontal="left" vertical="center" wrapText="1"/>
    </xf>
    <xf numFmtId="0" fontId="110" fillId="0" borderId="107" xfId="0" applyFont="1" applyBorder="1" applyAlignment="1">
      <alignment horizontal="left" vertical="center" wrapText="1"/>
    </xf>
    <xf numFmtId="0" fontId="110" fillId="0" borderId="109" xfId="0" applyFont="1" applyBorder="1" applyAlignment="1">
      <alignment horizontal="left" vertical="center" wrapText="1"/>
    </xf>
    <xf numFmtId="0" fontId="110" fillId="0" borderId="110" xfId="0" applyFont="1" applyBorder="1" applyAlignment="1">
      <alignment horizontal="left" vertical="center" wrapText="1"/>
    </xf>
    <xf numFmtId="0" fontId="111" fillId="0" borderId="103" xfId="0" applyFont="1" applyBorder="1" applyAlignment="1">
      <alignment horizontal="center" vertical="center" wrapText="1"/>
    </xf>
    <xf numFmtId="0" fontId="111" fillId="0" borderId="104" xfId="0" applyFont="1" applyBorder="1" applyAlignment="1">
      <alignment horizontal="center" vertical="center" wrapText="1"/>
    </xf>
    <xf numFmtId="0" fontId="111" fillId="0" borderId="105"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5"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7" xfId="0" applyFont="1" applyBorder="1" applyAlignment="1">
      <alignment horizontal="center" vertical="center" wrapText="1"/>
    </xf>
    <xf numFmtId="0" fontId="107" fillId="0" borderId="124" xfId="0" applyFont="1" applyBorder="1" applyAlignment="1">
      <alignment horizontal="center" vertical="center" wrapText="1"/>
    </xf>
    <xf numFmtId="0" fontId="115" fillId="0" borderId="124" xfId="0" applyFont="1" applyBorder="1" applyAlignment="1">
      <alignment horizontal="center" vertical="center"/>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1" fillId="0" borderId="124" xfId="0" applyFont="1" applyBorder="1" applyAlignment="1">
      <alignment horizontal="center" vertical="center" wrapText="1"/>
    </xf>
    <xf numFmtId="0" fontId="107" fillId="0" borderId="127"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105" xfId="0" applyFont="1" applyBorder="1" applyAlignment="1">
      <alignment horizontal="center" vertical="center" wrapText="1"/>
    </xf>
    <xf numFmtId="0" fontId="110" fillId="0" borderId="70"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85" xfId="0" applyFont="1" applyBorder="1" applyAlignment="1">
      <alignment horizontal="center" vertical="center" wrapText="1"/>
    </xf>
    <xf numFmtId="0" fontId="110" fillId="0" borderId="75" xfId="0" applyFont="1" applyBorder="1" applyAlignment="1">
      <alignment horizontal="center" vertical="center" wrapText="1"/>
    </xf>
    <xf numFmtId="0" fontId="107" fillId="0" borderId="125" xfId="0" applyFont="1" applyBorder="1" applyAlignment="1">
      <alignment horizontal="center" vertical="center" wrapText="1"/>
    </xf>
    <xf numFmtId="0" fontId="107" fillId="0" borderId="126"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 xfId="0" applyFont="1" applyBorder="1" applyAlignment="1">
      <alignment horizontal="center" vertical="center" wrapText="1"/>
    </xf>
    <xf numFmtId="0" fontId="107" fillId="0" borderId="76" xfId="0" applyFont="1" applyBorder="1" applyAlignment="1">
      <alignment horizontal="center" vertical="center" wrapText="1"/>
    </xf>
    <xf numFmtId="0" fontId="107" fillId="0" borderId="75" xfId="0" applyFont="1" applyBorder="1" applyAlignment="1">
      <alignment horizontal="center" vertical="center" wrapText="1"/>
    </xf>
    <xf numFmtId="0" fontId="110" fillId="0" borderId="54" xfId="0" applyFont="1" applyBorder="1" applyAlignment="1">
      <alignment horizontal="left" vertical="top" wrapText="1"/>
    </xf>
    <xf numFmtId="0" fontId="110" fillId="0" borderId="77" xfId="0" applyFont="1" applyBorder="1" applyAlignment="1">
      <alignment horizontal="left" vertical="top" wrapText="1"/>
    </xf>
    <xf numFmtId="0" fontId="110" fillId="0" borderId="63" xfId="0" applyFont="1" applyBorder="1" applyAlignment="1">
      <alignment horizontal="left" vertical="top" wrapText="1"/>
    </xf>
    <xf numFmtId="0" fontId="110" fillId="0" borderId="93" xfId="0" applyFont="1" applyBorder="1" applyAlignment="1">
      <alignment horizontal="left" vertical="top" wrapText="1"/>
    </xf>
    <xf numFmtId="0" fontId="110" fillId="0" borderId="100" xfId="0" applyFont="1" applyBorder="1" applyAlignment="1">
      <alignment horizontal="left" vertical="top" wrapText="1"/>
    </xf>
    <xf numFmtId="0" fontId="110" fillId="0" borderId="129" xfId="0" applyFont="1" applyBorder="1" applyAlignment="1">
      <alignment horizontal="left" vertical="top" wrapText="1"/>
    </xf>
    <xf numFmtId="0" fontId="110" fillId="0" borderId="87" xfId="0" applyFont="1" applyBorder="1" applyAlignment="1">
      <alignment horizontal="center" vertical="center" wrapText="1"/>
    </xf>
    <xf numFmtId="0" fontId="110" fillId="0" borderId="67" xfId="0" applyFont="1" applyBorder="1" applyAlignment="1">
      <alignment horizontal="center" vertical="center" wrapText="1"/>
    </xf>
    <xf numFmtId="0" fontId="107" fillId="0" borderId="64" xfId="0" applyFont="1" applyBorder="1" applyAlignment="1">
      <alignment horizontal="center" vertical="center" wrapText="1"/>
    </xf>
    <xf numFmtId="0" fontId="107" fillId="0" borderId="69" xfId="0" applyFont="1" applyBorder="1" applyAlignment="1">
      <alignment horizontal="center" vertical="center" wrapText="1"/>
    </xf>
    <xf numFmtId="0" fontId="107" fillId="0" borderId="27" xfId="0" applyFont="1" applyBorder="1" applyAlignment="1">
      <alignment horizontal="center" vertical="center" wrapText="1"/>
    </xf>
    <xf numFmtId="0" fontId="107" fillId="0" borderId="28" xfId="0" applyFont="1" applyBorder="1" applyAlignment="1">
      <alignment horizontal="center" vertical="center" wrapText="1"/>
    </xf>
    <xf numFmtId="0" fontId="107" fillId="0" borderId="103" xfId="0" applyFont="1" applyBorder="1" applyAlignment="1">
      <alignment horizontal="center" vertical="top" wrapText="1"/>
    </xf>
    <xf numFmtId="0" fontId="107" fillId="0" borderId="104" xfId="0" applyFont="1" applyBorder="1" applyAlignment="1">
      <alignment horizontal="center" vertical="top" wrapText="1"/>
    </xf>
    <xf numFmtId="0" fontId="107" fillId="0" borderId="126" xfId="0" applyFont="1" applyBorder="1" applyAlignment="1">
      <alignment horizontal="center" vertical="top" wrapText="1"/>
    </xf>
    <xf numFmtId="0" fontId="107" fillId="0" borderId="127" xfId="0" applyFont="1" applyBorder="1" applyAlignment="1">
      <alignment horizontal="center" vertical="top" wrapText="1"/>
    </xf>
    <xf numFmtId="0" fontId="127" fillId="0" borderId="116" xfId="0" applyFont="1" applyBorder="1" applyAlignment="1">
      <alignment horizontal="left" vertical="top" wrapText="1"/>
    </xf>
    <xf numFmtId="0" fontId="127" fillId="0" borderId="117" xfId="0" applyFont="1" applyBorder="1" applyAlignment="1">
      <alignment horizontal="left" vertical="top" wrapText="1"/>
    </xf>
    <xf numFmtId="0" fontId="113" fillId="0" borderId="103" xfId="0" applyFont="1" applyBorder="1" applyAlignment="1">
      <alignment horizontal="center" vertical="center"/>
    </xf>
    <xf numFmtId="0" fontId="113" fillId="0" borderId="105" xfId="0" applyFont="1" applyBorder="1" applyAlignment="1">
      <alignment horizontal="center" vertical="center"/>
    </xf>
    <xf numFmtId="0" fontId="113" fillId="0" borderId="85" xfId="0" applyFont="1" applyBorder="1" applyAlignment="1">
      <alignment horizontal="center" vertical="center"/>
    </xf>
    <xf numFmtId="0" fontId="113" fillId="0" borderId="75" xfId="0" applyFont="1" applyBorder="1" applyAlignment="1">
      <alignment horizontal="center" vertical="center"/>
    </xf>
    <xf numFmtId="0" fontId="112" fillId="0" borderId="124" xfId="0" applyFont="1" applyBorder="1" applyAlignment="1">
      <alignment horizontal="center" vertical="center" wrapText="1"/>
    </xf>
    <xf numFmtId="0" fontId="112" fillId="0" borderId="128" xfId="0" applyFont="1" applyBorder="1" applyAlignment="1">
      <alignment horizontal="center" vertical="center"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42" sqref="B42"/>
    </sheetView>
  </sheetViews>
  <sheetFormatPr defaultColWidth="9.21875" defaultRowHeight="13.8"/>
  <cols>
    <col min="1" max="1" width="10.21875" style="5" customWidth="1"/>
    <col min="2" max="2" width="138.33203125" style="6" bestFit="1" customWidth="1"/>
    <col min="3" max="3" width="39.44140625" style="6" customWidth="1"/>
    <col min="4" max="6" width="9.21875" style="6"/>
    <col min="7" max="7" width="25" style="6" customWidth="1"/>
    <col min="8" max="16384" width="9.21875" style="6"/>
  </cols>
  <sheetData>
    <row r="1" spans="1:3">
      <c r="A1" s="97"/>
      <c r="B1" s="103" t="s">
        <v>209</v>
      </c>
      <c r="C1" s="97"/>
    </row>
    <row r="2" spans="1:3">
      <c r="A2" s="104">
        <v>1</v>
      </c>
      <c r="B2" s="215" t="s">
        <v>210</v>
      </c>
      <c r="C2" s="41" t="s">
        <v>752</v>
      </c>
    </row>
    <row r="3" spans="1:3">
      <c r="A3" s="104">
        <v>2</v>
      </c>
      <c r="B3" s="216" t="s">
        <v>206</v>
      </c>
      <c r="C3" s="41" t="s">
        <v>753</v>
      </c>
    </row>
    <row r="4" spans="1:3">
      <c r="A4" s="104">
        <v>3</v>
      </c>
      <c r="B4" s="217" t="s">
        <v>211</v>
      </c>
      <c r="C4" s="41" t="s">
        <v>754</v>
      </c>
    </row>
    <row r="5" spans="1:3">
      <c r="A5" s="105">
        <v>4</v>
      </c>
      <c r="B5" s="218" t="s">
        <v>207</v>
      </c>
      <c r="C5" s="41" t="s">
        <v>755</v>
      </c>
    </row>
    <row r="6" spans="1:3" s="106" customFormat="1" ht="45.75" customHeight="1">
      <c r="A6" s="727" t="s">
        <v>283</v>
      </c>
      <c r="B6" s="728"/>
      <c r="C6" s="728"/>
    </row>
    <row r="7" spans="1:3">
      <c r="A7" s="107" t="s">
        <v>29</v>
      </c>
      <c r="B7" s="103" t="s">
        <v>208</v>
      </c>
    </row>
    <row r="8" spans="1:3">
      <c r="A8" s="97">
        <v>1</v>
      </c>
      <c r="B8" s="136" t="s">
        <v>20</v>
      </c>
    </row>
    <row r="9" spans="1:3">
      <c r="A9" s="97">
        <v>2</v>
      </c>
      <c r="B9" s="137" t="s">
        <v>21</v>
      </c>
    </row>
    <row r="10" spans="1:3">
      <c r="A10" s="97">
        <v>3</v>
      </c>
      <c r="B10" s="137" t="s">
        <v>22</v>
      </c>
    </row>
    <row r="11" spans="1:3">
      <c r="A11" s="97">
        <v>4</v>
      </c>
      <c r="B11" s="137" t="s">
        <v>23</v>
      </c>
    </row>
    <row r="12" spans="1:3">
      <c r="A12" s="97">
        <v>5</v>
      </c>
      <c r="B12" s="137" t="s">
        <v>24</v>
      </c>
    </row>
    <row r="13" spans="1:3">
      <c r="A13" s="97">
        <v>6</v>
      </c>
      <c r="B13" s="138" t="s">
        <v>218</v>
      </c>
    </row>
    <row r="14" spans="1:3">
      <c r="A14" s="97">
        <v>7</v>
      </c>
      <c r="B14" s="137" t="s">
        <v>212</v>
      </c>
    </row>
    <row r="15" spans="1:3">
      <c r="A15" s="97">
        <v>8</v>
      </c>
      <c r="B15" s="137" t="s">
        <v>213</v>
      </c>
    </row>
    <row r="16" spans="1:3">
      <c r="A16" s="97">
        <v>9</v>
      </c>
      <c r="B16" s="137" t="s">
        <v>25</v>
      </c>
    </row>
    <row r="17" spans="1:2">
      <c r="A17" s="214" t="s">
        <v>282</v>
      </c>
      <c r="B17" s="213" t="s">
        <v>269</v>
      </c>
    </row>
    <row r="18" spans="1:2">
      <c r="A18" s="214" t="s">
        <v>711</v>
      </c>
      <c r="B18" s="465" t="s">
        <v>713</v>
      </c>
    </row>
    <row r="19" spans="1:2">
      <c r="A19" s="466" t="s">
        <v>712</v>
      </c>
      <c r="B19" s="465" t="s">
        <v>714</v>
      </c>
    </row>
    <row r="20" spans="1:2">
      <c r="A20" s="97">
        <v>10</v>
      </c>
      <c r="B20" s="137" t="s">
        <v>26</v>
      </c>
    </row>
    <row r="21" spans="1:2">
      <c r="A21" s="97">
        <v>11</v>
      </c>
      <c r="B21" s="138" t="s">
        <v>214</v>
      </c>
    </row>
    <row r="22" spans="1:2">
      <c r="A22" s="97">
        <v>12</v>
      </c>
      <c r="B22" s="138" t="s">
        <v>27</v>
      </c>
    </row>
    <row r="23" spans="1:2">
      <c r="A23" s="235">
        <v>13</v>
      </c>
      <c r="B23" s="236" t="s">
        <v>215</v>
      </c>
    </row>
    <row r="24" spans="1:2">
      <c r="A24" s="235">
        <v>14</v>
      </c>
      <c r="B24" s="237" t="s">
        <v>240</v>
      </c>
    </row>
    <row r="25" spans="1:2">
      <c r="A25" s="235">
        <v>15</v>
      </c>
      <c r="B25" s="238" t="s">
        <v>28</v>
      </c>
    </row>
    <row r="26" spans="1:2">
      <c r="A26" s="235">
        <v>15.1</v>
      </c>
      <c r="B26" s="239" t="s">
        <v>296</v>
      </c>
    </row>
    <row r="27" spans="1:2">
      <c r="A27" s="467">
        <v>15.2</v>
      </c>
      <c r="B27" s="465" t="s">
        <v>716</v>
      </c>
    </row>
    <row r="28" spans="1:2">
      <c r="A28" s="235">
        <v>16</v>
      </c>
      <c r="B28" s="239" t="s">
        <v>337</v>
      </c>
    </row>
    <row r="29" spans="1:2">
      <c r="A29" s="235">
        <v>17</v>
      </c>
      <c r="B29" s="239" t="s">
        <v>378</v>
      </c>
    </row>
    <row r="30" spans="1:2">
      <c r="A30" s="235">
        <v>18</v>
      </c>
      <c r="B30" s="239" t="s">
        <v>666</v>
      </c>
    </row>
    <row r="31" spans="1:2">
      <c r="A31" s="235">
        <v>19</v>
      </c>
      <c r="B31" s="239" t="s">
        <v>667</v>
      </c>
    </row>
    <row r="32" spans="1:2">
      <c r="A32" s="235">
        <v>20</v>
      </c>
      <c r="B32" s="298" t="s">
        <v>668</v>
      </c>
    </row>
    <row r="33" spans="1:2">
      <c r="A33" s="235">
        <v>21</v>
      </c>
      <c r="B33" s="239" t="s">
        <v>494</v>
      </c>
    </row>
    <row r="34" spans="1:2">
      <c r="A34" s="235">
        <v>22</v>
      </c>
      <c r="B34" s="239" t="s">
        <v>669</v>
      </c>
    </row>
    <row r="35" spans="1:2">
      <c r="A35" s="235">
        <v>23</v>
      </c>
      <c r="B35" s="239" t="s">
        <v>670</v>
      </c>
    </row>
    <row r="36" spans="1:2">
      <c r="A36" s="235">
        <v>24</v>
      </c>
      <c r="B36" s="239" t="s">
        <v>671</v>
      </c>
    </row>
    <row r="37" spans="1:2">
      <c r="A37" s="235">
        <v>25</v>
      </c>
      <c r="B37" s="239" t="s">
        <v>379</v>
      </c>
    </row>
    <row r="38" spans="1:2">
      <c r="A38" s="235">
        <v>26</v>
      </c>
      <c r="B38" s="239"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6" activePane="bottomRight" state="frozen"/>
      <selection activeCell="B42" sqref="B42"/>
      <selection pane="topRight" activeCell="B42" sqref="B42"/>
      <selection pane="bottomLeft" activeCell="B42" sqref="B42"/>
      <selection pane="bottomRight" activeCell="G59" sqref="G59"/>
    </sheetView>
  </sheetViews>
  <sheetFormatPr defaultColWidth="9.21875" defaultRowHeight="13.2"/>
  <cols>
    <col min="1" max="1" width="9.5546875" style="5" bestFit="1" customWidth="1"/>
    <col min="2" max="2" width="132.44140625" style="5" customWidth="1"/>
    <col min="3" max="3" width="18.44140625" style="5" customWidth="1"/>
    <col min="4" max="4" width="11.77734375" style="5" customWidth="1"/>
    <col min="5" max="16384" width="9.21875" style="5"/>
  </cols>
  <sheetData>
    <row r="1" spans="1:4">
      <c r="A1" s="3" t="s">
        <v>30</v>
      </c>
      <c r="B1" s="4" t="str">
        <f>'Info '!C2</f>
        <v xml:space="preserve">PASHA Bank Georgia JSC </v>
      </c>
    </row>
    <row r="2" spans="1:4" s="3" customFormat="1" ht="15.75" customHeight="1">
      <c r="A2" s="3" t="s">
        <v>31</v>
      </c>
      <c r="B2" s="252">
        <f>'1. key ratios '!B2</f>
        <v>46022</v>
      </c>
    </row>
    <row r="3" spans="1:4" s="3" customFormat="1" ht="15.75" customHeight="1"/>
    <row r="4" spans="1:4" ht="13.8" thickBot="1">
      <c r="A4" s="5" t="s">
        <v>143</v>
      </c>
      <c r="B4" s="85" t="s">
        <v>142</v>
      </c>
    </row>
    <row r="5" spans="1:4">
      <c r="A5" s="46" t="s">
        <v>6</v>
      </c>
      <c r="B5" s="47"/>
      <c r="C5" s="48" t="s">
        <v>35</v>
      </c>
    </row>
    <row r="6" spans="1:4">
      <c r="A6" s="49">
        <v>1</v>
      </c>
      <c r="B6" s="50" t="s">
        <v>141</v>
      </c>
      <c r="C6" s="51">
        <f>SUM(C7:C11)</f>
        <v>125369205.72</v>
      </c>
      <c r="D6" s="543"/>
    </row>
    <row r="7" spans="1:4">
      <c r="A7" s="49">
        <v>2</v>
      </c>
      <c r="B7" s="52" t="s">
        <v>140</v>
      </c>
      <c r="C7" s="53">
        <v>136800000</v>
      </c>
      <c r="D7" s="543"/>
    </row>
    <row r="8" spans="1:4">
      <c r="A8" s="49">
        <v>3</v>
      </c>
      <c r="B8" s="54" t="s">
        <v>139</v>
      </c>
      <c r="C8" s="53"/>
      <c r="D8" s="543"/>
    </row>
    <row r="9" spans="1:4">
      <c r="A9" s="49">
        <v>4</v>
      </c>
      <c r="B9" s="54" t="s">
        <v>138</v>
      </c>
      <c r="C9" s="53"/>
      <c r="D9" s="543"/>
    </row>
    <row r="10" spans="1:4">
      <c r="A10" s="49">
        <v>5</v>
      </c>
      <c r="B10" s="54" t="s">
        <v>137</v>
      </c>
      <c r="C10" s="53"/>
      <c r="D10" s="543"/>
    </row>
    <row r="11" spans="1:4">
      <c r="A11" s="49">
        <v>6</v>
      </c>
      <c r="B11" s="55" t="s">
        <v>136</v>
      </c>
      <c r="C11" s="53">
        <v>-11430794.279999999</v>
      </c>
      <c r="D11" s="543"/>
    </row>
    <row r="12" spans="1:4" s="24" customFormat="1">
      <c r="A12" s="49">
        <v>7</v>
      </c>
      <c r="B12" s="50" t="s">
        <v>135</v>
      </c>
      <c r="C12" s="56">
        <f>SUM(C13:C28)</f>
        <v>5360672.4499999993</v>
      </c>
      <c r="D12" s="543"/>
    </row>
    <row r="13" spans="1:4" s="24" customFormat="1">
      <c r="A13" s="49">
        <v>8</v>
      </c>
      <c r="B13" s="57" t="s">
        <v>134</v>
      </c>
      <c r="C13" s="58"/>
      <c r="D13" s="543"/>
    </row>
    <row r="14" spans="1:4" s="24" customFormat="1" ht="26.4">
      <c r="A14" s="49">
        <v>9</v>
      </c>
      <c r="B14" s="59" t="s">
        <v>133</v>
      </c>
      <c r="C14" s="58"/>
      <c r="D14" s="543"/>
    </row>
    <row r="15" spans="1:4" s="24" customFormat="1">
      <c r="A15" s="49">
        <v>10</v>
      </c>
      <c r="B15" s="60" t="s">
        <v>132</v>
      </c>
      <c r="C15" s="58">
        <v>2884313.11</v>
      </c>
      <c r="D15" s="543"/>
    </row>
    <row r="16" spans="1:4" s="24" customFormat="1">
      <c r="A16" s="49">
        <v>11</v>
      </c>
      <c r="B16" s="61" t="s">
        <v>131</v>
      </c>
      <c r="C16" s="58"/>
      <c r="D16" s="543"/>
    </row>
    <row r="17" spans="1:4" s="24" customFormat="1">
      <c r="A17" s="49">
        <v>12</v>
      </c>
      <c r="B17" s="60" t="s">
        <v>130</v>
      </c>
      <c r="C17" s="58"/>
      <c r="D17" s="543"/>
    </row>
    <row r="18" spans="1:4" s="24" customFormat="1">
      <c r="A18" s="49">
        <v>13</v>
      </c>
      <c r="B18" s="60" t="s">
        <v>129</v>
      </c>
      <c r="C18" s="58"/>
      <c r="D18" s="543"/>
    </row>
    <row r="19" spans="1:4" s="24" customFormat="1">
      <c r="A19" s="49">
        <v>14</v>
      </c>
      <c r="B19" s="60" t="s">
        <v>128</v>
      </c>
      <c r="C19" s="58"/>
      <c r="D19" s="543"/>
    </row>
    <row r="20" spans="1:4" s="24" customFormat="1">
      <c r="A20" s="49">
        <v>15</v>
      </c>
      <c r="B20" s="60" t="s">
        <v>127</v>
      </c>
      <c r="C20" s="58">
        <v>2476359.34</v>
      </c>
      <c r="D20" s="543"/>
    </row>
    <row r="21" spans="1:4" s="24" customFormat="1" ht="26.4">
      <c r="A21" s="49">
        <v>16</v>
      </c>
      <c r="B21" s="59" t="s">
        <v>126</v>
      </c>
      <c r="C21" s="58"/>
      <c r="D21" s="543"/>
    </row>
    <row r="22" spans="1:4" s="24" customFormat="1">
      <c r="A22" s="49">
        <v>17</v>
      </c>
      <c r="B22" s="62" t="s">
        <v>125</v>
      </c>
      <c r="C22" s="58"/>
      <c r="D22" s="543"/>
    </row>
    <row r="23" spans="1:4" s="24" customFormat="1">
      <c r="A23" s="49">
        <v>18</v>
      </c>
      <c r="B23" s="62" t="s">
        <v>517</v>
      </c>
      <c r="C23" s="300"/>
      <c r="D23" s="543"/>
    </row>
    <row r="24" spans="1:4" s="24" customFormat="1">
      <c r="A24" s="49">
        <v>19</v>
      </c>
      <c r="B24" s="59" t="s">
        <v>124</v>
      </c>
      <c r="C24" s="58"/>
      <c r="D24" s="543"/>
    </row>
    <row r="25" spans="1:4" s="24" customFormat="1" ht="26.4">
      <c r="A25" s="49">
        <v>20</v>
      </c>
      <c r="B25" s="59" t="s">
        <v>101</v>
      </c>
      <c r="C25" s="58"/>
      <c r="D25" s="543"/>
    </row>
    <row r="26" spans="1:4" s="24" customFormat="1">
      <c r="A26" s="49">
        <v>21</v>
      </c>
      <c r="B26" s="61" t="s">
        <v>123</v>
      </c>
      <c r="C26" s="58"/>
      <c r="D26" s="543"/>
    </row>
    <row r="27" spans="1:4" s="24" customFormat="1">
      <c r="A27" s="49">
        <v>22</v>
      </c>
      <c r="B27" s="61" t="s">
        <v>122</v>
      </c>
      <c r="C27" s="58"/>
      <c r="D27" s="543"/>
    </row>
    <row r="28" spans="1:4" s="24" customFormat="1">
      <c r="A28" s="49">
        <v>23</v>
      </c>
      <c r="B28" s="61" t="s">
        <v>121</v>
      </c>
      <c r="C28" s="58"/>
      <c r="D28" s="543"/>
    </row>
    <row r="29" spans="1:4" s="24" customFormat="1">
      <c r="A29" s="49">
        <v>24</v>
      </c>
      <c r="B29" s="63" t="s">
        <v>120</v>
      </c>
      <c r="C29" s="56">
        <f>C6-C12</f>
        <v>120008533.27</v>
      </c>
      <c r="D29" s="543"/>
    </row>
    <row r="30" spans="1:4" s="24" customFormat="1">
      <c r="A30" s="64"/>
      <c r="B30" s="65"/>
      <c r="C30" s="58"/>
      <c r="D30" s="543"/>
    </row>
    <row r="31" spans="1:4" s="24" customFormat="1">
      <c r="A31" s="64">
        <v>25</v>
      </c>
      <c r="B31" s="63" t="s">
        <v>119</v>
      </c>
      <c r="C31" s="56">
        <f>C32+C35</f>
        <v>13475500</v>
      </c>
      <c r="D31" s="543"/>
    </row>
    <row r="32" spans="1:4" s="24" customFormat="1">
      <c r="A32" s="64">
        <v>26</v>
      </c>
      <c r="B32" s="54" t="s">
        <v>118</v>
      </c>
      <c r="C32" s="66">
        <f>C33+C34</f>
        <v>0</v>
      </c>
      <c r="D32" s="543"/>
    </row>
    <row r="33" spans="1:4" s="24" customFormat="1">
      <c r="A33" s="64">
        <v>27</v>
      </c>
      <c r="B33" s="67" t="s">
        <v>179</v>
      </c>
      <c r="C33" s="58"/>
      <c r="D33" s="543"/>
    </row>
    <row r="34" spans="1:4" s="24" customFormat="1">
      <c r="A34" s="64">
        <v>28</v>
      </c>
      <c r="B34" s="715" t="s">
        <v>117</v>
      </c>
      <c r="C34" s="58"/>
      <c r="D34" s="543"/>
    </row>
    <row r="35" spans="1:4" s="24" customFormat="1">
      <c r="A35" s="64">
        <v>29</v>
      </c>
      <c r="B35" s="54" t="s">
        <v>116</v>
      </c>
      <c r="C35" s="58">
        <v>13475500</v>
      </c>
      <c r="D35" s="543"/>
    </row>
    <row r="36" spans="1:4" s="24" customFormat="1">
      <c r="A36" s="64">
        <v>30</v>
      </c>
      <c r="B36" s="63" t="s">
        <v>115</v>
      </c>
      <c r="C36" s="56">
        <f>SUM(C37:C41)</f>
        <v>0</v>
      </c>
      <c r="D36" s="543"/>
    </row>
    <row r="37" spans="1:4" s="24" customFormat="1">
      <c r="A37" s="64">
        <v>31</v>
      </c>
      <c r="B37" s="59" t="s">
        <v>114</v>
      </c>
      <c r="C37" s="58"/>
      <c r="D37" s="543"/>
    </row>
    <row r="38" spans="1:4" s="24" customFormat="1">
      <c r="A38" s="64">
        <v>32</v>
      </c>
      <c r="B38" s="60" t="s">
        <v>113</v>
      </c>
      <c r="C38" s="58"/>
      <c r="D38" s="543"/>
    </row>
    <row r="39" spans="1:4" s="24" customFormat="1">
      <c r="A39" s="64">
        <v>33</v>
      </c>
      <c r="B39" s="59" t="s">
        <v>112</v>
      </c>
      <c r="C39" s="58"/>
      <c r="D39" s="543"/>
    </row>
    <row r="40" spans="1:4" s="24" customFormat="1" ht="26.4">
      <c r="A40" s="64">
        <v>34</v>
      </c>
      <c r="B40" s="59" t="s">
        <v>101</v>
      </c>
      <c r="C40" s="58"/>
      <c r="D40" s="543"/>
    </row>
    <row r="41" spans="1:4" s="24" customFormat="1">
      <c r="A41" s="64">
        <v>35</v>
      </c>
      <c r="B41" s="61" t="s">
        <v>111</v>
      </c>
      <c r="C41" s="58"/>
      <c r="D41" s="543"/>
    </row>
    <row r="42" spans="1:4" s="24" customFormat="1">
      <c r="A42" s="64">
        <v>36</v>
      </c>
      <c r="B42" s="63" t="s">
        <v>110</v>
      </c>
      <c r="C42" s="56">
        <f>C31-C36</f>
        <v>13475500</v>
      </c>
      <c r="D42" s="543"/>
    </row>
    <row r="43" spans="1:4" s="24" customFormat="1">
      <c r="A43" s="64"/>
      <c r="B43" s="65"/>
      <c r="C43" s="58"/>
      <c r="D43" s="543"/>
    </row>
    <row r="44" spans="1:4" s="24" customFormat="1">
      <c r="A44" s="64">
        <v>37</v>
      </c>
      <c r="B44" s="68" t="s">
        <v>109</v>
      </c>
      <c r="C44" s="56">
        <f>SUM(C45:C47)</f>
        <v>28300025.993000001</v>
      </c>
      <c r="D44" s="543"/>
    </row>
    <row r="45" spans="1:4" s="24" customFormat="1">
      <c r="A45" s="64">
        <v>38</v>
      </c>
      <c r="B45" s="54" t="s">
        <v>108</v>
      </c>
      <c r="C45" s="58">
        <v>28300025.993000001</v>
      </c>
      <c r="D45" s="543"/>
    </row>
    <row r="46" spans="1:4" s="24" customFormat="1">
      <c r="A46" s="64">
        <v>39</v>
      </c>
      <c r="B46" s="54" t="s">
        <v>107</v>
      </c>
      <c r="C46" s="58"/>
      <c r="D46" s="543"/>
    </row>
    <row r="47" spans="1:4" s="24" customFormat="1">
      <c r="A47" s="64">
        <v>40</v>
      </c>
      <c r="B47" s="54" t="s">
        <v>106</v>
      </c>
      <c r="C47" s="58"/>
      <c r="D47" s="543"/>
    </row>
    <row r="48" spans="1:4" s="24" customFormat="1">
      <c r="A48" s="64">
        <v>41</v>
      </c>
      <c r="B48" s="68" t="s">
        <v>105</v>
      </c>
      <c r="C48" s="56">
        <f>SUM(C49:C52)</f>
        <v>0</v>
      </c>
      <c r="D48" s="543"/>
    </row>
    <row r="49" spans="1:4" s="24" customFormat="1">
      <c r="A49" s="64">
        <v>42</v>
      </c>
      <c r="B49" s="59" t="s">
        <v>104</v>
      </c>
      <c r="C49" s="58"/>
      <c r="D49" s="543"/>
    </row>
    <row r="50" spans="1:4" s="24" customFormat="1">
      <c r="A50" s="64">
        <v>43</v>
      </c>
      <c r="B50" s="60" t="s">
        <v>103</v>
      </c>
      <c r="C50" s="58"/>
      <c r="D50" s="543"/>
    </row>
    <row r="51" spans="1:4" s="24" customFormat="1">
      <c r="A51" s="64">
        <v>44</v>
      </c>
      <c r="B51" s="59" t="s">
        <v>102</v>
      </c>
      <c r="C51" s="58"/>
      <c r="D51" s="543"/>
    </row>
    <row r="52" spans="1:4" s="24" customFormat="1" ht="26.4">
      <c r="A52" s="64">
        <v>45</v>
      </c>
      <c r="B52" s="59" t="s">
        <v>101</v>
      </c>
      <c r="C52" s="58"/>
      <c r="D52" s="543"/>
    </row>
    <row r="53" spans="1:4" s="24" customFormat="1" ht="13.8" thickBot="1">
      <c r="A53" s="64">
        <v>46</v>
      </c>
      <c r="B53" s="69" t="s">
        <v>100</v>
      </c>
      <c r="C53" s="70">
        <f>C44-C48</f>
        <v>28300025.993000001</v>
      </c>
      <c r="D53" s="543"/>
    </row>
    <row r="56" spans="1:4">
      <c r="B56" s="5"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scale="54" orientation="portrait" horizontalDpi="300" verticalDpi="300" r:id="rId1"/>
  <headerFooter>
    <oddFooter>&amp;C_x000D_&amp;1#&amp;"Aptos"&amp;10&amp;K000000 C4 - EXTERNAL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0" zoomScaleNormal="80" workbookViewId="0">
      <selection activeCell="K18" sqref="K18"/>
    </sheetView>
  </sheetViews>
  <sheetFormatPr defaultColWidth="9.21875" defaultRowHeight="13.8"/>
  <cols>
    <col min="1" max="1" width="9.44140625" style="128" bestFit="1" customWidth="1"/>
    <col min="2" max="2" width="59" style="128" customWidth="1"/>
    <col min="3" max="3" width="16.77734375" style="128" bestFit="1" customWidth="1"/>
    <col min="4" max="4" width="15.6640625" style="128" customWidth="1"/>
    <col min="5" max="5" width="9.21875" style="128"/>
    <col min="6" max="6" width="9.21875" style="545"/>
    <col min="7" max="16384" width="9.21875" style="128"/>
  </cols>
  <sheetData>
    <row r="1" spans="1:6">
      <c r="A1" s="126" t="s">
        <v>30</v>
      </c>
      <c r="B1" s="4" t="str">
        <f>'Info '!C2</f>
        <v xml:space="preserve">PASHA Bank Georgia JSC </v>
      </c>
    </row>
    <row r="2" spans="1:6" s="126" customFormat="1" ht="15.75" customHeight="1">
      <c r="A2" s="126" t="s">
        <v>31</v>
      </c>
      <c r="B2" s="252">
        <f>'1. key ratios '!B2</f>
        <v>46022</v>
      </c>
      <c r="F2" s="546"/>
    </row>
    <row r="3" spans="1:6" s="126" customFormat="1" ht="15.75" customHeight="1">
      <c r="F3" s="546"/>
    </row>
    <row r="4" spans="1:6" ht="14.4" thickBot="1">
      <c r="A4" s="128" t="s">
        <v>268</v>
      </c>
      <c r="B4" s="203" t="s">
        <v>269</v>
      </c>
    </row>
    <row r="5" spans="1:6" s="133" customFormat="1" ht="12.75" customHeight="1">
      <c r="A5" s="233"/>
      <c r="B5" s="234" t="s">
        <v>272</v>
      </c>
      <c r="C5" s="196" t="s">
        <v>270</v>
      </c>
      <c r="D5" s="197" t="s">
        <v>271</v>
      </c>
      <c r="F5" s="547"/>
    </row>
    <row r="6" spans="1:6" s="204" customFormat="1">
      <c r="A6" s="198">
        <v>1</v>
      </c>
      <c r="B6" s="226" t="s">
        <v>273</v>
      </c>
      <c r="C6" s="226"/>
      <c r="D6" s="199"/>
      <c r="F6" s="548"/>
    </row>
    <row r="7" spans="1:6" s="204" customFormat="1">
      <c r="A7" s="200" t="s">
        <v>259</v>
      </c>
      <c r="B7" s="227" t="s">
        <v>274</v>
      </c>
      <c r="C7" s="716">
        <v>4.4999999999999998E-2</v>
      </c>
      <c r="D7" s="644">
        <f>C7*'5. RWA '!$C$13</f>
        <v>29855826.020176824</v>
      </c>
      <c r="E7" s="544"/>
      <c r="F7" s="548"/>
    </row>
    <row r="8" spans="1:6" s="204" customFormat="1">
      <c r="A8" s="200" t="s">
        <v>260</v>
      </c>
      <c r="B8" s="227" t="s">
        <v>275</v>
      </c>
      <c r="C8" s="717">
        <v>0.06</v>
      </c>
      <c r="D8" s="644">
        <f>C8*'5. RWA '!$C$13</f>
        <v>39807768.02690243</v>
      </c>
      <c r="E8" s="544"/>
      <c r="F8" s="548"/>
    </row>
    <row r="9" spans="1:6" s="204" customFormat="1">
      <c r="A9" s="200" t="s">
        <v>261</v>
      </c>
      <c r="B9" s="227" t="s">
        <v>276</v>
      </c>
      <c r="C9" s="717">
        <v>0.08</v>
      </c>
      <c r="D9" s="644">
        <f>C9*'5. RWA '!$C$13</f>
        <v>53077024.035869911</v>
      </c>
      <c r="E9" s="544"/>
      <c r="F9" s="548"/>
    </row>
    <row r="10" spans="1:6" s="204" customFormat="1">
      <c r="A10" s="198" t="s">
        <v>262</v>
      </c>
      <c r="B10" s="226" t="s">
        <v>277</v>
      </c>
      <c r="C10" s="221"/>
      <c r="D10" s="228"/>
      <c r="E10" s="544"/>
      <c r="F10" s="548"/>
    </row>
    <row r="11" spans="1:6" s="205" customFormat="1">
      <c r="A11" s="201" t="s">
        <v>263</v>
      </c>
      <c r="B11" s="220" t="s">
        <v>747</v>
      </c>
      <c r="C11" s="718">
        <v>2.5000000000000001E-2</v>
      </c>
      <c r="D11" s="644">
        <f>C11*'5. RWA '!$C$13</f>
        <v>16586570.011209348</v>
      </c>
      <c r="E11" s="544"/>
      <c r="F11" s="548"/>
    </row>
    <row r="12" spans="1:6" s="205" customFormat="1">
      <c r="A12" s="201" t="s">
        <v>264</v>
      </c>
      <c r="B12" s="220" t="s">
        <v>278</v>
      </c>
      <c r="C12" s="718">
        <v>5.0000000000000001E-3</v>
      </c>
      <c r="D12" s="644">
        <f>C12*'5. RWA '!$C$13</f>
        <v>3317314.0022418695</v>
      </c>
      <c r="E12" s="544"/>
      <c r="F12" s="548"/>
    </row>
    <row r="13" spans="1:6" s="205" customFormat="1">
      <c r="A13" s="201" t="s">
        <v>265</v>
      </c>
      <c r="B13" s="220" t="s">
        <v>279</v>
      </c>
      <c r="C13" s="222"/>
      <c r="D13" s="644">
        <f>C13*'5. RWA '!$C$13</f>
        <v>0</v>
      </c>
      <c r="E13" s="544"/>
      <c r="F13" s="548"/>
    </row>
    <row r="14" spans="1:6" s="205" customFormat="1">
      <c r="A14" s="198" t="s">
        <v>266</v>
      </c>
      <c r="B14" s="226" t="s">
        <v>326</v>
      </c>
      <c r="C14" s="223"/>
      <c r="D14" s="229"/>
      <c r="E14" s="544"/>
      <c r="F14" s="548"/>
    </row>
    <row r="15" spans="1:6" s="205" customFormat="1">
      <c r="A15" s="201">
        <v>3.1</v>
      </c>
      <c r="B15" s="220" t="s">
        <v>284</v>
      </c>
      <c r="C15" s="718">
        <v>7.5580526194625602E-2</v>
      </c>
      <c r="D15" s="644">
        <f>C15*'5. RWA '!$C$13</f>
        <v>50144867.568447985</v>
      </c>
      <c r="E15" s="544"/>
      <c r="F15" s="548"/>
    </row>
    <row r="16" spans="1:6" s="205" customFormat="1">
      <c r="A16" s="201">
        <v>3.2</v>
      </c>
      <c r="B16" s="220" t="s">
        <v>285</v>
      </c>
      <c r="C16" s="718">
        <v>9.3559995589522715E-2</v>
      </c>
      <c r="D16" s="644">
        <f>C16*'5. RWA '!$C$13</f>
        <v>62073576.683762252</v>
      </c>
      <c r="E16" s="544"/>
      <c r="F16" s="548"/>
    </row>
    <row r="17" spans="1:6" s="204" customFormat="1">
      <c r="A17" s="201">
        <v>3.3</v>
      </c>
      <c r="B17" s="220" t="s">
        <v>286</v>
      </c>
      <c r="C17" s="718">
        <v>0.11721719216175577</v>
      </c>
      <c r="D17" s="644">
        <f>C17*'5. RWA '!$C$13</f>
        <v>77769246.572333664</v>
      </c>
      <c r="E17" s="544"/>
      <c r="F17" s="548"/>
    </row>
    <row r="18" spans="1:6" s="133" customFormat="1" ht="12.75" customHeight="1">
      <c r="A18" s="231"/>
      <c r="B18" s="232" t="s">
        <v>325</v>
      </c>
      <c r="C18" s="224" t="s">
        <v>270</v>
      </c>
      <c r="D18" s="230" t="s">
        <v>271</v>
      </c>
      <c r="E18" s="544"/>
      <c r="F18" s="548"/>
    </row>
    <row r="19" spans="1:6" s="204" customFormat="1">
      <c r="A19" s="202">
        <v>4</v>
      </c>
      <c r="B19" s="220" t="s">
        <v>280</v>
      </c>
      <c r="C19" s="222">
        <v>0.15058052619462561</v>
      </c>
      <c r="D19" s="644">
        <f>C19*'5. RWA '!$C$13</f>
        <v>99904577.602076039</v>
      </c>
      <c r="E19" s="544"/>
      <c r="F19" s="548"/>
    </row>
    <row r="20" spans="1:6" s="204" customFormat="1">
      <c r="A20" s="202">
        <v>5</v>
      </c>
      <c r="B20" s="220" t="s">
        <v>90</v>
      </c>
      <c r="C20" s="222">
        <v>0.18355999558952271</v>
      </c>
      <c r="D20" s="644">
        <f>C20*'5. RWA '!$C$13</f>
        <v>121785228.72411591</v>
      </c>
      <c r="E20" s="544"/>
      <c r="F20" s="548"/>
    </row>
    <row r="21" spans="1:6" s="204" customFormat="1" ht="14.4" thickBot="1">
      <c r="A21" s="206" t="s">
        <v>267</v>
      </c>
      <c r="B21" s="207" t="s">
        <v>281</v>
      </c>
      <c r="C21" s="225">
        <v>0.22721719216175579</v>
      </c>
      <c r="D21" s="645">
        <f>C21*'5. RWA '!$C$13</f>
        <v>150750154.62165481</v>
      </c>
      <c r="E21" s="544"/>
      <c r="F21" s="548"/>
    </row>
    <row r="22" spans="1:6">
      <c r="F22" s="548"/>
    </row>
    <row r="23" spans="1:6">
      <c r="B23" s="166"/>
    </row>
  </sheetData>
  <conditionalFormatting sqref="C21">
    <cfRule type="cellIs" dxfId="19" priority="1" operator="lessThan">
      <formula>#REF!</formula>
    </cfRule>
  </conditionalFormatting>
  <pageMargins left="0.7" right="0.7" top="0.75" bottom="0.75" header="0.3" footer="0.3"/>
  <pageSetup paperSize="9" scale="86" orientation="portrait" horizontalDpi="300" verticalDpi="300" r:id="rId1"/>
  <headerFooter>
    <oddFooter>&amp;C_x000D_&amp;1#&amp;"Aptos"&amp;10&amp;K000000 C4 - EXTERNAL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90" zoomScaleNormal="90" workbookViewId="0">
      <selection activeCell="C8" sqref="C8"/>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07" t="str">
        <f>'9.1. Capital Requirements'!A1</f>
        <v>Bank:</v>
      </c>
      <c r="B1" s="408" t="str">
        <f>'1. key ratios '!B1</f>
        <v xml:space="preserve">PASHA Bank Georgia JSC </v>
      </c>
    </row>
    <row r="2" spans="1:3">
      <c r="A2" s="407" t="str">
        <f>'9.1. Capital Requirements'!A2</f>
        <v>Date:</v>
      </c>
      <c r="B2" s="409">
        <f>'1. key ratios '!B2</f>
        <v>46022</v>
      </c>
    </row>
    <row r="3" spans="1:3">
      <c r="A3" s="410" t="s">
        <v>675</v>
      </c>
      <c r="B3" s="411" t="s">
        <v>676</v>
      </c>
    </row>
    <row r="4" spans="1:3" ht="15" thickBot="1"/>
    <row r="5" spans="1:3">
      <c r="A5" s="412"/>
      <c r="B5" s="413" t="s">
        <v>677</v>
      </c>
      <c r="C5" s="600"/>
    </row>
    <row r="6" spans="1:3">
      <c r="A6" s="414" t="s">
        <v>697</v>
      </c>
      <c r="B6" s="415">
        <f>SUM(B7,B11)</f>
        <v>161784059.26300001</v>
      </c>
      <c r="C6" s="601"/>
    </row>
    <row r="7" spans="1:3" ht="15.6">
      <c r="A7" s="414" t="s">
        <v>683</v>
      </c>
      <c r="B7" s="415">
        <f>SUM(B8:B10)</f>
        <v>161784059.26300001</v>
      </c>
      <c r="C7" s="601"/>
    </row>
    <row r="8" spans="1:3">
      <c r="A8" s="416" t="s">
        <v>678</v>
      </c>
      <c r="B8" s="417">
        <f>'9.Capital'!C29</f>
        <v>120008533.27</v>
      </c>
      <c r="C8" s="601"/>
    </row>
    <row r="9" spans="1:3">
      <c r="A9" s="416" t="s">
        <v>679</v>
      </c>
      <c r="B9" s="417">
        <f>'9.Capital'!C42</f>
        <v>13475500</v>
      </c>
      <c r="C9" s="601"/>
    </row>
    <row r="10" spans="1:3">
      <c r="A10" s="416" t="s">
        <v>680</v>
      </c>
      <c r="B10" s="417">
        <f>'9.Capital'!C53</f>
        <v>28300025.993000001</v>
      </c>
      <c r="C10" s="601"/>
    </row>
    <row r="11" spans="1:3">
      <c r="A11" s="414" t="s">
        <v>684</v>
      </c>
      <c r="B11" s="415">
        <f>SUM(B12:B13)</f>
        <v>0</v>
      </c>
      <c r="C11" s="601"/>
    </row>
    <row r="12" spans="1:3" ht="15.6">
      <c r="A12" s="416" t="s">
        <v>703</v>
      </c>
      <c r="B12" s="417"/>
      <c r="C12" s="601"/>
    </row>
    <row r="13" spans="1:3" ht="15.6">
      <c r="A13" s="416" t="s">
        <v>685</v>
      </c>
      <c r="B13" s="417"/>
      <c r="C13" s="601"/>
    </row>
    <row r="14" spans="1:3">
      <c r="A14" s="414" t="s">
        <v>686</v>
      </c>
      <c r="B14" s="415">
        <f>SUM(B15:B16)</f>
        <v>161784059.26300001</v>
      </c>
      <c r="C14" s="601"/>
    </row>
    <row r="15" spans="1:3">
      <c r="A15" s="418" t="s">
        <v>687</v>
      </c>
      <c r="B15" s="417"/>
      <c r="C15" s="601"/>
    </row>
    <row r="16" spans="1:3">
      <c r="A16" s="418" t="s">
        <v>688</v>
      </c>
      <c r="B16" s="417">
        <f>B7</f>
        <v>161784059.26300001</v>
      </c>
      <c r="C16" s="601"/>
    </row>
    <row r="17" spans="1:5">
      <c r="A17" s="414" t="s">
        <v>691</v>
      </c>
      <c r="B17" s="415"/>
      <c r="C17" s="601"/>
    </row>
    <row r="18" spans="1:5">
      <c r="A18" s="418" t="s">
        <v>689</v>
      </c>
      <c r="B18" s="417">
        <f>'5. RWA '!C13</f>
        <v>663462800.44837391</v>
      </c>
      <c r="C18" s="601"/>
    </row>
    <row r="19" spans="1:5">
      <c r="A19" s="418" t="s">
        <v>690</v>
      </c>
      <c r="B19" s="417">
        <f>'15.1 LR'!C32</f>
        <v>695079748.04974198</v>
      </c>
      <c r="C19" s="601"/>
    </row>
    <row r="20" spans="1:5">
      <c r="A20" s="414" t="s">
        <v>705</v>
      </c>
      <c r="B20" s="415"/>
      <c r="C20" s="601"/>
    </row>
    <row r="21" spans="1:5">
      <c r="A21" s="419" t="s">
        <v>692</v>
      </c>
      <c r="B21" s="420">
        <f>IFERROR(B6/B18,0)</f>
        <v>0.24384797332068195</v>
      </c>
      <c r="C21" s="601"/>
    </row>
    <row r="22" spans="1:5">
      <c r="A22" s="419" t="s">
        <v>709</v>
      </c>
      <c r="B22" s="420">
        <f>IFERROR(B6/B19,0)</f>
        <v>0.23275611139144031</v>
      </c>
      <c r="C22" s="719"/>
    </row>
    <row r="23" spans="1:5" ht="15" thickBot="1">
      <c r="A23" s="421" t="s">
        <v>693</v>
      </c>
      <c r="B23" s="422">
        <f>IFERROR(B6/B14,0)</f>
        <v>1</v>
      </c>
      <c r="C23" s="601"/>
    </row>
    <row r="24" spans="1:5" ht="16.5" customHeight="1">
      <c r="A24" s="423" t="s">
        <v>681</v>
      </c>
      <c r="B24" s="424"/>
      <c r="C24" s="424"/>
      <c r="D24" s="424"/>
      <c r="E24" s="424"/>
    </row>
    <row r="25" spans="1:5" ht="25.5" customHeight="1">
      <c r="A25" s="423" t="s">
        <v>702</v>
      </c>
    </row>
    <row r="26" spans="1:5" ht="42.45" customHeight="1">
      <c r="A26" s="423" t="s">
        <v>704</v>
      </c>
      <c r="B26" s="128"/>
    </row>
  </sheetData>
  <pageMargins left="0.7" right="0.7" top="0.75" bottom="0.75" header="0.3" footer="0.3"/>
  <pageSetup paperSize="9" scale="55" orientation="portrait" horizontalDpi="300" verticalDpi="300" r:id="rId1"/>
  <headerFooter>
    <oddFooter>&amp;C_x000D_&amp;1#&amp;"Aptos"&amp;10&amp;K000000 C4 - EXTERNAL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I22" sqref="I22"/>
    </sheetView>
  </sheetViews>
  <sheetFormatPr defaultRowHeight="14.4"/>
  <cols>
    <col min="1" max="1" width="56.77734375" customWidth="1"/>
    <col min="2" max="2" width="28.109375" bestFit="1" customWidth="1"/>
    <col min="3" max="3" width="28.21875" customWidth="1"/>
    <col min="4" max="6" width="28.109375" customWidth="1"/>
  </cols>
  <sheetData>
    <row r="1" spans="1:7">
      <c r="A1" s="407" t="s">
        <v>30</v>
      </c>
      <c r="B1" s="409" t="str">
        <f>'1. key ratios '!B1</f>
        <v xml:space="preserve">PASHA Bank Georgia JSC </v>
      </c>
      <c r="C1" s="128"/>
    </row>
    <row r="2" spans="1:7">
      <c r="A2" s="407" t="s">
        <v>31</v>
      </c>
      <c r="B2" s="409">
        <f>'1. key ratios '!B2</f>
        <v>46022</v>
      </c>
      <c r="C2" s="128"/>
    </row>
    <row r="3" spans="1:7">
      <c r="A3" s="410" t="s">
        <v>682</v>
      </c>
      <c r="B3" s="411" t="s">
        <v>676</v>
      </c>
      <c r="C3" s="128"/>
    </row>
    <row r="5" spans="1:7">
      <c r="A5" s="425"/>
    </row>
    <row r="6" spans="1:7" ht="15" thickBot="1">
      <c r="A6" s="426"/>
      <c r="B6" s="426"/>
      <c r="C6" s="426"/>
      <c r="D6" s="426"/>
      <c r="E6" s="426"/>
      <c r="F6" s="426"/>
    </row>
    <row r="7" spans="1:7">
      <c r="A7" s="762"/>
      <c r="B7" s="764" t="s">
        <v>708</v>
      </c>
      <c r="C7" s="764"/>
      <c r="D7" s="764"/>
      <c r="E7" s="764"/>
      <c r="F7" s="765" t="s">
        <v>64</v>
      </c>
    </row>
    <row r="8" spans="1:7">
      <c r="A8" s="763"/>
      <c r="B8" s="427" t="s">
        <v>694</v>
      </c>
      <c r="C8" s="427" t="s">
        <v>695</v>
      </c>
      <c r="D8" s="427" t="s">
        <v>696</v>
      </c>
      <c r="E8" s="427" t="s">
        <v>706</v>
      </c>
      <c r="F8" s="766"/>
    </row>
    <row r="9" spans="1:7">
      <c r="A9" s="428" t="s">
        <v>697</v>
      </c>
      <c r="B9" s="429">
        <f>B13+B17</f>
        <v>0</v>
      </c>
      <c r="C9" s="429">
        <f t="shared" ref="C9:E9" si="0">C13+C17</f>
        <v>0</v>
      </c>
      <c r="D9" s="429">
        <f t="shared" si="0"/>
        <v>0</v>
      </c>
      <c r="E9" s="429">
        <f t="shared" si="0"/>
        <v>0</v>
      </c>
      <c r="F9" s="430">
        <f>F13+F17</f>
        <v>0</v>
      </c>
      <c r="G9" s="599"/>
    </row>
    <row r="10" spans="1:7">
      <c r="A10" s="431" t="s">
        <v>699</v>
      </c>
      <c r="B10" s="432">
        <f t="shared" ref="B10:E12" si="1">B14+B18</f>
        <v>0</v>
      </c>
      <c r="C10" s="432">
        <f t="shared" si="1"/>
        <v>0</v>
      </c>
      <c r="D10" s="432">
        <f t="shared" si="1"/>
        <v>0</v>
      </c>
      <c r="E10" s="432">
        <f t="shared" si="1"/>
        <v>0</v>
      </c>
      <c r="F10" s="430">
        <f>SUM(B10:E10)</f>
        <v>0</v>
      </c>
      <c r="G10" s="599"/>
    </row>
    <row r="11" spans="1:7">
      <c r="A11" s="431" t="s">
        <v>707</v>
      </c>
      <c r="B11" s="432">
        <f t="shared" si="1"/>
        <v>0</v>
      </c>
      <c r="C11" s="432">
        <f t="shared" si="1"/>
        <v>0</v>
      </c>
      <c r="D11" s="432">
        <f t="shared" si="1"/>
        <v>0</v>
      </c>
      <c r="E11" s="432">
        <f t="shared" si="1"/>
        <v>0</v>
      </c>
      <c r="F11" s="430">
        <f t="shared" ref="F11:F12" si="2">SUM(B11:E11)</f>
        <v>0</v>
      </c>
      <c r="G11" s="599"/>
    </row>
    <row r="12" spans="1:7">
      <c r="A12" s="433" t="s">
        <v>698</v>
      </c>
      <c r="B12" s="432">
        <f t="shared" si="1"/>
        <v>0</v>
      </c>
      <c r="C12" s="432">
        <f t="shared" si="1"/>
        <v>0</v>
      </c>
      <c r="D12" s="432">
        <f t="shared" si="1"/>
        <v>0</v>
      </c>
      <c r="E12" s="432">
        <f t="shared" si="1"/>
        <v>0</v>
      </c>
      <c r="F12" s="430">
        <f t="shared" si="2"/>
        <v>0</v>
      </c>
      <c r="G12" s="599"/>
    </row>
    <row r="13" spans="1:7">
      <c r="A13" s="434" t="s">
        <v>688</v>
      </c>
      <c r="B13" s="435"/>
      <c r="C13" s="435"/>
      <c r="D13" s="435"/>
      <c r="E13" s="435"/>
      <c r="F13" s="436"/>
      <c r="G13" s="599"/>
    </row>
    <row r="14" spans="1:7">
      <c r="A14" s="431" t="s">
        <v>699</v>
      </c>
      <c r="B14" s="437"/>
      <c r="C14" s="437"/>
      <c r="D14" s="437"/>
      <c r="E14" s="437"/>
      <c r="F14" s="438"/>
      <c r="G14" s="599"/>
    </row>
    <row r="15" spans="1:7">
      <c r="A15" s="431" t="s">
        <v>707</v>
      </c>
      <c r="B15" s="437"/>
      <c r="C15" s="437"/>
      <c r="D15" s="437"/>
      <c r="E15" s="437"/>
      <c r="F15" s="438"/>
      <c r="G15" s="599"/>
    </row>
    <row r="16" spans="1:7">
      <c r="A16" s="433" t="s">
        <v>698</v>
      </c>
      <c r="B16" s="437"/>
      <c r="C16" s="437"/>
      <c r="D16" s="437"/>
      <c r="E16" s="437"/>
      <c r="F16" s="438"/>
      <c r="G16" s="599"/>
    </row>
    <row r="17" spans="1:7">
      <c r="A17" s="434" t="s">
        <v>684</v>
      </c>
      <c r="B17" s="435"/>
      <c r="C17" s="435"/>
      <c r="D17" s="435"/>
      <c r="E17" s="435"/>
      <c r="F17" s="438"/>
      <c r="G17" s="599"/>
    </row>
    <row r="18" spans="1:7">
      <c r="A18" s="431" t="s">
        <v>699</v>
      </c>
      <c r="B18" s="437"/>
      <c r="C18" s="437"/>
      <c r="D18" s="437"/>
      <c r="E18" s="437"/>
      <c r="F18" s="438"/>
      <c r="G18" s="599"/>
    </row>
    <row r="19" spans="1:7">
      <c r="A19" s="431" t="s">
        <v>707</v>
      </c>
      <c r="B19" s="437"/>
      <c r="C19" s="437"/>
      <c r="D19" s="437"/>
      <c r="E19" s="437"/>
      <c r="F19" s="438"/>
      <c r="G19" s="599"/>
    </row>
    <row r="20" spans="1:7" ht="15" thickBot="1">
      <c r="A20" s="433" t="s">
        <v>698</v>
      </c>
      <c r="B20" s="439"/>
      <c r="C20" s="439"/>
      <c r="D20" s="439"/>
      <c r="E20" s="439"/>
      <c r="F20" s="440"/>
      <c r="G20" s="599"/>
    </row>
  </sheetData>
  <mergeCells count="3">
    <mergeCell ref="A7:A8"/>
    <mergeCell ref="B7:E7"/>
    <mergeCell ref="F7:F8"/>
  </mergeCells>
  <pageMargins left="0.7" right="0.7" top="0.75" bottom="0.75" header="0.3" footer="0.3"/>
  <pageSetup paperSize="9" scale="44" orientation="portrait" horizontalDpi="300" verticalDpi="300" r:id="rId1"/>
  <headerFooter>
    <oddFooter>&amp;C_x000D_&amp;1#&amp;"Aptos"&amp;10&amp;K000000 C4 - EXTERNAL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51" activePane="bottomRight" state="frozen"/>
      <selection activeCell="B42" sqref="B42"/>
      <selection pane="topRight" activeCell="B42" sqref="B42"/>
      <selection pane="bottomLeft" activeCell="B42" sqref="B42"/>
      <selection pane="bottomRight" activeCell="F13" sqref="F13"/>
    </sheetView>
  </sheetViews>
  <sheetFormatPr defaultColWidth="9.21875" defaultRowHeight="13.8"/>
  <cols>
    <col min="1" max="1" width="10.77734375" style="5" customWidth="1"/>
    <col min="2" max="2" width="91.77734375" style="5" customWidth="1"/>
    <col min="3" max="3" width="53.21875" style="5" customWidth="1"/>
    <col min="4" max="4" width="32.21875" style="5" customWidth="1"/>
    <col min="5" max="5" width="12.6640625" style="6" customWidth="1"/>
    <col min="6" max="16384" width="9.21875" style="6"/>
  </cols>
  <sheetData>
    <row r="1" spans="1:6">
      <c r="A1" s="3" t="s">
        <v>30</v>
      </c>
      <c r="B1" s="4" t="str">
        <f>'Info '!C2</f>
        <v xml:space="preserve">PASHA Bank Georgia JSC </v>
      </c>
      <c r="E1" s="5"/>
      <c r="F1" s="5"/>
    </row>
    <row r="2" spans="1:6" s="3" customFormat="1" ht="15.75" customHeight="1">
      <c r="A2" s="3" t="s">
        <v>31</v>
      </c>
      <c r="B2" s="252">
        <f>'1. key ratios '!B2</f>
        <v>46022</v>
      </c>
    </row>
    <row r="3" spans="1:6" s="3" customFormat="1" ht="15.75" customHeight="1">
      <c r="A3" s="71"/>
    </row>
    <row r="4" spans="1:6" s="3" customFormat="1" ht="15.75" customHeight="1" thickBot="1">
      <c r="A4" s="3" t="s">
        <v>47</v>
      </c>
      <c r="B4" s="122" t="s">
        <v>165</v>
      </c>
      <c r="D4" s="15" t="s">
        <v>35</v>
      </c>
    </row>
    <row r="5" spans="1:6" ht="26.4">
      <c r="A5" s="72" t="s">
        <v>6</v>
      </c>
      <c r="B5" s="140" t="s">
        <v>205</v>
      </c>
      <c r="C5" s="73" t="s">
        <v>624</v>
      </c>
      <c r="D5" s="74" t="s">
        <v>49</v>
      </c>
    </row>
    <row r="6" spans="1:6" ht="14.4">
      <c r="A6" s="301">
        <v>1</v>
      </c>
      <c r="B6" s="302" t="s">
        <v>525</v>
      </c>
      <c r="C6" s="549">
        <f>SUM(C7:C9)</f>
        <v>102378284.61070001</v>
      </c>
      <c r="D6" s="75"/>
      <c r="E6" s="76"/>
      <c r="F6" s="76"/>
    </row>
    <row r="7" spans="1:6" ht="14.4">
      <c r="A7" s="301">
        <v>1.1000000000000001</v>
      </c>
      <c r="B7" s="303" t="s">
        <v>526</v>
      </c>
      <c r="C7" s="550">
        <v>2381730.9615000002</v>
      </c>
      <c r="D7" s="77"/>
      <c r="E7" s="76"/>
      <c r="F7" s="76"/>
    </row>
    <row r="8" spans="1:6" ht="14.4">
      <c r="A8" s="301">
        <v>1.2</v>
      </c>
      <c r="B8" s="303" t="s">
        <v>527</v>
      </c>
      <c r="C8" s="550">
        <v>47762062.689199999</v>
      </c>
      <c r="D8" s="77"/>
      <c r="E8" s="76"/>
      <c r="F8" s="76"/>
    </row>
    <row r="9" spans="1:6" ht="14.4">
      <c r="A9" s="301">
        <v>1.3</v>
      </c>
      <c r="B9" s="303" t="s">
        <v>528</v>
      </c>
      <c r="C9" s="550">
        <v>52234490.960000001</v>
      </c>
      <c r="D9" s="77"/>
      <c r="E9" s="76"/>
      <c r="F9" s="76"/>
    </row>
    <row r="10" spans="1:6" ht="14.4">
      <c r="A10" s="301">
        <v>2</v>
      </c>
      <c r="B10" s="304" t="s">
        <v>529</v>
      </c>
      <c r="C10" s="551">
        <f>C11</f>
        <v>1647959.4818000002</v>
      </c>
      <c r="D10" s="77"/>
      <c r="E10" s="76"/>
      <c r="F10" s="76"/>
    </row>
    <row r="11" spans="1:6" ht="14.4">
      <c r="A11" s="301">
        <v>2.1</v>
      </c>
      <c r="B11" s="305" t="s">
        <v>530</v>
      </c>
      <c r="C11" s="552">
        <v>1647959.4818000002</v>
      </c>
      <c r="D11" s="344"/>
      <c r="E11" s="76"/>
      <c r="F11" s="76"/>
    </row>
    <row r="12" spans="1:6" ht="14.4">
      <c r="A12" s="301">
        <v>3</v>
      </c>
      <c r="B12" s="306" t="s">
        <v>531</v>
      </c>
      <c r="C12" s="552"/>
      <c r="D12" s="344"/>
      <c r="E12" s="76"/>
      <c r="F12" s="76"/>
    </row>
    <row r="13" spans="1:6" ht="14.4">
      <c r="A13" s="301">
        <v>4</v>
      </c>
      <c r="B13" s="307" t="s">
        <v>532</v>
      </c>
      <c r="C13" s="552"/>
      <c r="D13" s="344"/>
      <c r="E13" s="76"/>
      <c r="F13" s="76"/>
    </row>
    <row r="14" spans="1:6" ht="14.4">
      <c r="A14" s="301">
        <v>5</v>
      </c>
      <c r="B14" s="308" t="s">
        <v>533</v>
      </c>
      <c r="C14" s="552">
        <f>SUM(C15:C17)</f>
        <v>0</v>
      </c>
      <c r="D14" s="344"/>
      <c r="E14" s="76"/>
      <c r="F14" s="76"/>
    </row>
    <row r="15" spans="1:6" ht="14.4">
      <c r="A15" s="301">
        <v>5.0999999999999996</v>
      </c>
      <c r="B15" s="309" t="s">
        <v>534</v>
      </c>
      <c r="C15" s="550"/>
      <c r="D15" s="344"/>
      <c r="E15" s="76"/>
      <c r="F15" s="76"/>
    </row>
    <row r="16" spans="1:6" ht="14.4">
      <c r="A16" s="301">
        <v>5.2</v>
      </c>
      <c r="B16" s="309" t="s">
        <v>535</v>
      </c>
      <c r="C16" s="550"/>
      <c r="D16" s="77"/>
      <c r="E16" s="76"/>
      <c r="F16" s="76"/>
    </row>
    <row r="17" spans="1:6" ht="14.4">
      <c r="A17" s="301">
        <v>5.3</v>
      </c>
      <c r="B17" s="310" t="s">
        <v>536</v>
      </c>
      <c r="C17" s="550"/>
      <c r="D17" s="77"/>
      <c r="E17" s="76"/>
      <c r="F17" s="76"/>
    </row>
    <row r="18" spans="1:6" ht="14.4">
      <c r="A18" s="301">
        <v>6</v>
      </c>
      <c r="B18" s="306" t="s">
        <v>537</v>
      </c>
      <c r="C18" s="551">
        <f>SUM(C19:C20)</f>
        <v>533092549.07070005</v>
      </c>
      <c r="D18" s="77"/>
      <c r="E18" s="76"/>
      <c r="F18" s="76"/>
    </row>
    <row r="19" spans="1:6" ht="14.4">
      <c r="A19" s="301">
        <v>6.1</v>
      </c>
      <c r="B19" s="309" t="s">
        <v>535</v>
      </c>
      <c r="C19" s="552">
        <v>109708264.8787</v>
      </c>
      <c r="D19" s="77"/>
      <c r="E19" s="76"/>
      <c r="F19" s="76"/>
    </row>
    <row r="20" spans="1:6" ht="14.4">
      <c r="A20" s="301">
        <v>6.2</v>
      </c>
      <c r="B20" s="310" t="s">
        <v>536</v>
      </c>
      <c r="C20" s="552">
        <v>423384284.19200003</v>
      </c>
      <c r="D20" s="77"/>
      <c r="E20" s="76"/>
      <c r="F20" s="76"/>
    </row>
    <row r="21" spans="1:6" ht="14.4">
      <c r="A21" s="301">
        <v>7</v>
      </c>
      <c r="B21" s="304" t="s">
        <v>538</v>
      </c>
      <c r="C21" s="552"/>
      <c r="D21" s="77"/>
      <c r="E21" s="76"/>
      <c r="F21" s="76"/>
    </row>
    <row r="22" spans="1:6" ht="14.4">
      <c r="A22" s="301">
        <v>8</v>
      </c>
      <c r="B22" s="311" t="s">
        <v>539</v>
      </c>
      <c r="C22" s="550"/>
      <c r="D22" s="77"/>
      <c r="E22" s="76"/>
      <c r="F22" s="76"/>
    </row>
    <row r="23" spans="1:6" ht="14.4">
      <c r="A23" s="301">
        <v>9</v>
      </c>
      <c r="B23" s="307" t="s">
        <v>540</v>
      </c>
      <c r="C23" s="551">
        <f>SUM(C24:C25)</f>
        <v>4935218.43</v>
      </c>
      <c r="D23" s="345"/>
      <c r="E23" s="76"/>
      <c r="F23" s="76"/>
    </row>
    <row r="24" spans="1:6" ht="14.4">
      <c r="A24" s="301">
        <v>9.1</v>
      </c>
      <c r="B24" s="309" t="s">
        <v>541</v>
      </c>
      <c r="C24" s="553">
        <v>4935218.43</v>
      </c>
      <c r="D24" s="78"/>
      <c r="E24" s="76"/>
      <c r="F24" s="76"/>
    </row>
    <row r="25" spans="1:6" ht="14.4">
      <c r="A25" s="301">
        <v>9.1999999999999993</v>
      </c>
      <c r="B25" s="309" t="s">
        <v>542</v>
      </c>
      <c r="C25" s="554">
        <v>0</v>
      </c>
      <c r="D25" s="343"/>
      <c r="E25" s="76"/>
      <c r="F25" s="76"/>
    </row>
    <row r="26" spans="1:6" ht="14.4">
      <c r="A26" s="301">
        <v>10</v>
      </c>
      <c r="B26" s="307" t="s">
        <v>543</v>
      </c>
      <c r="C26" s="555">
        <f>SUM(C27:C28)</f>
        <v>2884313.11</v>
      </c>
      <c r="D26" s="406" t="s">
        <v>665</v>
      </c>
      <c r="E26" s="76"/>
      <c r="F26" s="76"/>
    </row>
    <row r="27" spans="1:6" ht="14.4">
      <c r="A27" s="301">
        <v>10.1</v>
      </c>
      <c r="B27" s="309" t="s">
        <v>544</v>
      </c>
      <c r="C27" s="550"/>
      <c r="D27" s="77"/>
      <c r="E27" s="76"/>
      <c r="F27" s="76"/>
    </row>
    <row r="28" spans="1:6" ht="14.4">
      <c r="A28" s="301">
        <v>10.199999999999999</v>
      </c>
      <c r="B28" s="309" t="s">
        <v>545</v>
      </c>
      <c r="C28" s="550">
        <v>2884313.11</v>
      </c>
      <c r="D28" s="77"/>
      <c r="E28" s="76"/>
      <c r="F28" s="76"/>
    </row>
    <row r="29" spans="1:6" ht="14.4">
      <c r="A29" s="301">
        <v>11</v>
      </c>
      <c r="B29" s="307" t="s">
        <v>546</v>
      </c>
      <c r="C29" s="551">
        <f>SUM(C30:C31)</f>
        <v>2476359.34</v>
      </c>
      <c r="D29" s="406" t="s">
        <v>776</v>
      </c>
      <c r="E29" s="76"/>
      <c r="F29" s="76"/>
    </row>
    <row r="30" spans="1:6" ht="14.4">
      <c r="A30" s="301">
        <v>11.1</v>
      </c>
      <c r="B30" s="309" t="s">
        <v>547</v>
      </c>
      <c r="C30" s="550"/>
      <c r="D30" s="77"/>
      <c r="E30" s="76"/>
      <c r="F30" s="76"/>
    </row>
    <row r="31" spans="1:6" ht="14.4">
      <c r="A31" s="301">
        <v>11.2</v>
      </c>
      <c r="B31" s="309" t="s">
        <v>548</v>
      </c>
      <c r="C31" s="550">
        <v>2476359.34</v>
      </c>
      <c r="D31" s="77"/>
      <c r="E31" s="76"/>
      <c r="F31" s="76"/>
    </row>
    <row r="32" spans="1:6" ht="14.4">
      <c r="A32" s="301">
        <v>13</v>
      </c>
      <c r="B32" s="307" t="s">
        <v>549</v>
      </c>
      <c r="C32" s="551">
        <v>14247677.484400002</v>
      </c>
      <c r="D32" s="77"/>
      <c r="E32" s="76"/>
      <c r="F32" s="76"/>
    </row>
    <row r="33" spans="1:6" ht="14.4">
      <c r="A33" s="301">
        <v>13.1</v>
      </c>
      <c r="B33" s="312" t="s">
        <v>550</v>
      </c>
      <c r="C33" s="550">
        <v>11874297.84</v>
      </c>
      <c r="D33" s="77"/>
      <c r="E33" s="76"/>
      <c r="F33" s="76"/>
    </row>
    <row r="34" spans="1:6" ht="14.4">
      <c r="A34" s="301">
        <v>13.2</v>
      </c>
      <c r="B34" s="312" t="s">
        <v>551</v>
      </c>
      <c r="C34" s="553"/>
      <c r="D34" s="78"/>
      <c r="E34" s="76"/>
      <c r="F34" s="76"/>
    </row>
    <row r="35" spans="1:6" ht="14.4">
      <c r="A35" s="301">
        <v>14</v>
      </c>
      <c r="B35" s="313" t="s">
        <v>552</v>
      </c>
      <c r="C35" s="556">
        <f>SUM(C6,C10,C12,C13,C14,C18,C21,C22,C23,C26,C29,C32)</f>
        <v>661662361.52760005</v>
      </c>
      <c r="D35" s="78"/>
      <c r="E35" s="76"/>
      <c r="F35" s="76"/>
    </row>
    <row r="36" spans="1:6" ht="14.4">
      <c r="A36" s="301"/>
      <c r="B36" s="314" t="s">
        <v>553</v>
      </c>
      <c r="C36" s="557"/>
      <c r="D36" s="79"/>
      <c r="E36" s="76"/>
      <c r="F36" s="76"/>
    </row>
    <row r="37" spans="1:6" ht="14.4">
      <c r="A37" s="301">
        <v>15</v>
      </c>
      <c r="B37" s="315" t="s">
        <v>554</v>
      </c>
      <c r="C37" s="554">
        <f>C38</f>
        <v>46220.3727</v>
      </c>
      <c r="D37" s="343"/>
      <c r="E37" s="76"/>
      <c r="F37" s="76"/>
    </row>
    <row r="38" spans="1:6" ht="14.4">
      <c r="A38" s="316">
        <v>15.1</v>
      </c>
      <c r="B38" s="317" t="s">
        <v>530</v>
      </c>
      <c r="C38" s="550">
        <v>46220.3727</v>
      </c>
      <c r="D38" s="77"/>
      <c r="E38" s="76"/>
      <c r="F38" s="76"/>
    </row>
    <row r="39" spans="1:6" ht="14.4">
      <c r="A39" s="316">
        <v>16</v>
      </c>
      <c r="B39" s="304" t="s">
        <v>555</v>
      </c>
      <c r="C39" s="550"/>
      <c r="D39" s="77"/>
      <c r="E39" s="76"/>
      <c r="F39" s="76"/>
    </row>
    <row r="40" spans="1:6" ht="14.4">
      <c r="A40" s="316">
        <v>17</v>
      </c>
      <c r="B40" s="304" t="s">
        <v>556</v>
      </c>
      <c r="C40" s="551">
        <f>SUM(C41:C44)</f>
        <v>475782930.11160004</v>
      </c>
      <c r="D40" s="77"/>
      <c r="E40" s="76"/>
      <c r="F40" s="76"/>
    </row>
    <row r="41" spans="1:6" ht="14.4">
      <c r="A41" s="316">
        <v>17.100000000000001</v>
      </c>
      <c r="B41" s="318" t="s">
        <v>557</v>
      </c>
      <c r="C41" s="550">
        <v>429802848.8829</v>
      </c>
      <c r="D41" s="77"/>
      <c r="E41" s="76"/>
      <c r="F41" s="76"/>
    </row>
    <row r="42" spans="1:6" ht="14.4">
      <c r="A42" s="316">
        <v>17.2</v>
      </c>
      <c r="B42" s="319" t="s">
        <v>558</v>
      </c>
      <c r="C42" s="550">
        <v>41961803.739399999</v>
      </c>
      <c r="D42" s="77"/>
      <c r="E42" s="76"/>
      <c r="F42" s="76"/>
    </row>
    <row r="43" spans="1:6" ht="14.4">
      <c r="A43" s="316">
        <v>17.3</v>
      </c>
      <c r="B43" s="334" t="s">
        <v>559</v>
      </c>
      <c r="C43" s="553"/>
      <c r="D43" s="78"/>
      <c r="E43" s="76"/>
      <c r="F43" s="76"/>
    </row>
    <row r="44" spans="1:6" ht="14.4">
      <c r="A44" s="316">
        <v>17.399999999999999</v>
      </c>
      <c r="B44" s="335" t="s">
        <v>560</v>
      </c>
      <c r="C44" s="558">
        <v>4018277.4893</v>
      </c>
      <c r="D44" s="336"/>
      <c r="E44" s="76"/>
      <c r="F44" s="76"/>
    </row>
    <row r="45" spans="1:6" ht="14.4">
      <c r="A45" s="316">
        <v>18</v>
      </c>
      <c r="B45" s="324" t="s">
        <v>561</v>
      </c>
      <c r="C45" s="559">
        <v>444584.2806</v>
      </c>
      <c r="D45" s="342"/>
      <c r="E45" s="76"/>
      <c r="F45" s="76"/>
    </row>
    <row r="46" spans="1:6" ht="14.4">
      <c r="A46" s="316">
        <v>19</v>
      </c>
      <c r="B46" s="324" t="s">
        <v>562</v>
      </c>
      <c r="C46" s="560">
        <f>SUM(C47:C48)</f>
        <v>0</v>
      </c>
      <c r="D46" s="337"/>
      <c r="E46" s="76"/>
      <c r="F46" s="76"/>
    </row>
    <row r="47" spans="1:6" ht="14.4">
      <c r="A47" s="316">
        <v>19.100000000000001</v>
      </c>
      <c r="B47" s="338" t="s">
        <v>563</v>
      </c>
      <c r="C47" s="560"/>
      <c r="D47" s="337"/>
      <c r="E47" s="76"/>
      <c r="F47" s="76"/>
    </row>
    <row r="48" spans="1:6" ht="14.4">
      <c r="A48" s="316">
        <v>19.2</v>
      </c>
      <c r="B48" s="338" t="s">
        <v>564</v>
      </c>
      <c r="C48" s="560"/>
      <c r="D48" s="337"/>
      <c r="E48" s="76"/>
      <c r="F48" s="76"/>
    </row>
    <row r="49" spans="1:6" ht="14.4">
      <c r="A49" s="316">
        <v>20</v>
      </c>
      <c r="B49" s="320" t="s">
        <v>565</v>
      </c>
      <c r="C49" s="561">
        <v>32381000.377999999</v>
      </c>
      <c r="D49" s="406" t="s">
        <v>777</v>
      </c>
      <c r="E49" s="76"/>
      <c r="F49" s="76"/>
    </row>
    <row r="50" spans="1:6" ht="14.4">
      <c r="A50" s="316">
        <v>21</v>
      </c>
      <c r="B50" s="339" t="s">
        <v>566</v>
      </c>
      <c r="C50" s="561">
        <v>13008010.163700001</v>
      </c>
      <c r="D50" s="337"/>
      <c r="E50" s="76"/>
      <c r="F50" s="76"/>
    </row>
    <row r="51" spans="1:6" ht="14.4">
      <c r="A51" s="316">
        <v>21.1</v>
      </c>
      <c r="B51" s="319" t="s">
        <v>567</v>
      </c>
      <c r="C51" s="560"/>
      <c r="D51" s="337"/>
      <c r="E51" s="76"/>
      <c r="F51" s="76"/>
    </row>
    <row r="52" spans="1:6" ht="14.4">
      <c r="A52" s="316">
        <v>22</v>
      </c>
      <c r="B52" s="321" t="s">
        <v>568</v>
      </c>
      <c r="C52" s="561">
        <f>SUM(C37,C39,C40,C45,C46,C49,C50)</f>
        <v>521662745.30660003</v>
      </c>
      <c r="D52" s="337"/>
      <c r="E52" s="76"/>
      <c r="F52" s="76"/>
    </row>
    <row r="53" spans="1:6" ht="14.4">
      <c r="A53" s="316"/>
      <c r="B53" s="322" t="s">
        <v>569</v>
      </c>
      <c r="C53" s="560"/>
      <c r="D53" s="337"/>
      <c r="E53" s="76"/>
      <c r="F53" s="76"/>
    </row>
    <row r="54" spans="1:6" ht="14.4">
      <c r="A54" s="316">
        <v>23</v>
      </c>
      <c r="B54" s="320" t="s">
        <v>570</v>
      </c>
      <c r="C54" s="561">
        <v>136800000</v>
      </c>
      <c r="D54" s="406" t="s">
        <v>778</v>
      </c>
      <c r="E54" s="76"/>
      <c r="F54" s="76"/>
    </row>
    <row r="55" spans="1:6" ht="14.4">
      <c r="A55" s="316">
        <v>24</v>
      </c>
      <c r="B55" s="320" t="s">
        <v>571</v>
      </c>
      <c r="C55" s="560"/>
      <c r="D55" s="337"/>
      <c r="E55" s="76"/>
      <c r="F55" s="76"/>
    </row>
    <row r="56" spans="1:6" ht="14.4">
      <c r="A56" s="316">
        <v>25</v>
      </c>
      <c r="B56" s="324" t="s">
        <v>572</v>
      </c>
      <c r="C56" s="560"/>
      <c r="D56" s="337"/>
      <c r="E56" s="76"/>
      <c r="F56" s="76"/>
    </row>
    <row r="57" spans="1:6" ht="14.4">
      <c r="A57" s="316">
        <v>26</v>
      </c>
      <c r="B57" s="324" t="s">
        <v>573</v>
      </c>
      <c r="C57" s="560"/>
      <c r="D57" s="337"/>
      <c r="E57" s="76"/>
      <c r="F57" s="76"/>
    </row>
    <row r="58" spans="1:6" ht="14.4">
      <c r="A58" s="316">
        <v>27</v>
      </c>
      <c r="B58" s="324" t="s">
        <v>574</v>
      </c>
      <c r="C58" s="561">
        <f>SUM(C59:C60)</f>
        <v>14630410.5</v>
      </c>
      <c r="D58" s="337"/>
      <c r="E58" s="76"/>
      <c r="F58" s="76"/>
    </row>
    <row r="59" spans="1:6" ht="14.4">
      <c r="A59" s="316">
        <v>27.1</v>
      </c>
      <c r="B59" s="335" t="s">
        <v>575</v>
      </c>
      <c r="C59" s="560">
        <v>1154910.5</v>
      </c>
      <c r="D59" s="337"/>
      <c r="E59" s="76"/>
      <c r="F59" s="76"/>
    </row>
    <row r="60" spans="1:6" ht="14.4">
      <c r="A60" s="316">
        <v>27.2</v>
      </c>
      <c r="B60" s="335" t="s">
        <v>576</v>
      </c>
      <c r="C60" s="560">
        <v>13475500</v>
      </c>
      <c r="D60" s="337"/>
      <c r="E60" s="76"/>
      <c r="F60" s="76"/>
    </row>
    <row r="61" spans="1:6" ht="14.4">
      <c r="A61" s="316">
        <v>28</v>
      </c>
      <c r="B61" s="323" t="s">
        <v>577</v>
      </c>
      <c r="C61" s="560"/>
      <c r="D61" s="337"/>
      <c r="E61" s="76"/>
      <c r="F61" s="76"/>
    </row>
    <row r="62" spans="1:6" ht="14.4">
      <c r="A62" s="316">
        <v>29</v>
      </c>
      <c r="B62" s="324" t="s">
        <v>578</v>
      </c>
      <c r="C62" s="560">
        <f>SUM(C63:C65)</f>
        <v>0</v>
      </c>
      <c r="D62" s="337"/>
      <c r="E62" s="76"/>
      <c r="F62" s="76"/>
    </row>
    <row r="63" spans="1:6" ht="14.4">
      <c r="A63" s="316">
        <v>29.1</v>
      </c>
      <c r="B63" s="340" t="s">
        <v>579</v>
      </c>
      <c r="C63" s="560"/>
      <c r="D63" s="337"/>
      <c r="E63" s="76"/>
      <c r="F63" s="76"/>
    </row>
    <row r="64" spans="1:6" ht="14.4">
      <c r="A64" s="316">
        <v>29.2</v>
      </c>
      <c r="B64" s="338" t="s">
        <v>580</v>
      </c>
      <c r="C64" s="560"/>
      <c r="D64" s="337"/>
      <c r="E64" s="76"/>
      <c r="F64" s="76"/>
    </row>
    <row r="65" spans="1:6" ht="14.4">
      <c r="A65" s="316">
        <v>29.3</v>
      </c>
      <c r="B65" s="338" t="s">
        <v>581</v>
      </c>
      <c r="C65" s="560"/>
      <c r="D65" s="337"/>
      <c r="E65" s="76"/>
      <c r="F65" s="76"/>
    </row>
    <row r="66" spans="1:6" ht="14.4">
      <c r="A66" s="316">
        <v>30</v>
      </c>
      <c r="B66" s="324" t="s">
        <v>582</v>
      </c>
      <c r="C66" s="561">
        <v>-11430794.279999999</v>
      </c>
      <c r="D66" s="406" t="s">
        <v>779</v>
      </c>
      <c r="E66" s="76"/>
      <c r="F66" s="76"/>
    </row>
    <row r="67" spans="1:6" ht="14.4">
      <c r="A67" s="316">
        <v>31</v>
      </c>
      <c r="B67" s="341" t="s">
        <v>583</v>
      </c>
      <c r="C67" s="561">
        <f>SUM(C54,C55,C56,C57,C58,C61,C62,C66)</f>
        <v>139999616.22</v>
      </c>
      <c r="D67" s="337"/>
      <c r="E67" s="76"/>
      <c r="F67" s="76"/>
    </row>
    <row r="68" spans="1:6" ht="14.4">
      <c r="A68" s="316">
        <v>32</v>
      </c>
      <c r="B68" s="324" t="s">
        <v>584</v>
      </c>
      <c r="C68" s="561">
        <f>SUM(C52,C67)</f>
        <v>661662361.5266</v>
      </c>
      <c r="D68" s="337"/>
      <c r="E68" s="76"/>
      <c r="F68" s="76"/>
    </row>
  </sheetData>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K37" sqref="K37"/>
    </sheetView>
  </sheetViews>
  <sheetFormatPr defaultColWidth="9.21875" defaultRowHeight="13.2"/>
  <cols>
    <col min="1" max="1" width="10.5546875" style="5" bestFit="1" customWidth="1"/>
    <col min="2" max="2" width="95" style="5" customWidth="1"/>
    <col min="3" max="3" width="13" style="5" bestFit="1" customWidth="1"/>
    <col min="4" max="4" width="16.44140625" style="5" bestFit="1" customWidth="1"/>
    <col min="5" max="5" width="13" style="5" bestFit="1" customWidth="1"/>
    <col min="6" max="6" width="16.44140625" style="5" bestFit="1" customWidth="1"/>
    <col min="7" max="7" width="13" style="5" bestFit="1" customWidth="1"/>
    <col min="8" max="8" width="13.21875" style="5" bestFit="1" customWidth="1"/>
    <col min="9" max="9" width="13" style="5" bestFit="1" customWidth="1"/>
    <col min="10" max="10" width="13.21875" style="5" bestFit="1" customWidth="1"/>
    <col min="11" max="11" width="13" style="5" bestFit="1" customWidth="1"/>
    <col min="12" max="16" width="13" style="14" bestFit="1" customWidth="1"/>
    <col min="17" max="17" width="14.77734375" style="14" customWidth="1"/>
    <col min="18" max="18" width="13" style="14" bestFit="1" customWidth="1"/>
    <col min="19" max="19" width="34.77734375" style="14" customWidth="1"/>
    <col min="20" max="16384" width="9.21875" style="14"/>
  </cols>
  <sheetData>
    <row r="1" spans="1:19">
      <c r="A1" s="3" t="s">
        <v>30</v>
      </c>
      <c r="B1" s="4" t="str">
        <f>'Info '!C2</f>
        <v xml:space="preserve">PASHA Bank Georgia JSC </v>
      </c>
    </row>
    <row r="2" spans="1:19">
      <c r="A2" s="3" t="s">
        <v>31</v>
      </c>
      <c r="B2" s="252">
        <f>'1. key ratios '!B2</f>
        <v>46022</v>
      </c>
    </row>
    <row r="4" spans="1:19" ht="27" thickBot="1">
      <c r="A4" s="5" t="s">
        <v>146</v>
      </c>
      <c r="B4" s="158" t="s">
        <v>238</v>
      </c>
    </row>
    <row r="5" spans="1:19" s="147" customFormat="1" ht="13.8">
      <c r="A5" s="142"/>
      <c r="B5" s="143"/>
      <c r="C5" s="144" t="s">
        <v>0</v>
      </c>
      <c r="D5" s="144" t="s">
        <v>1</v>
      </c>
      <c r="E5" s="144" t="s">
        <v>2</v>
      </c>
      <c r="F5" s="144" t="s">
        <v>3</v>
      </c>
      <c r="G5" s="144" t="s">
        <v>4</v>
      </c>
      <c r="H5" s="144" t="s">
        <v>5</v>
      </c>
      <c r="I5" s="144" t="s">
        <v>8</v>
      </c>
      <c r="J5" s="144" t="s">
        <v>9</v>
      </c>
      <c r="K5" s="144" t="s">
        <v>10</v>
      </c>
      <c r="L5" s="144" t="s">
        <v>11</v>
      </c>
      <c r="M5" s="144" t="s">
        <v>12</v>
      </c>
      <c r="N5" s="144" t="s">
        <v>13</v>
      </c>
      <c r="O5" s="144" t="s">
        <v>222</v>
      </c>
      <c r="P5" s="144" t="s">
        <v>223</v>
      </c>
      <c r="Q5" s="144" t="s">
        <v>224</v>
      </c>
      <c r="R5" s="145" t="s">
        <v>225</v>
      </c>
      <c r="S5" s="146" t="s">
        <v>226</v>
      </c>
    </row>
    <row r="6" spans="1:19" s="147" customFormat="1" ht="99" customHeight="1">
      <c r="A6" s="148"/>
      <c r="B6" s="771" t="s">
        <v>227</v>
      </c>
      <c r="C6" s="767">
        <v>0</v>
      </c>
      <c r="D6" s="768"/>
      <c r="E6" s="767">
        <v>0.2</v>
      </c>
      <c r="F6" s="768"/>
      <c r="G6" s="767">
        <v>0.35</v>
      </c>
      <c r="H6" s="768"/>
      <c r="I6" s="767">
        <v>0.5</v>
      </c>
      <c r="J6" s="768"/>
      <c r="K6" s="767">
        <v>0.75</v>
      </c>
      <c r="L6" s="768"/>
      <c r="M6" s="767">
        <v>1</v>
      </c>
      <c r="N6" s="768"/>
      <c r="O6" s="767">
        <v>1.5</v>
      </c>
      <c r="P6" s="768"/>
      <c r="Q6" s="767">
        <v>2.5</v>
      </c>
      <c r="R6" s="768"/>
      <c r="S6" s="769" t="s">
        <v>145</v>
      </c>
    </row>
    <row r="7" spans="1:19" s="147" customFormat="1" ht="30.75" customHeight="1">
      <c r="A7" s="148"/>
      <c r="B7" s="772"/>
      <c r="C7" s="139" t="s">
        <v>148</v>
      </c>
      <c r="D7" s="139" t="s">
        <v>147</v>
      </c>
      <c r="E7" s="139" t="s">
        <v>148</v>
      </c>
      <c r="F7" s="139" t="s">
        <v>147</v>
      </c>
      <c r="G7" s="139" t="s">
        <v>148</v>
      </c>
      <c r="H7" s="139" t="s">
        <v>147</v>
      </c>
      <c r="I7" s="139" t="s">
        <v>148</v>
      </c>
      <c r="J7" s="139" t="s">
        <v>147</v>
      </c>
      <c r="K7" s="139" t="s">
        <v>148</v>
      </c>
      <c r="L7" s="139" t="s">
        <v>147</v>
      </c>
      <c r="M7" s="139" t="s">
        <v>148</v>
      </c>
      <c r="N7" s="139" t="s">
        <v>147</v>
      </c>
      <c r="O7" s="139" t="s">
        <v>148</v>
      </c>
      <c r="P7" s="139" t="s">
        <v>147</v>
      </c>
      <c r="Q7" s="139" t="s">
        <v>148</v>
      </c>
      <c r="R7" s="139" t="s">
        <v>147</v>
      </c>
      <c r="S7" s="770"/>
    </row>
    <row r="8" spans="1:19">
      <c r="A8" s="80">
        <v>1</v>
      </c>
      <c r="B8" s="2" t="s">
        <v>51</v>
      </c>
      <c r="C8" s="81">
        <v>16561044.609999999</v>
      </c>
      <c r="D8" s="81"/>
      <c r="E8" s="81">
        <v>0</v>
      </c>
      <c r="F8" s="81"/>
      <c r="G8" s="81">
        <v>0</v>
      </c>
      <c r="H8" s="81"/>
      <c r="I8" s="81">
        <v>0</v>
      </c>
      <c r="J8" s="81"/>
      <c r="K8" s="81">
        <v>0</v>
      </c>
      <c r="L8" s="81"/>
      <c r="M8" s="81">
        <v>36670418.049199998</v>
      </c>
      <c r="N8" s="81"/>
      <c r="O8" s="81">
        <v>0</v>
      </c>
      <c r="P8" s="81"/>
      <c r="Q8" s="81">
        <v>0</v>
      </c>
      <c r="R8" s="81"/>
      <c r="S8" s="159">
        <f>$C$6*SUM(C8:D8)+$E$6*SUM(E8:F8)+$G$6*SUM(G8:H8)+$I$6*SUM(I8:J8)+$K$6*SUM(K8:L8)+$M$6*SUM(M8:N8)+$O$6*SUM(O8:P8)+$Q$6*SUM(Q8:R8)</f>
        <v>36670418.049199998</v>
      </c>
    </row>
    <row r="9" spans="1:19">
      <c r="A9" s="80">
        <v>2</v>
      </c>
      <c r="B9" s="2" t="s">
        <v>52</v>
      </c>
      <c r="C9" s="81">
        <v>0</v>
      </c>
      <c r="D9" s="81"/>
      <c r="E9" s="81">
        <v>0</v>
      </c>
      <c r="F9" s="81"/>
      <c r="G9" s="81">
        <v>0</v>
      </c>
      <c r="H9" s="81"/>
      <c r="I9" s="81">
        <v>0</v>
      </c>
      <c r="J9" s="81"/>
      <c r="K9" s="81">
        <v>0</v>
      </c>
      <c r="L9" s="81"/>
      <c r="M9" s="81">
        <v>0</v>
      </c>
      <c r="N9" s="81"/>
      <c r="O9" s="81">
        <v>0</v>
      </c>
      <c r="P9" s="81"/>
      <c r="Q9" s="81">
        <v>0</v>
      </c>
      <c r="R9" s="81"/>
      <c r="S9" s="159">
        <f t="shared" ref="S9:S21" si="0">$C$6*SUM(C9:D9)+$E$6*SUM(E9:F9)+$G$6*SUM(G9:H9)+$I$6*SUM(I9:J9)+$K$6*SUM(K9:L9)+$M$6*SUM(M9:N9)+$O$6*SUM(O9:P9)+$Q$6*SUM(Q9:R9)</f>
        <v>0</v>
      </c>
    </row>
    <row r="10" spans="1:19">
      <c r="A10" s="80">
        <v>3</v>
      </c>
      <c r="B10" s="2" t="s">
        <v>152</v>
      </c>
      <c r="C10" s="81">
        <v>0</v>
      </c>
      <c r="D10" s="81"/>
      <c r="E10" s="81">
        <v>0</v>
      </c>
      <c r="F10" s="81"/>
      <c r="G10" s="81">
        <v>0</v>
      </c>
      <c r="H10" s="81"/>
      <c r="I10" s="81">
        <v>0</v>
      </c>
      <c r="J10" s="81"/>
      <c r="K10" s="81">
        <v>0</v>
      </c>
      <c r="L10" s="81"/>
      <c r="M10" s="81">
        <v>0</v>
      </c>
      <c r="N10" s="81"/>
      <c r="O10" s="81">
        <v>0</v>
      </c>
      <c r="P10" s="81"/>
      <c r="Q10" s="81">
        <v>0</v>
      </c>
      <c r="R10" s="81"/>
      <c r="S10" s="159">
        <f t="shared" si="0"/>
        <v>0</v>
      </c>
    </row>
    <row r="11" spans="1:19">
      <c r="A11" s="80">
        <v>4</v>
      </c>
      <c r="B11" s="2" t="s">
        <v>53</v>
      </c>
      <c r="C11" s="81">
        <v>0</v>
      </c>
      <c r="D11" s="81"/>
      <c r="E11" s="81">
        <v>0</v>
      </c>
      <c r="F11" s="81"/>
      <c r="G11" s="81">
        <v>0</v>
      </c>
      <c r="H11" s="81"/>
      <c r="I11" s="81">
        <v>0</v>
      </c>
      <c r="J11" s="81"/>
      <c r="K11" s="81">
        <v>0</v>
      </c>
      <c r="L11" s="81"/>
      <c r="M11" s="81">
        <v>0</v>
      </c>
      <c r="N11" s="81"/>
      <c r="O11" s="81">
        <v>0</v>
      </c>
      <c r="P11" s="81"/>
      <c r="Q11" s="81">
        <v>0</v>
      </c>
      <c r="R11" s="81"/>
      <c r="S11" s="159">
        <f t="shared" si="0"/>
        <v>0</v>
      </c>
    </row>
    <row r="12" spans="1:19">
      <c r="A12" s="80">
        <v>5</v>
      </c>
      <c r="B12" s="2" t="s">
        <v>54</v>
      </c>
      <c r="C12" s="81">
        <v>0</v>
      </c>
      <c r="D12" s="81"/>
      <c r="E12" s="81">
        <v>0</v>
      </c>
      <c r="F12" s="81"/>
      <c r="G12" s="81">
        <v>0</v>
      </c>
      <c r="H12" s="81"/>
      <c r="I12" s="81">
        <v>0</v>
      </c>
      <c r="J12" s="81"/>
      <c r="K12" s="81">
        <v>0</v>
      </c>
      <c r="L12" s="81"/>
      <c r="M12" s="81">
        <v>0</v>
      </c>
      <c r="N12" s="81"/>
      <c r="O12" s="81">
        <v>0</v>
      </c>
      <c r="P12" s="81"/>
      <c r="Q12" s="81">
        <v>0</v>
      </c>
      <c r="R12" s="81"/>
      <c r="S12" s="159">
        <f t="shared" si="0"/>
        <v>0</v>
      </c>
    </row>
    <row r="13" spans="1:19">
      <c r="A13" s="80">
        <v>6</v>
      </c>
      <c r="B13" s="2" t="s">
        <v>55</v>
      </c>
      <c r="C13" s="81">
        <v>0</v>
      </c>
      <c r="D13" s="81"/>
      <c r="E13" s="81">
        <v>37556780.192299999</v>
      </c>
      <c r="F13" s="81"/>
      <c r="G13" s="81">
        <v>0</v>
      </c>
      <c r="H13" s="81"/>
      <c r="I13" s="81">
        <v>17916709.805100001</v>
      </c>
      <c r="J13" s="81"/>
      <c r="K13" s="81">
        <v>0</v>
      </c>
      <c r="L13" s="81"/>
      <c r="M13" s="81">
        <v>11071764.842599999</v>
      </c>
      <c r="N13" s="81">
        <v>698266.59250000003</v>
      </c>
      <c r="O13" s="81">
        <v>241123.07860000001</v>
      </c>
      <c r="P13" s="81"/>
      <c r="Q13" s="81">
        <v>0</v>
      </c>
      <c r="R13" s="81"/>
      <c r="S13" s="159">
        <f t="shared" si="0"/>
        <v>28601426.994010001</v>
      </c>
    </row>
    <row r="14" spans="1:19">
      <c r="A14" s="80">
        <v>7</v>
      </c>
      <c r="B14" s="2" t="s">
        <v>56</v>
      </c>
      <c r="C14" s="81">
        <v>0</v>
      </c>
      <c r="D14" s="81"/>
      <c r="E14" s="81">
        <v>0</v>
      </c>
      <c r="F14" s="81"/>
      <c r="G14" s="81">
        <v>0</v>
      </c>
      <c r="H14" s="81"/>
      <c r="I14" s="81">
        <v>0</v>
      </c>
      <c r="J14" s="81"/>
      <c r="K14" s="81">
        <v>0</v>
      </c>
      <c r="L14" s="81"/>
      <c r="M14" s="81">
        <v>497022086.4932</v>
      </c>
      <c r="N14" s="81">
        <v>34295534.142849997</v>
      </c>
      <c r="O14" s="81">
        <v>0</v>
      </c>
      <c r="P14" s="81"/>
      <c r="Q14" s="81">
        <v>0</v>
      </c>
      <c r="R14" s="81"/>
      <c r="S14" s="159">
        <f t="shared" si="0"/>
        <v>531317620.63604999</v>
      </c>
    </row>
    <row r="15" spans="1:19">
      <c r="A15" s="80">
        <v>8</v>
      </c>
      <c r="B15" s="2" t="s">
        <v>57</v>
      </c>
      <c r="C15" s="81">
        <v>0</v>
      </c>
      <c r="D15" s="81"/>
      <c r="E15" s="81">
        <v>0</v>
      </c>
      <c r="F15" s="81"/>
      <c r="G15" s="81">
        <v>0</v>
      </c>
      <c r="H15" s="81"/>
      <c r="I15" s="81">
        <v>0</v>
      </c>
      <c r="J15" s="81"/>
      <c r="K15" s="81">
        <v>0</v>
      </c>
      <c r="L15" s="81"/>
      <c r="M15" s="81">
        <v>0</v>
      </c>
      <c r="N15" s="81">
        <v>0</v>
      </c>
      <c r="O15" s="81">
        <v>0</v>
      </c>
      <c r="P15" s="81"/>
      <c r="Q15" s="81">
        <v>0</v>
      </c>
      <c r="R15" s="81"/>
      <c r="S15" s="159">
        <f t="shared" si="0"/>
        <v>0</v>
      </c>
    </row>
    <row r="16" spans="1:19">
      <c r="A16" s="80">
        <v>9</v>
      </c>
      <c r="B16" s="2" t="s">
        <v>58</v>
      </c>
      <c r="C16" s="81">
        <v>0</v>
      </c>
      <c r="D16" s="81"/>
      <c r="E16" s="81">
        <v>0</v>
      </c>
      <c r="F16" s="81"/>
      <c r="G16" s="81">
        <v>0</v>
      </c>
      <c r="H16" s="81"/>
      <c r="I16" s="81">
        <v>0</v>
      </c>
      <c r="J16" s="81"/>
      <c r="K16" s="81">
        <v>0</v>
      </c>
      <c r="L16" s="81"/>
      <c r="M16" s="81">
        <v>0</v>
      </c>
      <c r="N16" s="81"/>
      <c r="O16" s="81">
        <v>0</v>
      </c>
      <c r="P16" s="81"/>
      <c r="Q16" s="81">
        <v>0</v>
      </c>
      <c r="R16" s="81"/>
      <c r="S16" s="159">
        <f t="shared" si="0"/>
        <v>0</v>
      </c>
    </row>
    <row r="17" spans="1:19">
      <c r="A17" s="80">
        <v>10</v>
      </c>
      <c r="B17" s="2" t="s">
        <v>59</v>
      </c>
      <c r="C17" s="81">
        <v>0</v>
      </c>
      <c r="D17" s="81"/>
      <c r="E17" s="81">
        <v>0</v>
      </c>
      <c r="F17" s="81"/>
      <c r="G17" s="81">
        <v>0</v>
      </c>
      <c r="H17" s="81"/>
      <c r="I17" s="81">
        <v>0</v>
      </c>
      <c r="J17" s="81"/>
      <c r="K17" s="81">
        <v>0</v>
      </c>
      <c r="L17" s="81"/>
      <c r="M17" s="81">
        <v>4580588.0039999997</v>
      </c>
      <c r="N17" s="81"/>
      <c r="O17" s="81">
        <v>12040446.216800001</v>
      </c>
      <c r="P17" s="81"/>
      <c r="Q17" s="81">
        <v>0</v>
      </c>
      <c r="R17" s="81"/>
      <c r="S17" s="159">
        <f t="shared" si="0"/>
        <v>22641257.3292</v>
      </c>
    </row>
    <row r="18" spans="1:19">
      <c r="A18" s="80">
        <v>11</v>
      </c>
      <c r="B18" s="2" t="s">
        <v>60</v>
      </c>
      <c r="C18" s="81">
        <v>0</v>
      </c>
      <c r="D18" s="81"/>
      <c r="E18" s="81">
        <v>0</v>
      </c>
      <c r="F18" s="81"/>
      <c r="G18" s="81">
        <v>0</v>
      </c>
      <c r="H18" s="81"/>
      <c r="I18" s="81">
        <v>0</v>
      </c>
      <c r="J18" s="81"/>
      <c r="K18" s="81">
        <v>0</v>
      </c>
      <c r="L18" s="81"/>
      <c r="M18" s="81">
        <v>0</v>
      </c>
      <c r="N18" s="81"/>
      <c r="O18" s="81">
        <v>0</v>
      </c>
      <c r="P18" s="81"/>
      <c r="Q18" s="81">
        <v>0</v>
      </c>
      <c r="R18" s="81"/>
      <c r="S18" s="159">
        <f t="shared" si="0"/>
        <v>0</v>
      </c>
    </row>
    <row r="19" spans="1:19">
      <c r="A19" s="80">
        <v>12</v>
      </c>
      <c r="B19" s="2" t="s">
        <v>61</v>
      </c>
      <c r="C19" s="81">
        <v>0</v>
      </c>
      <c r="D19" s="81"/>
      <c r="E19" s="81">
        <v>0</v>
      </c>
      <c r="F19" s="81"/>
      <c r="G19" s="81">
        <v>0</v>
      </c>
      <c r="H19" s="81"/>
      <c r="I19" s="81">
        <v>0</v>
      </c>
      <c r="J19" s="81"/>
      <c r="K19" s="81">
        <v>0</v>
      </c>
      <c r="L19" s="81"/>
      <c r="M19" s="81">
        <v>0</v>
      </c>
      <c r="N19" s="81"/>
      <c r="O19" s="81">
        <v>0</v>
      </c>
      <c r="P19" s="81"/>
      <c r="Q19" s="81">
        <v>0</v>
      </c>
      <c r="R19" s="81"/>
      <c r="S19" s="159">
        <f t="shared" si="0"/>
        <v>0</v>
      </c>
    </row>
    <row r="20" spans="1:19">
      <c r="A20" s="80">
        <v>13</v>
      </c>
      <c r="B20" s="2" t="s">
        <v>144</v>
      </c>
      <c r="C20" s="81">
        <v>0</v>
      </c>
      <c r="D20" s="81"/>
      <c r="E20" s="81">
        <v>0</v>
      </c>
      <c r="F20" s="81"/>
      <c r="G20" s="81">
        <v>0</v>
      </c>
      <c r="H20" s="81"/>
      <c r="I20" s="81">
        <v>0</v>
      </c>
      <c r="J20" s="81"/>
      <c r="K20" s="81">
        <v>0</v>
      </c>
      <c r="L20" s="81"/>
      <c r="M20" s="81">
        <v>0</v>
      </c>
      <c r="N20" s="81"/>
      <c r="O20" s="81">
        <v>0</v>
      </c>
      <c r="P20" s="81"/>
      <c r="Q20" s="81">
        <v>0</v>
      </c>
      <c r="R20" s="81"/>
      <c r="S20" s="159">
        <f t="shared" si="0"/>
        <v>0</v>
      </c>
    </row>
    <row r="21" spans="1:19">
      <c r="A21" s="80">
        <v>14</v>
      </c>
      <c r="B21" s="2" t="s">
        <v>63</v>
      </c>
      <c r="C21" s="81">
        <v>2381730.9615000002</v>
      </c>
      <c r="D21" s="81"/>
      <c r="E21" s="81">
        <v>0</v>
      </c>
      <c r="F21" s="81"/>
      <c r="G21" s="81">
        <v>0</v>
      </c>
      <c r="H21" s="81"/>
      <c r="I21" s="81">
        <v>0</v>
      </c>
      <c r="J21" s="81"/>
      <c r="K21" s="81">
        <v>0</v>
      </c>
      <c r="L21" s="81"/>
      <c r="M21" s="81">
        <v>20258996.8277</v>
      </c>
      <c r="N21" s="81"/>
      <c r="O21" s="81">
        <v>0</v>
      </c>
      <c r="P21" s="81"/>
      <c r="Q21" s="81">
        <v>0</v>
      </c>
      <c r="R21" s="81"/>
      <c r="S21" s="159">
        <f t="shared" si="0"/>
        <v>20258996.8277</v>
      </c>
    </row>
    <row r="22" spans="1:19" ht="13.8" thickBot="1">
      <c r="A22" s="82"/>
      <c r="B22" s="83" t="s">
        <v>64</v>
      </c>
      <c r="C22" s="84">
        <f>SUM(C8:C21)</f>
        <v>18942775.5715</v>
      </c>
      <c r="D22" s="84">
        <f t="shared" ref="D22:J22" si="1">SUM(D8:D21)</f>
        <v>0</v>
      </c>
      <c r="E22" s="84">
        <f t="shared" si="1"/>
        <v>37556780.192299999</v>
      </c>
      <c r="F22" s="84">
        <f t="shared" si="1"/>
        <v>0</v>
      </c>
      <c r="G22" s="84">
        <f t="shared" si="1"/>
        <v>0</v>
      </c>
      <c r="H22" s="84">
        <f t="shared" si="1"/>
        <v>0</v>
      </c>
      <c r="I22" s="84">
        <f t="shared" si="1"/>
        <v>17916709.805100001</v>
      </c>
      <c r="J22" s="84">
        <f t="shared" si="1"/>
        <v>0</v>
      </c>
      <c r="K22" s="84">
        <f t="shared" ref="K22:S22" si="2">SUM(K8:K21)</f>
        <v>0</v>
      </c>
      <c r="L22" s="84">
        <f t="shared" si="2"/>
        <v>0</v>
      </c>
      <c r="M22" s="84">
        <f t="shared" si="2"/>
        <v>569603854.21669996</v>
      </c>
      <c r="N22" s="84">
        <f t="shared" si="2"/>
        <v>34993800.735349998</v>
      </c>
      <c r="O22" s="84">
        <f t="shared" si="2"/>
        <v>12281569.295400001</v>
      </c>
      <c r="P22" s="84">
        <f t="shared" si="2"/>
        <v>0</v>
      </c>
      <c r="Q22" s="84">
        <f t="shared" si="2"/>
        <v>0</v>
      </c>
      <c r="R22" s="84">
        <f t="shared" si="2"/>
        <v>0</v>
      </c>
      <c r="S22" s="160">
        <f t="shared" si="2"/>
        <v>639489719.83616006</v>
      </c>
    </row>
    <row r="24" spans="1:19">
      <c r="C24" s="543"/>
      <c r="D24" s="543"/>
      <c r="E24" s="543"/>
      <c r="F24" s="543"/>
      <c r="G24" s="543"/>
      <c r="H24" s="543"/>
      <c r="I24" s="543"/>
      <c r="J24" s="543"/>
      <c r="K24" s="543"/>
      <c r="L24" s="543"/>
      <c r="M24" s="543"/>
      <c r="N24" s="543"/>
      <c r="O24" s="543"/>
      <c r="P24" s="543"/>
      <c r="Q24" s="543"/>
      <c r="R24" s="543"/>
      <c r="S24" s="543"/>
    </row>
    <row r="25" spans="1:19">
      <c r="C25" s="543"/>
      <c r="D25" s="543"/>
      <c r="E25" s="543"/>
      <c r="F25" s="543"/>
      <c r="G25" s="543"/>
      <c r="H25" s="543"/>
      <c r="I25" s="543"/>
      <c r="J25" s="543"/>
      <c r="K25" s="543"/>
      <c r="L25" s="543"/>
      <c r="M25" s="543"/>
      <c r="N25" s="543"/>
      <c r="O25" s="543"/>
      <c r="P25" s="543"/>
      <c r="Q25" s="543"/>
      <c r="R25" s="543"/>
      <c r="S25" s="543"/>
    </row>
    <row r="26" spans="1:19">
      <c r="C26" s="543"/>
      <c r="D26" s="543"/>
      <c r="E26" s="543"/>
      <c r="F26" s="543"/>
      <c r="G26" s="543"/>
      <c r="H26" s="543"/>
      <c r="I26" s="543"/>
      <c r="J26" s="543"/>
      <c r="K26" s="543"/>
      <c r="L26" s="543"/>
      <c r="M26" s="543"/>
      <c r="N26" s="543"/>
      <c r="O26" s="543"/>
      <c r="P26" s="543"/>
      <c r="Q26" s="543"/>
      <c r="R26" s="543"/>
      <c r="S26" s="543"/>
    </row>
    <row r="27" spans="1:19">
      <c r="C27" s="543"/>
      <c r="D27" s="543"/>
      <c r="E27" s="543"/>
      <c r="F27" s="543"/>
      <c r="G27" s="543"/>
      <c r="H27" s="543"/>
      <c r="I27" s="543"/>
      <c r="J27" s="543"/>
      <c r="K27" s="543"/>
      <c r="L27" s="543"/>
      <c r="M27" s="543"/>
      <c r="N27" s="543"/>
      <c r="O27" s="543"/>
      <c r="P27" s="543"/>
      <c r="Q27" s="543"/>
      <c r="R27" s="543"/>
      <c r="S27" s="543"/>
    </row>
    <row r="28" spans="1:19">
      <c r="C28" s="543"/>
      <c r="D28" s="543"/>
      <c r="E28" s="543"/>
      <c r="F28" s="543"/>
      <c r="G28" s="543"/>
      <c r="H28" s="543"/>
      <c r="I28" s="543"/>
      <c r="J28" s="543"/>
      <c r="K28" s="543"/>
      <c r="L28" s="543"/>
      <c r="M28" s="543"/>
      <c r="N28" s="543"/>
      <c r="O28" s="543"/>
      <c r="P28" s="543"/>
      <c r="Q28" s="543"/>
      <c r="R28" s="543"/>
      <c r="S28" s="543"/>
    </row>
    <row r="29" spans="1:19">
      <c r="C29" s="543"/>
      <c r="D29" s="543"/>
      <c r="E29" s="543"/>
      <c r="F29" s="543"/>
      <c r="G29" s="543"/>
      <c r="H29" s="543"/>
      <c r="I29" s="543"/>
      <c r="J29" s="543"/>
      <c r="K29" s="543"/>
      <c r="L29" s="543"/>
      <c r="M29" s="543"/>
      <c r="N29" s="543"/>
      <c r="O29" s="543"/>
      <c r="P29" s="543"/>
      <c r="Q29" s="543"/>
      <c r="R29" s="543"/>
      <c r="S29" s="543"/>
    </row>
    <row r="30" spans="1:19">
      <c r="C30" s="543"/>
      <c r="D30" s="543"/>
      <c r="E30" s="543"/>
      <c r="F30" s="543"/>
      <c r="G30" s="543"/>
      <c r="H30" s="543"/>
      <c r="I30" s="543"/>
      <c r="J30" s="543"/>
      <c r="K30" s="543"/>
      <c r="L30" s="543"/>
      <c r="M30" s="543"/>
      <c r="N30" s="543"/>
      <c r="O30" s="543"/>
      <c r="P30" s="543"/>
      <c r="Q30" s="543"/>
      <c r="R30" s="543"/>
      <c r="S30" s="543"/>
    </row>
    <row r="31" spans="1:19">
      <c r="C31" s="543"/>
      <c r="D31" s="543"/>
      <c r="E31" s="543"/>
      <c r="F31" s="543"/>
      <c r="G31" s="543"/>
      <c r="H31" s="543"/>
      <c r="I31" s="543"/>
      <c r="J31" s="543"/>
      <c r="K31" s="543"/>
      <c r="L31" s="543"/>
      <c r="M31" s="543"/>
      <c r="N31" s="543"/>
      <c r="O31" s="543"/>
      <c r="P31" s="543"/>
      <c r="Q31" s="543"/>
      <c r="R31" s="543"/>
      <c r="S31" s="543"/>
    </row>
    <row r="32" spans="1:19">
      <c r="C32" s="543"/>
      <c r="D32" s="543"/>
      <c r="E32" s="543"/>
      <c r="F32" s="543"/>
      <c r="G32" s="543"/>
      <c r="H32" s="543"/>
      <c r="I32" s="543"/>
      <c r="J32" s="543"/>
      <c r="K32" s="543"/>
      <c r="L32" s="543"/>
      <c r="M32" s="543"/>
      <c r="N32" s="543"/>
      <c r="O32" s="543"/>
      <c r="P32" s="543"/>
      <c r="Q32" s="543"/>
      <c r="R32" s="543"/>
      <c r="S32" s="543"/>
    </row>
    <row r="33" spans="3:19">
      <c r="C33" s="543"/>
      <c r="D33" s="543"/>
      <c r="E33" s="543"/>
      <c r="F33" s="543"/>
      <c r="G33" s="543"/>
      <c r="H33" s="543"/>
      <c r="I33" s="543"/>
      <c r="J33" s="543"/>
      <c r="K33" s="543"/>
      <c r="L33" s="543"/>
      <c r="M33" s="543"/>
      <c r="N33" s="543"/>
      <c r="O33" s="543"/>
      <c r="P33" s="543"/>
      <c r="Q33" s="543"/>
      <c r="R33" s="543"/>
      <c r="S33" s="543"/>
    </row>
    <row r="34" spans="3:19">
      <c r="C34" s="543"/>
      <c r="D34" s="543"/>
      <c r="E34" s="543"/>
      <c r="F34" s="543"/>
      <c r="G34" s="543"/>
      <c r="H34" s="543"/>
      <c r="I34" s="543"/>
      <c r="J34" s="543"/>
      <c r="K34" s="543"/>
      <c r="L34" s="543"/>
      <c r="M34" s="543"/>
      <c r="N34" s="543"/>
      <c r="O34" s="543"/>
      <c r="P34" s="543"/>
      <c r="Q34" s="543"/>
      <c r="R34" s="543"/>
      <c r="S34" s="543"/>
    </row>
    <row r="35" spans="3:19">
      <c r="C35" s="543"/>
      <c r="D35" s="543"/>
      <c r="E35" s="543"/>
      <c r="F35" s="543"/>
      <c r="G35" s="543"/>
      <c r="H35" s="543"/>
      <c r="I35" s="543"/>
      <c r="J35" s="543"/>
      <c r="K35" s="543"/>
      <c r="L35" s="543"/>
      <c r="M35" s="543"/>
      <c r="N35" s="543"/>
      <c r="O35" s="543"/>
      <c r="P35" s="543"/>
      <c r="Q35" s="543"/>
      <c r="R35" s="543"/>
      <c r="S35" s="543"/>
    </row>
    <row r="36" spans="3:19">
      <c r="C36" s="543"/>
      <c r="D36" s="543"/>
      <c r="E36" s="543"/>
      <c r="F36" s="543"/>
      <c r="G36" s="543"/>
      <c r="H36" s="543"/>
      <c r="I36" s="543"/>
      <c r="J36" s="543"/>
      <c r="K36" s="543"/>
      <c r="L36" s="543"/>
      <c r="M36" s="543"/>
      <c r="N36" s="543"/>
      <c r="O36" s="543"/>
      <c r="P36" s="543"/>
      <c r="Q36" s="543"/>
      <c r="R36" s="543"/>
      <c r="S36" s="543"/>
    </row>
    <row r="37" spans="3:19">
      <c r="C37" s="543"/>
      <c r="D37" s="543"/>
      <c r="E37" s="543"/>
      <c r="F37" s="543"/>
      <c r="G37" s="543"/>
      <c r="H37" s="543"/>
      <c r="I37" s="543"/>
      <c r="J37" s="543"/>
      <c r="K37" s="543"/>
      <c r="L37" s="543"/>
      <c r="M37" s="543"/>
      <c r="N37" s="543"/>
      <c r="O37" s="543"/>
      <c r="P37" s="543"/>
      <c r="Q37" s="543"/>
      <c r="R37" s="543"/>
      <c r="S37" s="543"/>
    </row>
    <row r="38" spans="3:19">
      <c r="C38" s="543"/>
      <c r="D38" s="543"/>
      <c r="E38" s="543"/>
      <c r="F38" s="543"/>
      <c r="G38" s="543"/>
      <c r="H38" s="543"/>
      <c r="I38" s="543"/>
      <c r="J38" s="543"/>
      <c r="K38" s="543"/>
      <c r="L38" s="543"/>
      <c r="M38" s="543"/>
      <c r="N38" s="543"/>
      <c r="O38" s="543"/>
      <c r="P38" s="543"/>
      <c r="Q38" s="543"/>
      <c r="R38" s="543"/>
      <c r="S38" s="543"/>
    </row>
    <row r="39" spans="3:19">
      <c r="C39" s="542"/>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4" orientation="portrait" horizontalDpi="300" verticalDpi="300" r:id="rId1"/>
  <headerFooter>
    <oddFooter>&amp;C_x000D_&amp;1#&amp;"Aptos"&amp;10&amp;K000000 C4 - EXTERNAL CONFIDENTIAL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X16" sqref="X16"/>
    </sheetView>
  </sheetViews>
  <sheetFormatPr defaultColWidth="9.21875" defaultRowHeight="13.2"/>
  <cols>
    <col min="1" max="1" width="10.5546875" style="5" bestFit="1" customWidth="1"/>
    <col min="2" max="2" width="63.77734375" style="5" bestFit="1" customWidth="1"/>
    <col min="3" max="3" width="19" style="5" customWidth="1"/>
    <col min="4" max="4" width="19.5546875" style="5" customWidth="1"/>
    <col min="5" max="5" width="31.21875" style="5" customWidth="1"/>
    <col min="6" max="6" width="29.21875" style="5" customWidth="1"/>
    <col min="7" max="7" width="28.5546875" style="5" customWidth="1"/>
    <col min="8" max="8" width="26.44140625" style="5" customWidth="1"/>
    <col min="9" max="9" width="23.77734375" style="5" customWidth="1"/>
    <col min="10" max="10" width="21.5546875" style="5" customWidth="1"/>
    <col min="11" max="11" width="15.77734375" style="5" customWidth="1"/>
    <col min="12" max="12" width="13.21875" style="5" customWidth="1"/>
    <col min="13" max="13" width="20.77734375" style="5" customWidth="1"/>
    <col min="14" max="14" width="19.21875" style="5" customWidth="1"/>
    <col min="15" max="15" width="18.44140625" style="5" customWidth="1"/>
    <col min="16" max="16" width="19" style="5" customWidth="1"/>
    <col min="17" max="17" width="20.21875" style="5" customWidth="1"/>
    <col min="18" max="18" width="18" style="5" customWidth="1"/>
    <col min="19" max="19" width="36" style="5" customWidth="1"/>
    <col min="20" max="20" width="26.21875" style="5" customWidth="1"/>
    <col min="21" max="21" width="24.77734375" style="5" customWidth="1"/>
    <col min="22" max="22" width="20" style="5" customWidth="1"/>
    <col min="23" max="16384" width="9.21875" style="14"/>
  </cols>
  <sheetData>
    <row r="1" spans="1:22">
      <c r="A1" s="3" t="s">
        <v>30</v>
      </c>
      <c r="B1" s="4" t="str">
        <f>'Info '!C2</f>
        <v xml:space="preserve">PASHA Bank Georgia JSC </v>
      </c>
    </row>
    <row r="2" spans="1:22">
      <c r="A2" s="3" t="s">
        <v>31</v>
      </c>
      <c r="B2" s="252">
        <f>'1. key ratios '!B2</f>
        <v>46022</v>
      </c>
    </row>
    <row r="4" spans="1:22" ht="13.8" thickBot="1">
      <c r="A4" s="5" t="s">
        <v>230</v>
      </c>
      <c r="B4" s="85" t="s">
        <v>50</v>
      </c>
      <c r="V4" s="15" t="s">
        <v>35</v>
      </c>
    </row>
    <row r="5" spans="1:22" ht="12.75" customHeight="1">
      <c r="A5" s="86"/>
      <c r="B5" s="87"/>
      <c r="C5" s="773" t="s">
        <v>156</v>
      </c>
      <c r="D5" s="774"/>
      <c r="E5" s="774"/>
      <c r="F5" s="774"/>
      <c r="G5" s="774"/>
      <c r="H5" s="774"/>
      <c r="I5" s="774"/>
      <c r="J5" s="774"/>
      <c r="K5" s="774"/>
      <c r="L5" s="775"/>
      <c r="M5" s="776" t="s">
        <v>157</v>
      </c>
      <c r="N5" s="777"/>
      <c r="O5" s="777"/>
      <c r="P5" s="777"/>
      <c r="Q5" s="777"/>
      <c r="R5" s="777"/>
      <c r="S5" s="778"/>
      <c r="T5" s="781" t="s">
        <v>228</v>
      </c>
      <c r="U5" s="781" t="s">
        <v>229</v>
      </c>
      <c r="V5" s="779" t="s">
        <v>76</v>
      </c>
    </row>
    <row r="6" spans="1:22" s="45" customFormat="1" ht="105.6">
      <c r="A6" s="43"/>
      <c r="B6" s="88"/>
      <c r="C6" s="89" t="s">
        <v>65</v>
      </c>
      <c r="D6" s="123" t="s">
        <v>66</v>
      </c>
      <c r="E6" s="101" t="s">
        <v>159</v>
      </c>
      <c r="F6" s="101" t="s">
        <v>160</v>
      </c>
      <c r="G6" s="123" t="s">
        <v>163</v>
      </c>
      <c r="H6" s="123" t="s">
        <v>158</v>
      </c>
      <c r="I6" s="123" t="s">
        <v>67</v>
      </c>
      <c r="J6" s="123" t="s">
        <v>68</v>
      </c>
      <c r="K6" s="90" t="s">
        <v>69</v>
      </c>
      <c r="L6" s="91" t="s">
        <v>70</v>
      </c>
      <c r="M6" s="89" t="s">
        <v>161</v>
      </c>
      <c r="N6" s="90" t="s">
        <v>71</v>
      </c>
      <c r="O6" s="90" t="s">
        <v>72</v>
      </c>
      <c r="P6" s="90" t="s">
        <v>73</v>
      </c>
      <c r="Q6" s="90" t="s">
        <v>74</v>
      </c>
      <c r="R6" s="90" t="s">
        <v>75</v>
      </c>
      <c r="S6" s="141" t="s">
        <v>162</v>
      </c>
      <c r="T6" s="782"/>
      <c r="U6" s="782"/>
      <c r="V6" s="780"/>
    </row>
    <row r="7" spans="1:22" s="659" customFormat="1" ht="16.2" customHeight="1">
      <c r="A7" s="92">
        <v>1</v>
      </c>
      <c r="B7" s="2" t="s">
        <v>51</v>
      </c>
      <c r="C7" s="654"/>
      <c r="D7" s="655"/>
      <c r="E7" s="655"/>
      <c r="F7" s="655"/>
      <c r="G7" s="655"/>
      <c r="H7" s="655"/>
      <c r="I7" s="655"/>
      <c r="J7" s="655"/>
      <c r="K7" s="655"/>
      <c r="L7" s="656"/>
      <c r="M7" s="654"/>
      <c r="N7" s="655"/>
      <c r="O7" s="655"/>
      <c r="P7" s="655"/>
      <c r="Q7" s="655"/>
      <c r="R7" s="655"/>
      <c r="S7" s="656"/>
      <c r="T7" s="657"/>
      <c r="U7" s="657"/>
      <c r="V7" s="658">
        <f>SUM(C7:S7)</f>
        <v>0</v>
      </c>
    </row>
    <row r="8" spans="1:22" s="659" customFormat="1" ht="16.2" customHeight="1">
      <c r="A8" s="92">
        <v>2</v>
      </c>
      <c r="B8" s="2" t="s">
        <v>52</v>
      </c>
      <c r="C8" s="654"/>
      <c r="D8" s="655"/>
      <c r="E8" s="655"/>
      <c r="F8" s="655"/>
      <c r="G8" s="655"/>
      <c r="H8" s="655"/>
      <c r="I8" s="655"/>
      <c r="J8" s="655"/>
      <c r="K8" s="655"/>
      <c r="L8" s="656"/>
      <c r="M8" s="654"/>
      <c r="N8" s="655"/>
      <c r="O8" s="655"/>
      <c r="P8" s="655"/>
      <c r="Q8" s="655"/>
      <c r="R8" s="655"/>
      <c r="S8" s="656"/>
      <c r="T8" s="657"/>
      <c r="U8" s="657"/>
      <c r="V8" s="658">
        <f t="shared" ref="V8:V20" si="0">SUM(C8:S8)</f>
        <v>0</v>
      </c>
    </row>
    <row r="9" spans="1:22" s="659" customFormat="1" ht="16.2" customHeight="1">
      <c r="A9" s="92">
        <v>3</v>
      </c>
      <c r="B9" s="2" t="s">
        <v>153</v>
      </c>
      <c r="C9" s="654"/>
      <c r="D9" s="655"/>
      <c r="E9" s="655"/>
      <c r="F9" s="655"/>
      <c r="G9" s="655"/>
      <c r="H9" s="655"/>
      <c r="I9" s="655"/>
      <c r="J9" s="655"/>
      <c r="K9" s="655"/>
      <c r="L9" s="656"/>
      <c r="M9" s="654"/>
      <c r="N9" s="655"/>
      <c r="O9" s="655"/>
      <c r="P9" s="655"/>
      <c r="Q9" s="655"/>
      <c r="R9" s="655"/>
      <c r="S9" s="656"/>
      <c r="T9" s="657"/>
      <c r="U9" s="657"/>
      <c r="V9" s="658">
        <f t="shared" si="0"/>
        <v>0</v>
      </c>
    </row>
    <row r="10" spans="1:22" s="659" customFormat="1" ht="16.2" customHeight="1">
      <c r="A10" s="92">
        <v>4</v>
      </c>
      <c r="B10" s="2" t="s">
        <v>53</v>
      </c>
      <c r="C10" s="654"/>
      <c r="D10" s="655"/>
      <c r="E10" s="655"/>
      <c r="F10" s="655"/>
      <c r="G10" s="655"/>
      <c r="H10" s="655"/>
      <c r="I10" s="655"/>
      <c r="J10" s="655"/>
      <c r="K10" s="655"/>
      <c r="L10" s="656"/>
      <c r="M10" s="654"/>
      <c r="N10" s="655"/>
      <c r="O10" s="655"/>
      <c r="P10" s="655"/>
      <c r="Q10" s="655"/>
      <c r="R10" s="655"/>
      <c r="S10" s="656"/>
      <c r="T10" s="657"/>
      <c r="U10" s="657"/>
      <c r="V10" s="658">
        <f t="shared" si="0"/>
        <v>0</v>
      </c>
    </row>
    <row r="11" spans="1:22" s="659" customFormat="1" ht="16.2" customHeight="1">
      <c r="A11" s="92">
        <v>5</v>
      </c>
      <c r="B11" s="2" t="s">
        <v>54</v>
      </c>
      <c r="C11" s="654"/>
      <c r="D11" s="655"/>
      <c r="E11" s="655"/>
      <c r="F11" s="655"/>
      <c r="G11" s="655"/>
      <c r="H11" s="655"/>
      <c r="I11" s="655"/>
      <c r="J11" s="655"/>
      <c r="K11" s="655"/>
      <c r="L11" s="656"/>
      <c r="M11" s="654"/>
      <c r="N11" s="655"/>
      <c r="O11" s="655"/>
      <c r="P11" s="655"/>
      <c r="Q11" s="655"/>
      <c r="R11" s="655"/>
      <c r="S11" s="656"/>
      <c r="T11" s="657"/>
      <c r="U11" s="657"/>
      <c r="V11" s="658">
        <f t="shared" si="0"/>
        <v>0</v>
      </c>
    </row>
    <row r="12" spans="1:22" s="659" customFormat="1" ht="16.2" customHeight="1">
      <c r="A12" s="92">
        <v>6</v>
      </c>
      <c r="B12" s="2" t="s">
        <v>55</v>
      </c>
      <c r="C12" s="654"/>
      <c r="D12" s="655"/>
      <c r="E12" s="655"/>
      <c r="F12" s="655"/>
      <c r="G12" s="655"/>
      <c r="H12" s="655"/>
      <c r="I12" s="655"/>
      <c r="J12" s="655"/>
      <c r="K12" s="655"/>
      <c r="L12" s="656"/>
      <c r="M12" s="654"/>
      <c r="N12" s="655"/>
      <c r="O12" s="655"/>
      <c r="P12" s="655"/>
      <c r="Q12" s="655"/>
      <c r="R12" s="655"/>
      <c r="S12" s="656"/>
      <c r="T12" s="657"/>
      <c r="U12" s="657"/>
      <c r="V12" s="658">
        <f t="shared" si="0"/>
        <v>0</v>
      </c>
    </row>
    <row r="13" spans="1:22" s="659" customFormat="1" ht="16.2" customHeight="1">
      <c r="A13" s="92">
        <v>7</v>
      </c>
      <c r="B13" s="2" t="s">
        <v>56</v>
      </c>
      <c r="C13" s="654"/>
      <c r="D13" s="655">
        <v>56284663.148000002</v>
      </c>
      <c r="E13" s="655"/>
      <c r="F13" s="655"/>
      <c r="G13" s="655"/>
      <c r="H13" s="655"/>
      <c r="I13" s="655"/>
      <c r="J13" s="655"/>
      <c r="K13" s="655"/>
      <c r="L13" s="656"/>
      <c r="M13" s="654"/>
      <c r="N13" s="655"/>
      <c r="O13" s="655"/>
      <c r="P13" s="655"/>
      <c r="Q13" s="655"/>
      <c r="R13" s="655"/>
      <c r="S13" s="656"/>
      <c r="T13" s="657">
        <v>53616049.572999999</v>
      </c>
      <c r="U13" s="657">
        <v>2668613.5750000002</v>
      </c>
      <c r="V13" s="658">
        <f t="shared" si="0"/>
        <v>56284663.148000002</v>
      </c>
    </row>
    <row r="14" spans="1:22" s="659" customFormat="1" ht="16.2" customHeight="1">
      <c r="A14" s="92">
        <v>8</v>
      </c>
      <c r="B14" s="2" t="s">
        <v>57</v>
      </c>
      <c r="C14" s="654"/>
      <c r="D14" s="655">
        <v>0</v>
      </c>
      <c r="E14" s="655"/>
      <c r="F14" s="655"/>
      <c r="G14" s="655"/>
      <c r="H14" s="655"/>
      <c r="I14" s="655"/>
      <c r="J14" s="655"/>
      <c r="K14" s="655"/>
      <c r="L14" s="656"/>
      <c r="M14" s="654"/>
      <c r="N14" s="655"/>
      <c r="O14" s="655"/>
      <c r="P14" s="655"/>
      <c r="Q14" s="655"/>
      <c r="R14" s="655"/>
      <c r="S14" s="656"/>
      <c r="T14" s="657">
        <v>0</v>
      </c>
      <c r="U14" s="657">
        <v>0</v>
      </c>
      <c r="V14" s="658">
        <f t="shared" si="0"/>
        <v>0</v>
      </c>
    </row>
    <row r="15" spans="1:22" s="659" customFormat="1" ht="16.2" customHeight="1">
      <c r="A15" s="92">
        <v>9</v>
      </c>
      <c r="B15" s="2" t="s">
        <v>58</v>
      </c>
      <c r="C15" s="654"/>
      <c r="D15" s="655"/>
      <c r="E15" s="655"/>
      <c r="F15" s="655"/>
      <c r="G15" s="655"/>
      <c r="H15" s="655"/>
      <c r="I15" s="655"/>
      <c r="J15" s="655"/>
      <c r="K15" s="655"/>
      <c r="L15" s="656"/>
      <c r="M15" s="654"/>
      <c r="N15" s="655"/>
      <c r="O15" s="655"/>
      <c r="P15" s="655"/>
      <c r="Q15" s="655"/>
      <c r="R15" s="655"/>
      <c r="S15" s="656"/>
      <c r="T15" s="657"/>
      <c r="U15" s="657"/>
      <c r="V15" s="658">
        <f t="shared" si="0"/>
        <v>0</v>
      </c>
    </row>
    <row r="16" spans="1:22" s="659" customFormat="1" ht="16.2" customHeight="1">
      <c r="A16" s="92">
        <v>10</v>
      </c>
      <c r="B16" s="2" t="s">
        <v>59</v>
      </c>
      <c r="C16" s="654"/>
      <c r="D16" s="655">
        <v>0</v>
      </c>
      <c r="E16" s="655"/>
      <c r="F16" s="655"/>
      <c r="G16" s="655"/>
      <c r="H16" s="655"/>
      <c r="I16" s="655"/>
      <c r="J16" s="655"/>
      <c r="K16" s="655"/>
      <c r="L16" s="656"/>
      <c r="M16" s="654"/>
      <c r="N16" s="655"/>
      <c r="O16" s="655"/>
      <c r="P16" s="655"/>
      <c r="Q16" s="655"/>
      <c r="R16" s="655"/>
      <c r="S16" s="656"/>
      <c r="T16" s="657">
        <v>0</v>
      </c>
      <c r="U16" s="657"/>
      <c r="V16" s="658">
        <f t="shared" si="0"/>
        <v>0</v>
      </c>
    </row>
    <row r="17" spans="1:22" s="659" customFormat="1" ht="16.2" customHeight="1">
      <c r="A17" s="92">
        <v>11</v>
      </c>
      <c r="B17" s="2" t="s">
        <v>60</v>
      </c>
      <c r="C17" s="654"/>
      <c r="D17" s="655"/>
      <c r="E17" s="655"/>
      <c r="F17" s="655"/>
      <c r="G17" s="655"/>
      <c r="H17" s="655"/>
      <c r="I17" s="655"/>
      <c r="J17" s="655"/>
      <c r="K17" s="655"/>
      <c r="L17" s="656"/>
      <c r="M17" s="654"/>
      <c r="N17" s="655"/>
      <c r="O17" s="655"/>
      <c r="P17" s="655"/>
      <c r="Q17" s="655"/>
      <c r="R17" s="655"/>
      <c r="S17" s="656"/>
      <c r="T17" s="657"/>
      <c r="U17" s="657"/>
      <c r="V17" s="658">
        <f t="shared" si="0"/>
        <v>0</v>
      </c>
    </row>
    <row r="18" spans="1:22" s="659" customFormat="1" ht="16.2" customHeight="1">
      <c r="A18" s="92">
        <v>12</v>
      </c>
      <c r="B18" s="2" t="s">
        <v>61</v>
      </c>
      <c r="C18" s="654"/>
      <c r="D18" s="655"/>
      <c r="E18" s="655"/>
      <c r="F18" s="655"/>
      <c r="G18" s="655"/>
      <c r="H18" s="655"/>
      <c r="I18" s="655"/>
      <c r="J18" s="655"/>
      <c r="K18" s="655"/>
      <c r="L18" s="656"/>
      <c r="M18" s="654"/>
      <c r="N18" s="655"/>
      <c r="O18" s="655"/>
      <c r="P18" s="655"/>
      <c r="Q18" s="655"/>
      <c r="R18" s="655"/>
      <c r="S18" s="656"/>
      <c r="T18" s="657"/>
      <c r="U18" s="657"/>
      <c r="V18" s="658">
        <f t="shared" si="0"/>
        <v>0</v>
      </c>
    </row>
    <row r="19" spans="1:22" s="659" customFormat="1" ht="16.2" customHeight="1">
      <c r="A19" s="92">
        <v>13</v>
      </c>
      <c r="B19" s="2" t="s">
        <v>62</v>
      </c>
      <c r="C19" s="654"/>
      <c r="D19" s="655"/>
      <c r="E19" s="655"/>
      <c r="F19" s="655"/>
      <c r="G19" s="655"/>
      <c r="H19" s="655"/>
      <c r="I19" s="655"/>
      <c r="J19" s="655"/>
      <c r="K19" s="655"/>
      <c r="L19" s="656"/>
      <c r="M19" s="654"/>
      <c r="N19" s="655"/>
      <c r="O19" s="655"/>
      <c r="P19" s="655"/>
      <c r="Q19" s="655"/>
      <c r="R19" s="655"/>
      <c r="S19" s="656"/>
      <c r="T19" s="657"/>
      <c r="U19" s="657"/>
      <c r="V19" s="658">
        <f t="shared" si="0"/>
        <v>0</v>
      </c>
    </row>
    <row r="20" spans="1:22" s="659" customFormat="1" ht="16.2" customHeight="1">
      <c r="A20" s="92">
        <v>14</v>
      </c>
      <c r="B20" s="2" t="s">
        <v>63</v>
      </c>
      <c r="C20" s="654"/>
      <c r="D20" s="655"/>
      <c r="E20" s="655"/>
      <c r="F20" s="655"/>
      <c r="G20" s="655"/>
      <c r="H20" s="655"/>
      <c r="I20" s="655"/>
      <c r="J20" s="655"/>
      <c r="K20" s="655"/>
      <c r="L20" s="656"/>
      <c r="M20" s="654"/>
      <c r="N20" s="655"/>
      <c r="O20" s="655"/>
      <c r="P20" s="655"/>
      <c r="Q20" s="655"/>
      <c r="R20" s="655"/>
      <c r="S20" s="656"/>
      <c r="T20" s="657"/>
      <c r="U20" s="657"/>
      <c r="V20" s="658">
        <f t="shared" si="0"/>
        <v>0</v>
      </c>
    </row>
    <row r="21" spans="1:22" s="659" customFormat="1" ht="16.2" customHeight="1" thickBot="1">
      <c r="A21" s="82"/>
      <c r="B21" s="660" t="s">
        <v>64</v>
      </c>
      <c r="C21" s="661">
        <f>SUM(C7:C20)</f>
        <v>0</v>
      </c>
      <c r="D21" s="662">
        <f t="shared" ref="D21:V21" si="1">SUM(D7:D20)</f>
        <v>56284663.148000002</v>
      </c>
      <c r="E21" s="662">
        <f t="shared" si="1"/>
        <v>0</v>
      </c>
      <c r="F21" s="662">
        <f t="shared" si="1"/>
        <v>0</v>
      </c>
      <c r="G21" s="662">
        <f t="shared" si="1"/>
        <v>0</v>
      </c>
      <c r="H21" s="662">
        <f t="shared" si="1"/>
        <v>0</v>
      </c>
      <c r="I21" s="662">
        <f t="shared" si="1"/>
        <v>0</v>
      </c>
      <c r="J21" s="662">
        <f t="shared" si="1"/>
        <v>0</v>
      </c>
      <c r="K21" s="662">
        <f t="shared" si="1"/>
        <v>0</v>
      </c>
      <c r="L21" s="663">
        <f t="shared" si="1"/>
        <v>0</v>
      </c>
      <c r="M21" s="661">
        <f t="shared" si="1"/>
        <v>0</v>
      </c>
      <c r="N21" s="662">
        <f t="shared" si="1"/>
        <v>0</v>
      </c>
      <c r="O21" s="662">
        <f t="shared" si="1"/>
        <v>0</v>
      </c>
      <c r="P21" s="662">
        <f t="shared" si="1"/>
        <v>0</v>
      </c>
      <c r="Q21" s="662">
        <f t="shared" si="1"/>
        <v>0</v>
      </c>
      <c r="R21" s="662">
        <f t="shared" si="1"/>
        <v>0</v>
      </c>
      <c r="S21" s="663">
        <f>SUM(S7:S20)</f>
        <v>0</v>
      </c>
      <c r="T21" s="663">
        <f>SUM(T7:T20)</f>
        <v>53616049.572999999</v>
      </c>
      <c r="U21" s="663">
        <f t="shared" ref="U21" si="2">SUM(U7:U20)</f>
        <v>2668613.5750000002</v>
      </c>
      <c r="V21" s="664">
        <f t="shared" si="1"/>
        <v>56284663.148000002</v>
      </c>
    </row>
    <row r="23" spans="1:22">
      <c r="C23" s="543"/>
      <c r="D23" s="543"/>
      <c r="E23" s="543"/>
      <c r="F23" s="543"/>
      <c r="G23" s="543"/>
      <c r="H23" s="543"/>
      <c r="I23" s="543"/>
      <c r="J23" s="543"/>
      <c r="K23" s="543"/>
      <c r="L23" s="543"/>
      <c r="M23" s="543"/>
      <c r="N23" s="543"/>
      <c r="O23" s="543"/>
      <c r="P23" s="543"/>
      <c r="Q23" s="543"/>
      <c r="R23" s="543"/>
      <c r="S23" s="543"/>
      <c r="T23" s="543"/>
      <c r="U23" s="543"/>
      <c r="V23" s="543"/>
    </row>
    <row r="24" spans="1:22">
      <c r="C24" s="720"/>
      <c r="D24" s="720"/>
      <c r="E24" s="720"/>
      <c r="F24" s="720"/>
      <c r="G24" s="720"/>
      <c r="H24" s="720"/>
      <c r="I24" s="720"/>
      <c r="J24" s="720"/>
      <c r="K24" s="720"/>
      <c r="L24" s="720"/>
      <c r="M24" s="720"/>
      <c r="N24" s="720"/>
      <c r="O24" s="720"/>
      <c r="P24" s="720"/>
      <c r="Q24" s="720"/>
      <c r="R24" s="720"/>
      <c r="S24" s="720"/>
      <c r="T24" s="720"/>
      <c r="U24" s="720"/>
      <c r="V24" s="720"/>
    </row>
    <row r="25" spans="1:22">
      <c r="A25" s="42"/>
      <c r="B25" s="42"/>
      <c r="D25" s="22"/>
      <c r="E25" s="22"/>
    </row>
    <row r="26" spans="1:22">
      <c r="A26" s="42"/>
      <c r="B26" s="23"/>
      <c r="D26" s="22"/>
      <c r="E26" s="22"/>
    </row>
    <row r="27" spans="1:22">
      <c r="A27" s="42"/>
      <c r="B27" s="42"/>
      <c r="D27" s="22"/>
      <c r="E27" s="22"/>
    </row>
    <row r="28" spans="1:22">
      <c r="A28" s="42"/>
      <c r="B28" s="23"/>
      <c r="D28" s="22"/>
      <c r="E28" s="22"/>
    </row>
  </sheetData>
  <mergeCells count="5">
    <mergeCell ref="C5:L5"/>
    <mergeCell ref="M5:S5"/>
    <mergeCell ref="V5:V6"/>
    <mergeCell ref="T5:T6"/>
    <mergeCell ref="U5:U6"/>
  </mergeCells>
  <pageMargins left="0.7" right="0.7" top="0.75" bottom="0.75" header="0.3" footer="0.3"/>
  <pageSetup paperSize="9" scale="16" orientation="portrait" horizontalDpi="300" verticalDpi="300" r:id="rId1"/>
  <headerFooter>
    <oddFooter>&amp;C_x000D_&amp;1#&amp;"Aptos"&amp;10&amp;K000000 C4 - EXTERNAL CONFIDENTIAL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N40"/>
  <sheetViews>
    <sheetView zoomScale="80" zoomScaleNormal="80" workbookViewId="0">
      <pane xSplit="1" ySplit="7" topLeftCell="B8" activePane="bottomRight" state="frozen"/>
      <selection activeCell="B42" sqref="B42"/>
      <selection pane="topRight" activeCell="B42" sqref="B42"/>
      <selection pane="bottomLeft" activeCell="B42" sqref="B42"/>
      <selection pane="bottomRight" activeCell="E25" sqref="E25"/>
    </sheetView>
  </sheetViews>
  <sheetFormatPr defaultColWidth="9.21875" defaultRowHeight="13.8"/>
  <cols>
    <col min="1" max="1" width="10.5546875" style="5" bestFit="1" customWidth="1"/>
    <col min="2" max="2" width="101.77734375" style="5" customWidth="1"/>
    <col min="3" max="3" width="13.77734375" style="128" customWidth="1"/>
    <col min="4" max="4" width="14.77734375" style="128" bestFit="1" customWidth="1"/>
    <col min="5" max="5" width="17.77734375" style="128" customWidth="1"/>
    <col min="6" max="6" width="15.77734375" style="128" customWidth="1"/>
    <col min="7" max="7" width="17.44140625" style="128" customWidth="1"/>
    <col min="8" max="8" width="15.21875" style="128" customWidth="1"/>
    <col min="9" max="16384" width="9.21875" style="14"/>
  </cols>
  <sheetData>
    <row r="1" spans="1:14">
      <c r="A1" s="3" t="s">
        <v>30</v>
      </c>
      <c r="B1" s="5" t="str">
        <f>'Info '!C2</f>
        <v xml:space="preserve">PASHA Bank Georgia JSC </v>
      </c>
      <c r="C1" s="4"/>
    </row>
    <row r="2" spans="1:14">
      <c r="A2" s="3" t="s">
        <v>31</v>
      </c>
      <c r="B2" s="252">
        <f>'1. key ratios '!B2</f>
        <v>46022</v>
      </c>
      <c r="C2" s="252"/>
    </row>
    <row r="4" spans="1:14" ht="14.4" thickBot="1">
      <c r="A4" s="3" t="s">
        <v>150</v>
      </c>
      <c r="B4" s="85" t="s">
        <v>239</v>
      </c>
    </row>
    <row r="5" spans="1:14">
      <c r="A5" s="86"/>
      <c r="B5" s="94"/>
      <c r="C5" s="149" t="s">
        <v>0</v>
      </c>
      <c r="D5" s="149" t="s">
        <v>1</v>
      </c>
      <c r="E5" s="149" t="s">
        <v>2</v>
      </c>
      <c r="F5" s="149" t="s">
        <v>3</v>
      </c>
      <c r="G5" s="150" t="s">
        <v>4</v>
      </c>
      <c r="H5" s="151" t="s">
        <v>5</v>
      </c>
      <c r="I5" s="95"/>
    </row>
    <row r="6" spans="1:14" s="95" customFormat="1" ht="12.75" customHeight="1">
      <c r="A6" s="96"/>
      <c r="B6" s="785" t="s">
        <v>149</v>
      </c>
      <c r="C6" s="771" t="s">
        <v>232</v>
      </c>
      <c r="D6" s="787" t="s">
        <v>231</v>
      </c>
      <c r="E6" s="788"/>
      <c r="F6" s="771" t="s">
        <v>236</v>
      </c>
      <c r="G6" s="771" t="s">
        <v>237</v>
      </c>
      <c r="H6" s="783" t="s">
        <v>235</v>
      </c>
    </row>
    <row r="7" spans="1:14" ht="41.4">
      <c r="A7" s="98"/>
      <c r="B7" s="786"/>
      <c r="C7" s="772"/>
      <c r="D7" s="152" t="s">
        <v>234</v>
      </c>
      <c r="E7" s="152" t="s">
        <v>233</v>
      </c>
      <c r="F7" s="772"/>
      <c r="G7" s="772"/>
      <c r="H7" s="784"/>
      <c r="I7" s="95"/>
    </row>
    <row r="8" spans="1:14">
      <c r="A8" s="96">
        <v>1</v>
      </c>
      <c r="B8" s="2" t="s">
        <v>51</v>
      </c>
      <c r="C8" s="153">
        <v>53231462.659199998</v>
      </c>
      <c r="D8" s="153"/>
      <c r="E8" s="153"/>
      <c r="F8" s="153">
        <v>36670418.049199998</v>
      </c>
      <c r="G8" s="154">
        <v>36670418.049199998</v>
      </c>
      <c r="H8" s="156">
        <f>G8/(C8+E8)</f>
        <v>0.68888616275627079</v>
      </c>
      <c r="I8" s="646"/>
      <c r="J8" s="646"/>
      <c r="K8" s="646"/>
      <c r="L8" s="646"/>
      <c r="M8" s="646"/>
      <c r="N8" s="646"/>
    </row>
    <row r="9" spans="1:14" ht="15" customHeight="1">
      <c r="A9" s="96">
        <v>2</v>
      </c>
      <c r="B9" s="2" t="s">
        <v>52</v>
      </c>
      <c r="C9" s="153">
        <v>0</v>
      </c>
      <c r="D9" s="153"/>
      <c r="E9" s="153"/>
      <c r="F9" s="153">
        <v>0</v>
      </c>
      <c r="G9" s="154">
        <v>0</v>
      </c>
      <c r="H9" s="156" t="e">
        <f t="shared" ref="H9:H21" si="0">G9/(C9+E9)</f>
        <v>#DIV/0!</v>
      </c>
      <c r="I9" s="646"/>
      <c r="J9" s="646"/>
      <c r="K9" s="646"/>
      <c r="L9" s="646"/>
      <c r="M9" s="646"/>
      <c r="N9" s="646"/>
    </row>
    <row r="10" spans="1:14">
      <c r="A10" s="96">
        <v>3</v>
      </c>
      <c r="B10" s="2" t="s">
        <v>153</v>
      </c>
      <c r="C10" s="153">
        <v>0</v>
      </c>
      <c r="D10" s="153"/>
      <c r="E10" s="153"/>
      <c r="F10" s="153">
        <v>0</v>
      </c>
      <c r="G10" s="154">
        <v>0</v>
      </c>
      <c r="H10" s="156" t="e">
        <f t="shared" si="0"/>
        <v>#DIV/0!</v>
      </c>
      <c r="I10" s="646"/>
      <c r="J10" s="646"/>
      <c r="K10" s="646"/>
      <c r="L10" s="646"/>
      <c r="M10" s="646"/>
      <c r="N10" s="646"/>
    </row>
    <row r="11" spans="1:14">
      <c r="A11" s="96">
        <v>4</v>
      </c>
      <c r="B11" s="2" t="s">
        <v>53</v>
      </c>
      <c r="C11" s="153">
        <v>0</v>
      </c>
      <c r="D11" s="153"/>
      <c r="E11" s="153"/>
      <c r="F11" s="153">
        <v>0</v>
      </c>
      <c r="G11" s="154">
        <v>0</v>
      </c>
      <c r="H11" s="156" t="e">
        <f t="shared" si="0"/>
        <v>#DIV/0!</v>
      </c>
      <c r="I11" s="646"/>
      <c r="J11" s="646"/>
      <c r="K11" s="646"/>
      <c r="L11" s="646"/>
      <c r="M11" s="646"/>
      <c r="N11" s="646"/>
    </row>
    <row r="12" spans="1:14">
      <c r="A12" s="96">
        <v>5</v>
      </c>
      <c r="B12" s="2" t="s">
        <v>54</v>
      </c>
      <c r="C12" s="153">
        <v>0</v>
      </c>
      <c r="D12" s="153"/>
      <c r="E12" s="153"/>
      <c r="F12" s="153">
        <v>0</v>
      </c>
      <c r="G12" s="154">
        <v>0</v>
      </c>
      <c r="H12" s="156" t="e">
        <f t="shared" si="0"/>
        <v>#DIV/0!</v>
      </c>
      <c r="I12" s="646"/>
      <c r="J12" s="646"/>
      <c r="K12" s="646"/>
      <c r="L12" s="646"/>
      <c r="M12" s="646"/>
      <c r="N12" s="646"/>
    </row>
    <row r="13" spans="1:14">
      <c r="A13" s="96">
        <v>6</v>
      </c>
      <c r="B13" s="2" t="s">
        <v>55</v>
      </c>
      <c r="C13" s="153">
        <v>66786377.9186</v>
      </c>
      <c r="D13" s="153">
        <v>1396533.1850000001</v>
      </c>
      <c r="E13" s="153">
        <v>698266.59250000003</v>
      </c>
      <c r="F13" s="153">
        <v>28601426.994010001</v>
      </c>
      <c r="G13" s="154">
        <v>28601426.994010001</v>
      </c>
      <c r="H13" s="156">
        <f t="shared" si="0"/>
        <v>0.42382125891328637</v>
      </c>
      <c r="I13" s="646"/>
      <c r="J13" s="646"/>
      <c r="K13" s="646"/>
      <c r="L13" s="646"/>
      <c r="M13" s="646"/>
      <c r="N13" s="646"/>
    </row>
    <row r="14" spans="1:14">
      <c r="A14" s="96">
        <v>7</v>
      </c>
      <c r="B14" s="2" t="s">
        <v>56</v>
      </c>
      <c r="C14" s="153">
        <v>497022086.4932</v>
      </c>
      <c r="D14" s="153">
        <v>83370092.698699996</v>
      </c>
      <c r="E14" s="153">
        <v>34295534.142849997</v>
      </c>
      <c r="F14" s="153">
        <v>531317620.63604999</v>
      </c>
      <c r="G14" s="154">
        <v>475032957.48804998</v>
      </c>
      <c r="H14" s="156">
        <f t="shared" si="0"/>
        <v>0.89406588270003051</v>
      </c>
      <c r="I14" s="646"/>
      <c r="J14" s="646"/>
      <c r="K14" s="646"/>
      <c r="L14" s="646"/>
      <c r="M14" s="646"/>
      <c r="N14" s="646"/>
    </row>
    <row r="15" spans="1:14">
      <c r="A15" s="96">
        <v>8</v>
      </c>
      <c r="B15" s="2" t="s">
        <v>57</v>
      </c>
      <c r="C15" s="153">
        <v>0</v>
      </c>
      <c r="D15" s="153">
        <v>0</v>
      </c>
      <c r="E15" s="153">
        <v>0</v>
      </c>
      <c r="F15" s="153">
        <v>0</v>
      </c>
      <c r="G15" s="154">
        <v>0</v>
      </c>
      <c r="H15" s="156" t="e">
        <f t="shared" si="0"/>
        <v>#DIV/0!</v>
      </c>
      <c r="I15" s="646"/>
      <c r="J15" s="646"/>
      <c r="K15" s="646"/>
      <c r="L15" s="646"/>
      <c r="M15" s="646"/>
      <c r="N15" s="646"/>
    </row>
    <row r="16" spans="1:14">
      <c r="A16" s="96">
        <v>9</v>
      </c>
      <c r="B16" s="2" t="s">
        <v>58</v>
      </c>
      <c r="C16" s="153">
        <v>0</v>
      </c>
      <c r="D16" s="153">
        <v>0</v>
      </c>
      <c r="E16" s="153">
        <v>0</v>
      </c>
      <c r="F16" s="153">
        <v>0</v>
      </c>
      <c r="G16" s="154">
        <v>0</v>
      </c>
      <c r="H16" s="156" t="e">
        <f t="shared" si="0"/>
        <v>#DIV/0!</v>
      </c>
      <c r="I16" s="646"/>
      <c r="J16" s="646"/>
      <c r="K16" s="646"/>
      <c r="L16" s="646"/>
      <c r="M16" s="646"/>
      <c r="N16" s="646"/>
    </row>
    <row r="17" spans="1:14">
      <c r="A17" s="96">
        <v>10</v>
      </c>
      <c r="B17" s="2" t="s">
        <v>59</v>
      </c>
      <c r="C17" s="153">
        <v>16621034.220800001</v>
      </c>
      <c r="D17" s="153"/>
      <c r="E17" s="153"/>
      <c r="F17" s="153">
        <v>22641257.3292</v>
      </c>
      <c r="G17" s="154">
        <v>22641257.3292</v>
      </c>
      <c r="H17" s="156">
        <f t="shared" si="0"/>
        <v>1.3622050847393199</v>
      </c>
      <c r="I17" s="646"/>
      <c r="J17" s="646"/>
      <c r="K17" s="646"/>
      <c r="L17" s="646"/>
      <c r="M17" s="646"/>
      <c r="N17" s="646"/>
    </row>
    <row r="18" spans="1:14">
      <c r="A18" s="96">
        <v>11</v>
      </c>
      <c r="B18" s="2" t="s">
        <v>60</v>
      </c>
      <c r="C18" s="153">
        <v>0</v>
      </c>
      <c r="D18" s="153"/>
      <c r="E18" s="153"/>
      <c r="F18" s="153">
        <v>0</v>
      </c>
      <c r="G18" s="154">
        <v>0</v>
      </c>
      <c r="H18" s="156" t="e">
        <f t="shared" si="0"/>
        <v>#DIV/0!</v>
      </c>
      <c r="I18" s="646"/>
      <c r="J18" s="646"/>
      <c r="K18" s="646"/>
      <c r="L18" s="646"/>
      <c r="M18" s="646"/>
      <c r="N18" s="646"/>
    </row>
    <row r="19" spans="1:14">
      <c r="A19" s="96">
        <v>12</v>
      </c>
      <c r="B19" s="2" t="s">
        <v>61</v>
      </c>
      <c r="C19" s="153">
        <v>0</v>
      </c>
      <c r="D19" s="153"/>
      <c r="E19" s="153"/>
      <c r="F19" s="153">
        <v>0</v>
      </c>
      <c r="G19" s="154">
        <v>0</v>
      </c>
      <c r="H19" s="156" t="e">
        <f t="shared" si="0"/>
        <v>#DIV/0!</v>
      </c>
      <c r="I19" s="646"/>
      <c r="J19" s="646"/>
      <c r="K19" s="646"/>
      <c r="L19" s="646"/>
      <c r="M19" s="646"/>
      <c r="N19" s="646"/>
    </row>
    <row r="20" spans="1:14">
      <c r="A20" s="96">
        <v>13</v>
      </c>
      <c r="B20" s="2" t="s">
        <v>144</v>
      </c>
      <c r="C20" s="153">
        <v>0</v>
      </c>
      <c r="D20" s="153"/>
      <c r="E20" s="153"/>
      <c r="F20" s="153">
        <v>0</v>
      </c>
      <c r="G20" s="154">
        <v>0</v>
      </c>
      <c r="H20" s="156" t="e">
        <f t="shared" si="0"/>
        <v>#DIV/0!</v>
      </c>
      <c r="I20" s="646"/>
      <c r="J20" s="646"/>
      <c r="K20" s="646"/>
      <c r="L20" s="646"/>
      <c r="M20" s="646"/>
      <c r="N20" s="646"/>
    </row>
    <row r="21" spans="1:14">
      <c r="A21" s="96">
        <v>14</v>
      </c>
      <c r="B21" s="2" t="s">
        <v>63</v>
      </c>
      <c r="C21" s="153">
        <v>22640727.7892</v>
      </c>
      <c r="D21" s="153"/>
      <c r="E21" s="153"/>
      <c r="F21" s="153">
        <v>20258996.8277</v>
      </c>
      <c r="G21" s="154">
        <v>20258996.8277</v>
      </c>
      <c r="H21" s="156">
        <f t="shared" si="0"/>
        <v>0.8948032508638647</v>
      </c>
      <c r="I21" s="646"/>
      <c r="J21" s="646"/>
      <c r="K21" s="646"/>
      <c r="L21" s="646"/>
      <c r="M21" s="646"/>
      <c r="N21" s="646"/>
    </row>
    <row r="22" spans="1:14" ht="14.4" thickBot="1">
      <c r="A22" s="99"/>
      <c r="B22" s="100" t="s">
        <v>64</v>
      </c>
      <c r="C22" s="155">
        <f>SUM(C8:C21)</f>
        <v>656301689.08099997</v>
      </c>
      <c r="D22" s="155">
        <f>SUM(D8:D21)</f>
        <v>84766625.883699998</v>
      </c>
      <c r="E22" s="155">
        <f>SUM(E8:E21)</f>
        <v>34993800.735349998</v>
      </c>
      <c r="F22" s="155">
        <f>SUM(F8:F21)</f>
        <v>639489719.83616006</v>
      </c>
      <c r="G22" s="155">
        <f>SUM(G8:G21)</f>
        <v>583205056.68816006</v>
      </c>
      <c r="H22" s="157">
        <f>G22/(C22+E22)</f>
        <v>0.84364076618392914</v>
      </c>
      <c r="I22" s="646"/>
      <c r="J22" s="646"/>
      <c r="K22" s="646"/>
      <c r="L22" s="646"/>
      <c r="M22" s="646"/>
      <c r="N22" s="646"/>
    </row>
    <row r="24" spans="1:14">
      <c r="C24" s="562"/>
      <c r="D24" s="562"/>
      <c r="E24" s="562"/>
      <c r="F24" s="562"/>
      <c r="G24" s="562"/>
      <c r="H24" s="562"/>
    </row>
    <row r="25" spans="1:14">
      <c r="C25" s="562"/>
      <c r="D25" s="562"/>
      <c r="E25" s="562"/>
      <c r="F25" s="562"/>
      <c r="G25" s="562"/>
      <c r="H25" s="562"/>
    </row>
    <row r="26" spans="1:14">
      <c r="C26" s="562"/>
      <c r="D26" s="562"/>
      <c r="E26" s="562"/>
      <c r="F26" s="562"/>
      <c r="G26" s="562"/>
      <c r="H26" s="562"/>
    </row>
    <row r="27" spans="1:14">
      <c r="C27" s="562"/>
      <c r="D27" s="562"/>
      <c r="E27" s="562"/>
      <c r="F27" s="562"/>
      <c r="G27" s="562"/>
      <c r="H27" s="562"/>
    </row>
    <row r="28" spans="1:14">
      <c r="C28" s="562"/>
      <c r="D28" s="562"/>
      <c r="E28" s="562"/>
      <c r="F28" s="562"/>
      <c r="G28" s="562"/>
      <c r="H28" s="562"/>
    </row>
    <row r="29" spans="1:14">
      <c r="C29" s="562"/>
      <c r="D29" s="562"/>
      <c r="E29" s="562"/>
      <c r="F29" s="562"/>
      <c r="G29" s="562"/>
      <c r="H29" s="562"/>
    </row>
    <row r="30" spans="1:14">
      <c r="C30" s="562"/>
      <c r="D30" s="562"/>
      <c r="E30" s="562"/>
      <c r="F30" s="562"/>
      <c r="G30" s="562"/>
      <c r="H30" s="562"/>
    </row>
    <row r="31" spans="1:14">
      <c r="C31" s="562"/>
      <c r="D31" s="562"/>
      <c r="E31" s="562"/>
      <c r="F31" s="562"/>
      <c r="G31" s="562"/>
      <c r="H31" s="562"/>
    </row>
    <row r="32" spans="1:14">
      <c r="C32" s="562"/>
      <c r="D32" s="562"/>
      <c r="E32" s="562"/>
      <c r="F32" s="562"/>
      <c r="G32" s="562"/>
      <c r="H32" s="562"/>
    </row>
    <row r="33" spans="3:8">
      <c r="C33" s="562"/>
      <c r="D33" s="562"/>
      <c r="E33" s="562"/>
      <c r="F33" s="562"/>
      <c r="G33" s="562"/>
      <c r="H33" s="562"/>
    </row>
    <row r="34" spans="3:8">
      <c r="C34" s="562"/>
      <c r="D34" s="562"/>
      <c r="E34" s="562"/>
      <c r="F34" s="562"/>
      <c r="G34" s="562"/>
      <c r="H34" s="562"/>
    </row>
    <row r="35" spans="3:8">
      <c r="C35" s="562"/>
      <c r="D35" s="562"/>
      <c r="E35" s="562"/>
      <c r="F35" s="562"/>
      <c r="G35" s="562"/>
      <c r="H35" s="562"/>
    </row>
    <row r="36" spans="3:8">
      <c r="C36" s="562"/>
      <c r="D36" s="562"/>
      <c r="E36" s="562"/>
      <c r="F36" s="562"/>
      <c r="G36" s="562"/>
      <c r="H36" s="562"/>
    </row>
    <row r="37" spans="3:8">
      <c r="C37" s="562"/>
      <c r="D37" s="562"/>
      <c r="E37" s="562"/>
      <c r="F37" s="562"/>
      <c r="G37" s="562"/>
      <c r="H37" s="562"/>
    </row>
    <row r="38" spans="3:8">
      <c r="C38" s="562"/>
      <c r="D38" s="562"/>
      <c r="E38" s="562"/>
      <c r="F38" s="562"/>
      <c r="G38" s="562"/>
      <c r="H38" s="562"/>
    </row>
    <row r="39" spans="3:8">
      <c r="C39" s="562"/>
      <c r="D39" s="562"/>
      <c r="E39" s="562"/>
      <c r="F39" s="562"/>
      <c r="G39" s="562"/>
      <c r="H39" s="562"/>
    </row>
    <row r="40" spans="3:8">
      <c r="C40" s="562"/>
      <c r="D40" s="562"/>
      <c r="E40" s="562"/>
      <c r="F40" s="562"/>
      <c r="G40" s="562"/>
      <c r="H40" s="562"/>
    </row>
  </sheetData>
  <mergeCells count="6">
    <mergeCell ref="H6:H7"/>
    <mergeCell ref="B6:B7"/>
    <mergeCell ref="C6:C7"/>
    <mergeCell ref="D6:E6"/>
    <mergeCell ref="F6:F7"/>
    <mergeCell ref="G6:G7"/>
  </mergeCells>
  <pageMargins left="0.7" right="0.7" top="0.75" bottom="0.75" header="0.3" footer="0.3"/>
  <pageSetup paperSize="9" scale="42" orientation="portrait" horizontalDpi="300" verticalDpi="300" r:id="rId1"/>
  <headerFooter>
    <oddFooter>&amp;C_x000D_&amp;1#&amp;"Aptos"&amp;10&amp;K000000 C4 - EXTERNAL CONFIDENTIAL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I28" sqref="I28"/>
    </sheetView>
  </sheetViews>
  <sheetFormatPr defaultColWidth="9.21875" defaultRowHeight="13.8"/>
  <cols>
    <col min="1" max="1" width="10.5546875" style="128" bestFit="1" customWidth="1"/>
    <col min="2" max="2" width="104.21875" style="128" customWidth="1"/>
    <col min="3" max="11" width="14.6640625" style="128" customWidth="1"/>
    <col min="12" max="16384" width="9.21875" style="128"/>
  </cols>
  <sheetData>
    <row r="1" spans="1:11">
      <c r="A1" s="128" t="s">
        <v>30</v>
      </c>
      <c r="B1" s="4" t="str">
        <f>'Info '!C2</f>
        <v xml:space="preserve">PASHA Bank Georgia JSC </v>
      </c>
    </row>
    <row r="2" spans="1:11">
      <c r="A2" s="128" t="s">
        <v>31</v>
      </c>
      <c r="B2" s="252">
        <f>'1. key ratios '!B2</f>
        <v>46022</v>
      </c>
    </row>
    <row r="4" spans="1:11" ht="14.4" thickBot="1">
      <c r="A4" s="128" t="s">
        <v>146</v>
      </c>
      <c r="B4" s="193" t="s">
        <v>240</v>
      </c>
    </row>
    <row r="5" spans="1:11" ht="30" customHeight="1">
      <c r="A5" s="789"/>
      <c r="B5" s="790"/>
      <c r="C5" s="791" t="s">
        <v>292</v>
      </c>
      <c r="D5" s="791"/>
      <c r="E5" s="791"/>
      <c r="F5" s="791" t="s">
        <v>293</v>
      </c>
      <c r="G5" s="791"/>
      <c r="H5" s="791"/>
      <c r="I5" s="791" t="s">
        <v>294</v>
      </c>
      <c r="J5" s="791"/>
      <c r="K5" s="792"/>
    </row>
    <row r="6" spans="1:11">
      <c r="A6" s="167"/>
      <c r="B6" s="168"/>
      <c r="C6" s="16" t="s">
        <v>32</v>
      </c>
      <c r="D6" s="16" t="s">
        <v>33</v>
      </c>
      <c r="E6" s="16" t="s">
        <v>34</v>
      </c>
      <c r="F6" s="16" t="s">
        <v>32</v>
      </c>
      <c r="G6" s="16" t="s">
        <v>33</v>
      </c>
      <c r="H6" s="16" t="s">
        <v>34</v>
      </c>
      <c r="I6" s="16" t="s">
        <v>32</v>
      </c>
      <c r="J6" s="16" t="s">
        <v>33</v>
      </c>
      <c r="K6" s="16" t="s">
        <v>34</v>
      </c>
    </row>
    <row r="7" spans="1:11">
      <c r="A7" s="169" t="s">
        <v>243</v>
      </c>
      <c r="B7" s="170"/>
      <c r="C7" s="170"/>
      <c r="D7" s="170"/>
      <c r="E7" s="170"/>
      <c r="F7" s="170"/>
      <c r="G7" s="170"/>
      <c r="H7" s="170"/>
      <c r="I7" s="170"/>
      <c r="J7" s="170"/>
      <c r="K7" s="171"/>
    </row>
    <row r="8" spans="1:11">
      <c r="A8" s="172">
        <v>1</v>
      </c>
      <c r="B8" s="173" t="s">
        <v>241</v>
      </c>
      <c r="C8" s="604"/>
      <c r="D8" s="604"/>
      <c r="E8" s="604"/>
      <c r="F8" s="605">
        <v>106543047.32841958</v>
      </c>
      <c r="G8" s="605">
        <v>97713176.521901086</v>
      </c>
      <c r="H8" s="605">
        <v>204256223.85032064</v>
      </c>
      <c r="I8" s="605">
        <v>57845432.747608706</v>
      </c>
      <c r="J8" s="605">
        <v>33775217.23680979</v>
      </c>
      <c r="K8" s="606">
        <v>91620649.984418407</v>
      </c>
    </row>
    <row r="9" spans="1:11">
      <c r="A9" s="169" t="s">
        <v>244</v>
      </c>
      <c r="B9" s="170"/>
      <c r="C9" s="607"/>
      <c r="D9" s="607"/>
      <c r="E9" s="607"/>
      <c r="F9" s="607"/>
      <c r="G9" s="607"/>
      <c r="H9" s="607"/>
      <c r="I9" s="607"/>
      <c r="J9" s="607"/>
      <c r="K9" s="608"/>
    </row>
    <row r="10" spans="1:11">
      <c r="A10" s="175">
        <v>2</v>
      </c>
      <c r="B10" s="176" t="s">
        <v>252</v>
      </c>
      <c r="C10" s="609">
        <v>28321873.351260878</v>
      </c>
      <c r="D10" s="610">
        <v>55506992.990106523</v>
      </c>
      <c r="E10" s="610">
        <v>83828866.341367424</v>
      </c>
      <c r="F10" s="610">
        <v>8421249.7852913011</v>
      </c>
      <c r="G10" s="610">
        <v>11264068.305279423</v>
      </c>
      <c r="H10" s="610">
        <v>19685318.090570711</v>
      </c>
      <c r="I10" s="610">
        <v>1801518.3717880433</v>
      </c>
      <c r="J10" s="610">
        <v>2640211.5714470102</v>
      </c>
      <c r="K10" s="611">
        <v>4441729.9432350546</v>
      </c>
    </row>
    <row r="11" spans="1:11">
      <c r="A11" s="175">
        <v>3</v>
      </c>
      <c r="B11" s="176" t="s">
        <v>246</v>
      </c>
      <c r="C11" s="609">
        <v>153246563.37702182</v>
      </c>
      <c r="D11" s="610">
        <v>225981433.73854223</v>
      </c>
      <c r="E11" s="610">
        <v>379227997.11556411</v>
      </c>
      <c r="F11" s="610">
        <v>44472698.76693482</v>
      </c>
      <c r="G11" s="610">
        <v>45016645.416926421</v>
      </c>
      <c r="H11" s="610">
        <v>89489344.183861211</v>
      </c>
      <c r="I11" s="610">
        <v>40205622.582655437</v>
      </c>
      <c r="J11" s="610">
        <v>33183040.49235094</v>
      </c>
      <c r="K11" s="611">
        <v>73388663.075006381</v>
      </c>
    </row>
    <row r="12" spans="1:11">
      <c r="A12" s="175">
        <v>4</v>
      </c>
      <c r="B12" s="176" t="s">
        <v>247</v>
      </c>
      <c r="C12" s="609">
        <v>21315217.391304348</v>
      </c>
      <c r="D12" s="610">
        <v>0</v>
      </c>
      <c r="E12" s="610">
        <v>21315217.391304348</v>
      </c>
      <c r="F12" s="610">
        <v>0</v>
      </c>
      <c r="G12" s="610">
        <v>0</v>
      </c>
      <c r="H12" s="610">
        <v>0</v>
      </c>
      <c r="I12" s="610">
        <v>0</v>
      </c>
      <c r="J12" s="610">
        <v>0</v>
      </c>
      <c r="K12" s="611">
        <v>0</v>
      </c>
    </row>
    <row r="13" spans="1:11">
      <c r="A13" s="175">
        <v>5</v>
      </c>
      <c r="B13" s="176" t="s">
        <v>255</v>
      </c>
      <c r="C13" s="609">
        <v>36188217.518043496</v>
      </c>
      <c r="D13" s="610">
        <v>68186078.435896754</v>
      </c>
      <c r="E13" s="610">
        <v>104374295.95394024</v>
      </c>
      <c r="F13" s="610">
        <v>6581582.8194298949</v>
      </c>
      <c r="G13" s="610">
        <v>15831457.926333157</v>
      </c>
      <c r="H13" s="610">
        <v>22413040.745763037</v>
      </c>
      <c r="I13" s="610">
        <v>2339084.3367119557</v>
      </c>
      <c r="J13" s="610">
        <v>5360725.1664974457</v>
      </c>
      <c r="K13" s="611">
        <v>7699809.5032093981</v>
      </c>
    </row>
    <row r="14" spans="1:11">
      <c r="A14" s="175">
        <v>6</v>
      </c>
      <c r="B14" s="176" t="s">
        <v>287</v>
      </c>
      <c r="C14" s="609">
        <v>0</v>
      </c>
      <c r="D14" s="610">
        <v>0</v>
      </c>
      <c r="E14" s="610">
        <v>0</v>
      </c>
      <c r="F14" s="610">
        <v>0</v>
      </c>
      <c r="G14" s="610">
        <v>0</v>
      </c>
      <c r="H14" s="610">
        <v>0</v>
      </c>
      <c r="I14" s="610">
        <v>0</v>
      </c>
      <c r="J14" s="610">
        <v>0</v>
      </c>
      <c r="K14" s="611">
        <v>0</v>
      </c>
    </row>
    <row r="15" spans="1:11">
      <c r="A15" s="175">
        <v>7</v>
      </c>
      <c r="B15" s="176" t="s">
        <v>288</v>
      </c>
      <c r="C15" s="609">
        <v>9746476.5861956552</v>
      </c>
      <c r="D15" s="610">
        <v>9280471.0777097791</v>
      </c>
      <c r="E15" s="610">
        <v>19026947.663905431</v>
      </c>
      <c r="F15" s="610">
        <v>5865527.9845652152</v>
      </c>
      <c r="G15" s="610">
        <v>3500954.3266586973</v>
      </c>
      <c r="H15" s="610">
        <v>9366482.311223913</v>
      </c>
      <c r="I15" s="610">
        <v>5865527.9845652152</v>
      </c>
      <c r="J15" s="610">
        <v>3500954.3266586973</v>
      </c>
      <c r="K15" s="611">
        <v>9366482.311223913</v>
      </c>
    </row>
    <row r="16" spans="1:11">
      <c r="A16" s="175">
        <v>8</v>
      </c>
      <c r="B16" s="177" t="s">
        <v>248</v>
      </c>
      <c r="C16" s="612">
        <f t="shared" ref="C16:K16" si="0">SUM(C10:C15)</f>
        <v>248818348.22382617</v>
      </c>
      <c r="D16" s="612">
        <f t="shared" si="0"/>
        <v>358954976.24225533</v>
      </c>
      <c r="E16" s="612">
        <f t="shared" si="0"/>
        <v>607773324.4660815</v>
      </c>
      <c r="F16" s="612">
        <f t="shared" si="0"/>
        <v>65341059.356221229</v>
      </c>
      <c r="G16" s="612">
        <f t="shared" si="0"/>
        <v>75613125.975197703</v>
      </c>
      <c r="H16" s="612">
        <f t="shared" si="0"/>
        <v>140954185.33141887</v>
      </c>
      <c r="I16" s="612">
        <f t="shared" si="0"/>
        <v>50211753.275720648</v>
      </c>
      <c r="J16" s="612">
        <f t="shared" si="0"/>
        <v>44684931.556954093</v>
      </c>
      <c r="K16" s="612">
        <f t="shared" si="0"/>
        <v>94896684.832674742</v>
      </c>
    </row>
    <row r="17" spans="1:11">
      <c r="A17" s="169" t="s">
        <v>245</v>
      </c>
      <c r="B17" s="170"/>
      <c r="C17" s="607"/>
      <c r="D17" s="607"/>
      <c r="E17" s="607"/>
      <c r="F17" s="607"/>
      <c r="G17" s="607"/>
      <c r="H17" s="607"/>
      <c r="I17" s="607"/>
      <c r="J17" s="607"/>
      <c r="K17" s="608"/>
    </row>
    <row r="18" spans="1:11">
      <c r="A18" s="175">
        <v>9</v>
      </c>
      <c r="B18" s="176" t="s">
        <v>251</v>
      </c>
      <c r="C18" s="609">
        <v>0</v>
      </c>
      <c r="D18" s="610">
        <v>0</v>
      </c>
      <c r="E18" s="610">
        <v>0</v>
      </c>
      <c r="F18" s="610">
        <v>0</v>
      </c>
      <c r="G18" s="610">
        <v>0</v>
      </c>
      <c r="H18" s="610">
        <v>0</v>
      </c>
      <c r="I18" s="610">
        <v>0</v>
      </c>
      <c r="J18" s="610">
        <v>0</v>
      </c>
      <c r="K18" s="611">
        <v>0</v>
      </c>
    </row>
    <row r="19" spans="1:11">
      <c r="A19" s="175">
        <v>10</v>
      </c>
      <c r="B19" s="176" t="s">
        <v>289</v>
      </c>
      <c r="C19" s="609">
        <v>180131127.81791741</v>
      </c>
      <c r="D19" s="610">
        <v>287514569.50342935</v>
      </c>
      <c r="E19" s="610">
        <v>467645697.32134652</v>
      </c>
      <c r="F19" s="610">
        <v>9805310.7465907596</v>
      </c>
      <c r="G19" s="610">
        <v>3561486.50113098</v>
      </c>
      <c r="H19" s="610">
        <v>13366797.247721747</v>
      </c>
      <c r="I19" s="610">
        <v>60464672.586205982</v>
      </c>
      <c r="J19" s="610">
        <v>72951748.474798411</v>
      </c>
      <c r="K19" s="611">
        <v>133416421.06100433</v>
      </c>
    </row>
    <row r="20" spans="1:11">
      <c r="A20" s="175">
        <v>11</v>
      </c>
      <c r="B20" s="176" t="s">
        <v>250</v>
      </c>
      <c r="C20" s="609">
        <v>31359201.413934804</v>
      </c>
      <c r="D20" s="610">
        <v>5149190.5156847835</v>
      </c>
      <c r="E20" s="610">
        <v>36508391.929619573</v>
      </c>
      <c r="F20" s="610">
        <v>547351.4320619565</v>
      </c>
      <c r="G20" s="610">
        <v>229166.14997282607</v>
      </c>
      <c r="H20" s="610">
        <v>776517.58203478286</v>
      </c>
      <c r="I20" s="610">
        <v>547351.4320619565</v>
      </c>
      <c r="J20" s="610">
        <v>229166.14997282607</v>
      </c>
      <c r="K20" s="611">
        <v>776517.58203478286</v>
      </c>
    </row>
    <row r="21" spans="1:11" ht="14.4" thickBot="1">
      <c r="A21" s="178">
        <v>12</v>
      </c>
      <c r="B21" s="179" t="s">
        <v>249</v>
      </c>
      <c r="C21" s="613">
        <f>SUM(C18:C20)</f>
        <v>211490329.2318522</v>
      </c>
      <c r="D21" s="613">
        <f t="shared" ref="D21:K21" si="1">SUM(D18:D20)</f>
        <v>292663760.01911414</v>
      </c>
      <c r="E21" s="613">
        <f t="shared" si="1"/>
        <v>504154089.25096607</v>
      </c>
      <c r="F21" s="613">
        <f t="shared" si="1"/>
        <v>10352662.178652717</v>
      </c>
      <c r="G21" s="613">
        <f t="shared" si="1"/>
        <v>3790652.6511038062</v>
      </c>
      <c r="H21" s="613">
        <f t="shared" si="1"/>
        <v>14143314.82975653</v>
      </c>
      <c r="I21" s="613">
        <f t="shared" si="1"/>
        <v>61012024.018267937</v>
      </c>
      <c r="J21" s="613">
        <f t="shared" si="1"/>
        <v>73180914.624771237</v>
      </c>
      <c r="K21" s="613">
        <f t="shared" si="1"/>
        <v>134192938.64303911</v>
      </c>
    </row>
    <row r="22" spans="1:11" ht="38.25" customHeight="1" thickBot="1">
      <c r="A22" s="180"/>
      <c r="B22" s="181"/>
      <c r="C22" s="181"/>
      <c r="D22" s="181"/>
      <c r="E22" s="181"/>
      <c r="F22" s="793" t="s">
        <v>291</v>
      </c>
      <c r="G22" s="791"/>
      <c r="H22" s="791"/>
      <c r="I22" s="793" t="s">
        <v>256</v>
      </c>
      <c r="J22" s="791"/>
      <c r="K22" s="792"/>
    </row>
    <row r="23" spans="1:11">
      <c r="A23" s="182">
        <v>13</v>
      </c>
      <c r="B23" s="183" t="s">
        <v>241</v>
      </c>
      <c r="C23" s="184"/>
      <c r="D23" s="184"/>
      <c r="E23" s="184"/>
      <c r="F23" s="563">
        <f>F8</f>
        <v>106543047.32841958</v>
      </c>
      <c r="G23" s="563">
        <f t="shared" ref="G23:H23" si="2">G8</f>
        <v>97713176.521901086</v>
      </c>
      <c r="H23" s="563">
        <f t="shared" si="2"/>
        <v>204256223.85032064</v>
      </c>
      <c r="I23" s="563">
        <f>I8</f>
        <v>57845432.747608706</v>
      </c>
      <c r="J23" s="563">
        <f t="shared" ref="J23:K23" si="3">J8</f>
        <v>33775217.23680979</v>
      </c>
      <c r="K23" s="564">
        <f t="shared" si="3"/>
        <v>91620649.984418407</v>
      </c>
    </row>
    <row r="24" spans="1:11" ht="14.4" thickBot="1">
      <c r="A24" s="185">
        <v>14</v>
      </c>
      <c r="B24" s="186" t="s">
        <v>253</v>
      </c>
      <c r="C24" s="187"/>
      <c r="D24" s="188"/>
      <c r="E24" s="189"/>
      <c r="F24" s="565">
        <f>MAX(F16-F21,F16*0.25)</f>
        <v>54988397.17756851</v>
      </c>
      <c r="G24" s="565">
        <f t="shared" ref="G24:H24" si="4">MAX(G16-G21,G16*0.25)</f>
        <v>71822473.324093893</v>
      </c>
      <c r="H24" s="565">
        <f t="shared" si="4"/>
        <v>126810870.50166234</v>
      </c>
      <c r="I24" s="565">
        <f>MAX(I16-I21,I16*0.25)</f>
        <v>12552938.318930162</v>
      </c>
      <c r="J24" s="565">
        <f t="shared" ref="J24:K24" si="5">MAX(J16-J21,J16*0.25)</f>
        <v>11171232.889238523</v>
      </c>
      <c r="K24" s="566">
        <f t="shared" si="5"/>
        <v>23724171.208168685</v>
      </c>
    </row>
    <row r="25" spans="1:11" ht="14.4" thickBot="1">
      <c r="A25" s="190">
        <v>15</v>
      </c>
      <c r="B25" s="191" t="s">
        <v>254</v>
      </c>
      <c r="C25" s="192"/>
      <c r="D25" s="192"/>
      <c r="E25" s="192"/>
      <c r="F25" s="567">
        <f>F23/F24</f>
        <v>1.9375550624683753</v>
      </c>
      <c r="G25" s="567">
        <f t="shared" ref="G25:H25" si="6">G23/G24</f>
        <v>1.3604819215982329</v>
      </c>
      <c r="H25" s="567">
        <f t="shared" si="6"/>
        <v>1.6107154145562235</v>
      </c>
      <c r="I25" s="567">
        <f>I23/I24</f>
        <v>4.6081189342240512</v>
      </c>
      <c r="J25" s="567">
        <f t="shared" ref="J25:K25" si="7">J23/J24</f>
        <v>3.0234100006406766</v>
      </c>
      <c r="K25" s="567">
        <f t="shared" si="7"/>
        <v>3.8619115154957098</v>
      </c>
    </row>
    <row r="27" spans="1:11" ht="27">
      <c r="B27" s="166" t="s">
        <v>290</v>
      </c>
      <c r="F27" s="726"/>
      <c r="G27" s="726"/>
      <c r="H27" s="726"/>
      <c r="I27" s="726"/>
      <c r="J27" s="726"/>
      <c r="K27" s="726"/>
    </row>
    <row r="28" spans="1:11">
      <c r="C28" s="545"/>
      <c r="D28" s="545"/>
      <c r="E28" s="545"/>
      <c r="F28" s="726"/>
      <c r="G28" s="726"/>
      <c r="H28" s="726"/>
      <c r="I28" s="726"/>
      <c r="J28" s="726"/>
      <c r="K28" s="726"/>
    </row>
    <row r="29" spans="1:11">
      <c r="C29" s="545"/>
      <c r="D29" s="545"/>
      <c r="E29" s="545"/>
      <c r="F29" s="726"/>
      <c r="G29" s="726"/>
      <c r="H29" s="726"/>
      <c r="I29" s="726"/>
      <c r="J29" s="726"/>
      <c r="K29" s="726"/>
    </row>
    <row r="30" spans="1:11">
      <c r="C30" s="545"/>
      <c r="D30" s="545"/>
      <c r="E30" s="545"/>
      <c r="F30" s="545"/>
      <c r="G30" s="545"/>
      <c r="H30" s="545"/>
      <c r="I30" s="545"/>
      <c r="J30" s="545"/>
      <c r="K30" s="545"/>
    </row>
    <row r="31" spans="1:11">
      <c r="C31" s="545"/>
      <c r="D31" s="545"/>
      <c r="E31" s="545"/>
      <c r="F31" s="545"/>
      <c r="G31" s="545"/>
      <c r="H31" s="545"/>
      <c r="I31" s="545"/>
      <c r="J31" s="545"/>
      <c r="K31" s="545"/>
    </row>
    <row r="32" spans="1:11">
      <c r="C32" s="545"/>
      <c r="D32" s="545"/>
      <c r="E32" s="545"/>
      <c r="F32" s="545"/>
      <c r="G32" s="545"/>
      <c r="H32" s="545"/>
      <c r="I32" s="545"/>
      <c r="J32" s="545"/>
      <c r="K32" s="545"/>
    </row>
    <row r="33" spans="3:11">
      <c r="C33" s="545"/>
      <c r="D33" s="545"/>
      <c r="E33" s="545"/>
      <c r="F33" s="545"/>
      <c r="G33" s="545"/>
      <c r="H33" s="545"/>
      <c r="I33" s="545"/>
      <c r="J33" s="545"/>
      <c r="K33" s="545"/>
    </row>
    <row r="34" spans="3:11">
      <c r="C34" s="545"/>
      <c r="D34" s="545"/>
      <c r="E34" s="545"/>
      <c r="F34" s="545"/>
      <c r="G34" s="545"/>
      <c r="H34" s="545"/>
      <c r="I34" s="545"/>
      <c r="J34" s="545"/>
      <c r="K34" s="545"/>
    </row>
    <row r="35" spans="3:11">
      <c r="C35" s="545"/>
      <c r="D35" s="545"/>
      <c r="E35" s="545"/>
      <c r="F35" s="545"/>
      <c r="G35" s="545"/>
      <c r="H35" s="545"/>
      <c r="I35" s="545"/>
      <c r="J35" s="545"/>
      <c r="K35" s="545"/>
    </row>
    <row r="36" spans="3:11">
      <c r="C36" s="545"/>
      <c r="D36" s="545"/>
      <c r="E36" s="545"/>
      <c r="F36" s="545"/>
      <c r="G36" s="545"/>
      <c r="H36" s="545"/>
      <c r="I36" s="545"/>
      <c r="J36" s="545"/>
      <c r="K36" s="545"/>
    </row>
    <row r="37" spans="3:11">
      <c r="C37" s="545"/>
      <c r="D37" s="545"/>
      <c r="E37" s="545"/>
      <c r="F37" s="545"/>
      <c r="G37" s="545"/>
      <c r="H37" s="545"/>
      <c r="I37" s="545"/>
      <c r="J37" s="545"/>
      <c r="K37" s="545"/>
    </row>
    <row r="38" spans="3:11">
      <c r="C38" s="545"/>
      <c r="D38" s="545"/>
      <c r="E38" s="545"/>
      <c r="F38" s="545"/>
      <c r="G38" s="545"/>
      <c r="H38" s="545"/>
      <c r="I38" s="545"/>
      <c r="J38" s="545"/>
      <c r="K38" s="545"/>
    </row>
    <row r="39" spans="3:11">
      <c r="C39" s="545"/>
      <c r="D39" s="545"/>
      <c r="E39" s="545"/>
      <c r="F39" s="545"/>
      <c r="G39" s="545"/>
      <c r="H39" s="545"/>
      <c r="I39" s="545"/>
      <c r="J39" s="545"/>
      <c r="K39" s="545"/>
    </row>
    <row r="40" spans="3:11">
      <c r="C40" s="545"/>
      <c r="D40" s="545"/>
      <c r="E40" s="545"/>
      <c r="F40" s="545"/>
      <c r="G40" s="545"/>
      <c r="H40" s="545"/>
      <c r="I40" s="545"/>
      <c r="J40" s="545"/>
      <c r="K40" s="545"/>
    </row>
    <row r="41" spans="3:11">
      <c r="C41" s="545"/>
      <c r="D41" s="545"/>
      <c r="E41" s="545"/>
      <c r="F41" s="545"/>
      <c r="G41" s="545"/>
      <c r="H41" s="545"/>
      <c r="I41" s="545"/>
      <c r="J41" s="545"/>
      <c r="K41" s="545"/>
    </row>
    <row r="42" spans="3:11">
      <c r="C42" s="545"/>
      <c r="D42" s="545"/>
      <c r="E42" s="545"/>
      <c r="F42" s="545"/>
      <c r="G42" s="545"/>
      <c r="H42" s="545"/>
      <c r="I42" s="545"/>
      <c r="J42" s="545"/>
      <c r="K42" s="545"/>
    </row>
    <row r="43" spans="3:11">
      <c r="C43" s="650"/>
      <c r="D43" s="650"/>
      <c r="E43" s="650"/>
      <c r="F43" s="545"/>
      <c r="G43" s="545"/>
      <c r="H43" s="545"/>
      <c r="I43" s="545"/>
      <c r="J43" s="545"/>
      <c r="K43" s="545"/>
    </row>
    <row r="44" spans="3:11">
      <c r="C44" s="650"/>
      <c r="D44" s="650"/>
      <c r="E44" s="650"/>
      <c r="F44" s="545"/>
      <c r="G44" s="545"/>
      <c r="H44" s="545"/>
      <c r="I44" s="545"/>
      <c r="J44" s="545"/>
      <c r="K44" s="545"/>
    </row>
    <row r="45" spans="3:11">
      <c r="C45" s="650"/>
      <c r="D45" s="650"/>
      <c r="E45" s="650"/>
      <c r="F45" s="651"/>
      <c r="G45" s="651"/>
      <c r="H45" s="651"/>
      <c r="I45" s="651"/>
      <c r="J45" s="651"/>
      <c r="K45" s="651"/>
    </row>
    <row r="46" spans="3:11">
      <c r="C46" s="545"/>
      <c r="D46" s="545"/>
      <c r="E46" s="545"/>
      <c r="F46" s="545"/>
      <c r="G46" s="545"/>
      <c r="H46" s="545"/>
      <c r="I46" s="545"/>
      <c r="J46" s="545"/>
      <c r="K46" s="545"/>
    </row>
    <row r="47" spans="3:11">
      <c r="C47" s="545"/>
      <c r="D47" s="545"/>
      <c r="E47" s="545"/>
      <c r="F47" s="545"/>
      <c r="G47" s="545"/>
      <c r="H47" s="545"/>
      <c r="I47" s="545"/>
      <c r="J47" s="545"/>
      <c r="K47" s="545"/>
    </row>
  </sheetData>
  <mergeCells count="6">
    <mergeCell ref="A5:B5"/>
    <mergeCell ref="C5:E5"/>
    <mergeCell ref="F5:H5"/>
    <mergeCell ref="I5:K5"/>
    <mergeCell ref="F22:H22"/>
    <mergeCell ref="I22:K22"/>
  </mergeCells>
  <pageMargins left="0.7" right="0.7" top="0.75" bottom="0.75" header="0.3" footer="0.3"/>
  <pageSetup paperSize="9" scale="35" orientation="portrait" horizontalDpi="300" verticalDpi="300" r:id="rId1"/>
  <headerFooter>
    <oddFooter>&amp;C_x000D_&amp;1#&amp;"Aptos"&amp;10&amp;K000000 C4 - EXTERNAL CONFIDENTIAL</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R86"/>
  <sheetViews>
    <sheetView zoomScale="80" zoomScaleNormal="80" workbookViewId="0">
      <pane xSplit="1" ySplit="3" topLeftCell="B4" activePane="bottomRight" state="frozen"/>
      <selection activeCell="B42" sqref="B42"/>
      <selection pane="topRight" activeCell="B42" sqref="B42"/>
      <selection pane="bottomLeft" activeCell="B42" sqref="B42"/>
      <selection pane="bottomRight" activeCell="D41" sqref="D41:D42"/>
    </sheetView>
  </sheetViews>
  <sheetFormatPr defaultColWidth="9.21875" defaultRowHeight="13.2"/>
  <cols>
    <col min="1" max="1" width="10.5546875" style="5" bestFit="1" customWidth="1"/>
    <col min="2" max="2" width="95" style="5" customWidth="1"/>
    <col min="3" max="3" width="13.44140625" style="5" customWidth="1"/>
    <col min="4" max="4" width="11.44140625" style="5" customWidth="1"/>
    <col min="5" max="5" width="18.21875" style="5" bestFit="1" customWidth="1"/>
    <col min="6" max="13" width="12.77734375" style="5" customWidth="1"/>
    <col min="14" max="14" width="31" style="5" bestFit="1" customWidth="1"/>
    <col min="15" max="15" width="10.109375" style="14" customWidth="1"/>
    <col min="16" max="16" width="9.21875" style="14"/>
    <col min="17" max="17" width="44.21875" style="14" customWidth="1"/>
    <col min="18" max="16384" width="9.21875" style="14"/>
  </cols>
  <sheetData>
    <row r="1" spans="1:18" ht="13.8">
      <c r="A1" s="408" t="s">
        <v>717</v>
      </c>
      <c r="B1" s="444" t="str">
        <f>'Info '!C2</f>
        <v xml:space="preserve">PASHA Bank Georgia JSC </v>
      </c>
      <c r="C1" s="444"/>
      <c r="D1" s="444"/>
      <c r="E1" s="444"/>
      <c r="F1" s="444"/>
      <c r="G1" s="444"/>
      <c r="H1" s="444"/>
      <c r="I1" s="444"/>
      <c r="J1" s="444"/>
      <c r="K1" s="444"/>
      <c r="L1" s="444"/>
      <c r="M1" s="444"/>
      <c r="N1" s="444"/>
      <c r="O1" s="147"/>
      <c r="P1" s="147"/>
      <c r="Q1" s="147"/>
    </row>
    <row r="2" spans="1:18" ht="14.25" customHeight="1">
      <c r="A2" s="444" t="s">
        <v>718</v>
      </c>
      <c r="B2" s="409">
        <f>'1. key ratios '!B2</f>
        <v>46022</v>
      </c>
      <c r="C2" s="444"/>
      <c r="D2" s="444"/>
      <c r="E2" s="444"/>
      <c r="F2" s="444"/>
      <c r="G2" s="444"/>
      <c r="H2" s="444"/>
      <c r="I2" s="444"/>
      <c r="J2" s="444"/>
      <c r="K2" s="444"/>
      <c r="L2" s="444"/>
      <c r="M2" s="444"/>
      <c r="N2" s="444"/>
      <c r="O2" s="147"/>
      <c r="P2" s="147"/>
      <c r="Q2" s="147"/>
    </row>
    <row r="3" spans="1:18" ht="14.25" customHeight="1">
      <c r="A3" s="444"/>
      <c r="B3" s="147"/>
      <c r="C3" s="147"/>
      <c r="D3" s="147"/>
      <c r="E3" s="147"/>
      <c r="F3" s="147"/>
      <c r="G3" s="147"/>
      <c r="H3" s="147"/>
      <c r="I3" s="147"/>
      <c r="J3" s="147"/>
      <c r="K3" s="147"/>
      <c r="L3" s="147"/>
      <c r="M3" s="147"/>
      <c r="N3" s="147"/>
      <c r="O3" s="147"/>
      <c r="P3" s="147"/>
      <c r="Q3" s="147"/>
    </row>
    <row r="4" spans="1:18" ht="14.4">
      <c r="A4" s="444"/>
      <c r="B4" s="468" t="s">
        <v>719</v>
      </c>
      <c r="C4" s="147"/>
      <c r="D4" s="147"/>
      <c r="E4" s="147"/>
      <c r="F4" s="147"/>
      <c r="G4" s="147"/>
      <c r="H4" s="147"/>
      <c r="I4" s="147"/>
      <c r="J4" s="147"/>
      <c r="K4" s="147"/>
      <c r="L4" s="147"/>
      <c r="M4" s="147"/>
      <c r="N4" s="147"/>
      <c r="O4" s="147"/>
      <c r="P4" s="147"/>
      <c r="Q4" s="147"/>
    </row>
    <row r="5" spans="1:18" ht="57.6">
      <c r="A5" s="444"/>
      <c r="B5" s="469" t="s">
        <v>720</v>
      </c>
      <c r="C5" s="470" t="s">
        <v>721</v>
      </c>
      <c r="D5" s="470" t="s">
        <v>722</v>
      </c>
      <c r="E5" s="470" t="s">
        <v>723</v>
      </c>
      <c r="F5" s="470" t="s">
        <v>724</v>
      </c>
      <c r="G5" s="470" t="s">
        <v>725</v>
      </c>
      <c r="H5" s="470" t="s">
        <v>726</v>
      </c>
      <c r="I5" s="471" t="s">
        <v>727</v>
      </c>
      <c r="J5" s="472">
        <v>0.02</v>
      </c>
      <c r="K5" s="472">
        <v>0.2</v>
      </c>
      <c r="L5" s="472">
        <v>0.35</v>
      </c>
      <c r="M5" s="472">
        <v>0.5</v>
      </c>
      <c r="N5" s="472">
        <v>0.75</v>
      </c>
      <c r="O5" s="472">
        <v>1</v>
      </c>
      <c r="P5" s="472">
        <v>1.5</v>
      </c>
      <c r="Q5" s="473" t="s">
        <v>728</v>
      </c>
    </row>
    <row r="6" spans="1:18" ht="14.4">
      <c r="A6" s="444"/>
      <c r="B6" s="474"/>
      <c r="C6" s="475">
        <f>IF(C7&gt;0,C7,IF(C8&gt;0,C8,IF(C9&gt;0,C9,0)))</f>
        <v>119799552</v>
      </c>
      <c r="D6" s="475">
        <f>IF(D7&gt;0,D7,IF(D8&gt;0,D8,IF(D9&gt;0,D9,0)))</f>
        <v>1601388.6</v>
      </c>
      <c r="E6" s="475">
        <f>IF(E7&gt;0,E7,IF(E8&gt;0,E8,IF(E9&gt;0,E9,0)))</f>
        <v>30382573.969999999</v>
      </c>
      <c r="F6" s="475">
        <f>IF(F7&gt;0,F7,IF(F8&gt;0,F8,IF(F9&gt;0,F9,0)))</f>
        <v>323045.68</v>
      </c>
      <c r="G6" s="475">
        <f>IF(G7&gt;0,G7,IF(G8&gt;0,G8,IF(G9&gt;0,G9,0)))</f>
        <v>804414.85210148292</v>
      </c>
      <c r="H6" s="475"/>
      <c r="I6" s="475">
        <f t="shared" ref="I6" si="0">IF(I7&gt;0,I7,IF(I8&gt;0,I8,IF(I9&gt;0,I9)))</f>
        <v>1578444.7449420758</v>
      </c>
      <c r="J6" s="475">
        <f t="shared" ref="J6:Q6" si="1">IF(J7&gt;0,J7,IF(J8&gt;0,J8,IF(J9&gt;0,J9,0)))</f>
        <v>0</v>
      </c>
      <c r="K6" s="475">
        <f t="shared" si="1"/>
        <v>0</v>
      </c>
      <c r="L6" s="475">
        <f t="shared" si="1"/>
        <v>0</v>
      </c>
      <c r="M6" s="475">
        <f t="shared" si="1"/>
        <v>1472561.32</v>
      </c>
      <c r="N6" s="475">
        <f t="shared" si="1"/>
        <v>0</v>
      </c>
      <c r="O6" s="475">
        <f t="shared" si="1"/>
        <v>82887.320000000007</v>
      </c>
      <c r="P6" s="475">
        <f t="shared" si="1"/>
        <v>22996.097665800153</v>
      </c>
      <c r="Q6" s="475">
        <f t="shared" si="1"/>
        <v>853662.12649870024</v>
      </c>
      <c r="R6" s="723"/>
    </row>
    <row r="7" spans="1:18" ht="14.4">
      <c r="A7" s="444"/>
      <c r="B7" s="476" t="s">
        <v>729</v>
      </c>
      <c r="C7" s="475">
        <f>C11+C15+C19+C23+C27+C31</f>
        <v>119799552</v>
      </c>
      <c r="D7" s="475">
        <f t="shared" ref="D7:E8" si="2">D11+D15+D19+D23+D27+D31</f>
        <v>1601388.6</v>
      </c>
      <c r="E7" s="475">
        <f t="shared" si="2"/>
        <v>30382573.969999999</v>
      </c>
      <c r="F7" s="475">
        <f t="shared" ref="F7:G9" si="3">F11+F15+F19+F23+F27+F31</f>
        <v>323045.68</v>
      </c>
      <c r="G7" s="475">
        <f t="shared" si="3"/>
        <v>804414.85210148292</v>
      </c>
      <c r="H7" s="477">
        <v>1.4</v>
      </c>
      <c r="I7" s="478">
        <f t="shared" ref="I7:I33" si="4">(F7+G7)*H7</f>
        <v>1578444.7449420758</v>
      </c>
      <c r="J7" s="475">
        <f>J11+J15+J19+J23+J27+J31</f>
        <v>0</v>
      </c>
      <c r="K7" s="475">
        <f t="shared" ref="J7:Q9" si="5">K11+K15+K19+K23+K27+K31</f>
        <v>0</v>
      </c>
      <c r="L7" s="475">
        <f t="shared" si="5"/>
        <v>0</v>
      </c>
      <c r="M7" s="475">
        <f t="shared" si="5"/>
        <v>1472561.32</v>
      </c>
      <c r="N7" s="475">
        <f t="shared" si="5"/>
        <v>0</v>
      </c>
      <c r="O7" s="475">
        <f t="shared" si="5"/>
        <v>82887.320000000007</v>
      </c>
      <c r="P7" s="475">
        <f t="shared" si="5"/>
        <v>22996.097665800153</v>
      </c>
      <c r="Q7" s="475">
        <f>Q11+Q15+Q19+Q23+Q27+Q31</f>
        <v>853662.12649870024</v>
      </c>
      <c r="R7" s="723"/>
    </row>
    <row r="8" spans="1:18" ht="14.4">
      <c r="A8" s="444"/>
      <c r="B8" s="476" t="s">
        <v>730</v>
      </c>
      <c r="C8" s="475">
        <f>C12+C16+C20+C24+C28+C32</f>
        <v>0</v>
      </c>
      <c r="D8" s="475">
        <f t="shared" si="2"/>
        <v>0</v>
      </c>
      <c r="E8" s="475">
        <f t="shared" si="2"/>
        <v>0</v>
      </c>
      <c r="F8" s="475">
        <f t="shared" si="3"/>
        <v>0</v>
      </c>
      <c r="G8" s="475">
        <f t="shared" si="3"/>
        <v>0</v>
      </c>
      <c r="H8" s="477">
        <v>1.4</v>
      </c>
      <c r="I8" s="478">
        <f t="shared" si="4"/>
        <v>0</v>
      </c>
      <c r="J8" s="475">
        <f t="shared" si="5"/>
        <v>0</v>
      </c>
      <c r="K8" s="475">
        <f t="shared" si="5"/>
        <v>0</v>
      </c>
      <c r="L8" s="475">
        <f t="shared" si="5"/>
        <v>0</v>
      </c>
      <c r="M8" s="475">
        <f t="shared" si="5"/>
        <v>0</v>
      </c>
      <c r="N8" s="475">
        <f t="shared" si="5"/>
        <v>0</v>
      </c>
      <c r="O8" s="475">
        <f t="shared" si="5"/>
        <v>0</v>
      </c>
      <c r="P8" s="475">
        <f t="shared" si="5"/>
        <v>0</v>
      </c>
      <c r="Q8" s="475">
        <f>Q12+Q16+Q20+Q24+Q28+Q32</f>
        <v>0</v>
      </c>
      <c r="R8" s="723"/>
    </row>
    <row r="9" spans="1:18" ht="14.4">
      <c r="A9" s="444"/>
      <c r="B9" s="476" t="s">
        <v>737</v>
      </c>
      <c r="C9" s="475">
        <f>C13+C17+C21+C25+C29+C33</f>
        <v>0</v>
      </c>
      <c r="D9" s="475">
        <f>D13+D17+D21+D25+D29+D33</f>
        <v>0</v>
      </c>
      <c r="E9" s="475">
        <f>E13+E17+E21+E25+E29+E33</f>
        <v>0</v>
      </c>
      <c r="F9" s="475">
        <f t="shared" si="3"/>
        <v>0</v>
      </c>
      <c r="G9" s="475">
        <f t="shared" si="3"/>
        <v>0</v>
      </c>
      <c r="H9" s="477">
        <v>1.4</v>
      </c>
      <c r="I9" s="478">
        <f t="shared" si="4"/>
        <v>0</v>
      </c>
      <c r="J9" s="475">
        <f t="shared" si="5"/>
        <v>0</v>
      </c>
      <c r="K9" s="475">
        <f t="shared" si="5"/>
        <v>0</v>
      </c>
      <c r="L9" s="475">
        <f t="shared" si="5"/>
        <v>0</v>
      </c>
      <c r="M9" s="475">
        <f t="shared" si="5"/>
        <v>0</v>
      </c>
      <c r="N9" s="475">
        <f t="shared" si="5"/>
        <v>0</v>
      </c>
      <c r="O9" s="475">
        <f t="shared" si="5"/>
        <v>0</v>
      </c>
      <c r="P9" s="475">
        <f t="shared" si="5"/>
        <v>0</v>
      </c>
      <c r="Q9" s="475">
        <f t="shared" si="5"/>
        <v>0</v>
      </c>
      <c r="R9" s="723"/>
    </row>
    <row r="10" spans="1:18" ht="14.4">
      <c r="A10" s="444"/>
      <c r="B10" s="479" t="s">
        <v>731</v>
      </c>
      <c r="C10" s="480"/>
      <c r="D10" s="480"/>
      <c r="E10" s="480"/>
      <c r="F10" s="480"/>
      <c r="G10" s="480"/>
      <c r="H10" s="477">
        <v>1.4</v>
      </c>
      <c r="I10" s="478">
        <f t="shared" si="4"/>
        <v>0</v>
      </c>
      <c r="J10" s="481"/>
      <c r="K10" s="481"/>
      <c r="L10" s="481"/>
      <c r="M10" s="481"/>
      <c r="N10" s="481"/>
      <c r="O10" s="481"/>
      <c r="P10" s="481"/>
      <c r="Q10" s="475">
        <f>SUM(Q11:Q13)</f>
        <v>0</v>
      </c>
      <c r="R10" s="723"/>
    </row>
    <row r="11" spans="1:18" ht="14.4">
      <c r="A11" s="444"/>
      <c r="B11" s="482" t="s">
        <v>729</v>
      </c>
      <c r="C11" s="480"/>
      <c r="D11" s="480"/>
      <c r="E11" s="480"/>
      <c r="F11" s="480"/>
      <c r="G11" s="480"/>
      <c r="H11" s="477">
        <v>1.4</v>
      </c>
      <c r="I11" s="478">
        <f t="shared" si="4"/>
        <v>0</v>
      </c>
      <c r="J11" s="481"/>
      <c r="K11" s="481"/>
      <c r="L11" s="481"/>
      <c r="M11" s="481"/>
      <c r="N11" s="481"/>
      <c r="O11" s="481"/>
      <c r="P11" s="481"/>
      <c r="Q11" s="475">
        <f>SUMPRODUCT($J$5:$P$5,J11:P11)</f>
        <v>0</v>
      </c>
      <c r="R11" s="723"/>
    </row>
    <row r="12" spans="1:18" ht="14.4">
      <c r="A12" s="444"/>
      <c r="B12" s="482" t="s">
        <v>730</v>
      </c>
      <c r="C12" s="480"/>
      <c r="D12" s="480"/>
      <c r="E12" s="480"/>
      <c r="F12" s="480"/>
      <c r="G12" s="480"/>
      <c r="H12" s="477">
        <v>1.4</v>
      </c>
      <c r="I12" s="478">
        <f t="shared" si="4"/>
        <v>0</v>
      </c>
      <c r="J12" s="481"/>
      <c r="K12" s="481"/>
      <c r="L12" s="481"/>
      <c r="M12" s="481"/>
      <c r="N12" s="481"/>
      <c r="O12" s="481"/>
      <c r="P12" s="481"/>
      <c r="Q12" s="475">
        <f t="shared" ref="Q12:Q13" si="6">SUMPRODUCT($J$5:$P$5,J12:P12)</f>
        <v>0</v>
      </c>
      <c r="R12" s="723"/>
    </row>
    <row r="13" spans="1:18" ht="14.4">
      <c r="A13" s="444"/>
      <c r="B13" s="482" t="s">
        <v>737</v>
      </c>
      <c r="C13" s="480"/>
      <c r="D13" s="480"/>
      <c r="E13" s="480"/>
      <c r="F13" s="480"/>
      <c r="G13" s="480"/>
      <c r="H13" s="477">
        <v>1.4</v>
      </c>
      <c r="I13" s="478">
        <f t="shared" si="4"/>
        <v>0</v>
      </c>
      <c r="J13" s="481"/>
      <c r="K13" s="481"/>
      <c r="L13" s="481"/>
      <c r="M13" s="481"/>
      <c r="N13" s="481"/>
      <c r="O13" s="481"/>
      <c r="P13" s="481"/>
      <c r="Q13" s="475">
        <f t="shared" si="6"/>
        <v>0</v>
      </c>
      <c r="R13" s="723"/>
    </row>
    <row r="14" spans="1:18" ht="14.4">
      <c r="A14" s="444"/>
      <c r="B14" s="479" t="s">
        <v>732</v>
      </c>
      <c r="C14" s="480"/>
      <c r="D14" s="480"/>
      <c r="E14" s="480"/>
      <c r="F14" s="480"/>
      <c r="G14" s="480"/>
      <c r="H14" s="477">
        <v>1.4</v>
      </c>
      <c r="I14" s="478">
        <f t="shared" si="4"/>
        <v>0</v>
      </c>
      <c r="J14" s="481"/>
      <c r="K14" s="481"/>
      <c r="L14" s="481"/>
      <c r="M14" s="481"/>
      <c r="N14" s="481"/>
      <c r="O14" s="481"/>
      <c r="P14" s="481"/>
      <c r="Q14" s="475">
        <f>SUM(Q15:Q17)</f>
        <v>0</v>
      </c>
      <c r="R14" s="723"/>
    </row>
    <row r="15" spans="1:18" ht="14.4">
      <c r="A15" s="444"/>
      <c r="B15" s="482" t="s">
        <v>729</v>
      </c>
      <c r="C15" s="480"/>
      <c r="D15" s="480"/>
      <c r="E15" s="480"/>
      <c r="F15" s="480"/>
      <c r="G15" s="480"/>
      <c r="H15" s="477">
        <v>1.4</v>
      </c>
      <c r="I15" s="478">
        <f t="shared" si="4"/>
        <v>0</v>
      </c>
      <c r="J15" s="481"/>
      <c r="K15" s="481"/>
      <c r="L15" s="481"/>
      <c r="M15" s="481"/>
      <c r="N15" s="481"/>
      <c r="O15" s="481"/>
      <c r="P15" s="481"/>
      <c r="Q15" s="475">
        <f>SUMPRODUCT($J$5:$P$5,J15:P15)</f>
        <v>0</v>
      </c>
      <c r="R15" s="723"/>
    </row>
    <row r="16" spans="1:18" ht="14.4">
      <c r="A16" s="444"/>
      <c r="B16" s="482" t="s">
        <v>730</v>
      </c>
      <c r="C16" s="480"/>
      <c r="D16" s="480"/>
      <c r="E16" s="480"/>
      <c r="F16" s="480"/>
      <c r="G16" s="480"/>
      <c r="H16" s="477">
        <v>1.4</v>
      </c>
      <c r="I16" s="478">
        <f t="shared" si="4"/>
        <v>0</v>
      </c>
      <c r="J16" s="481"/>
      <c r="K16" s="481"/>
      <c r="L16" s="481"/>
      <c r="M16" s="481"/>
      <c r="N16" s="481"/>
      <c r="O16" s="481"/>
      <c r="P16" s="481"/>
      <c r="Q16" s="475">
        <f t="shared" ref="Q16:Q17" si="7">SUMPRODUCT($J$5:$P$5,J16:P16)</f>
        <v>0</v>
      </c>
      <c r="R16" s="723"/>
    </row>
    <row r="17" spans="1:18" ht="14.4">
      <c r="A17" s="444"/>
      <c r="B17" s="482" t="s">
        <v>737</v>
      </c>
      <c r="C17" s="480"/>
      <c r="D17" s="480"/>
      <c r="E17" s="480"/>
      <c r="F17" s="480"/>
      <c r="G17" s="480"/>
      <c r="H17" s="477">
        <v>1.4</v>
      </c>
      <c r="I17" s="478">
        <f t="shared" si="4"/>
        <v>0</v>
      </c>
      <c r="J17" s="481"/>
      <c r="K17" s="481"/>
      <c r="L17" s="481"/>
      <c r="M17" s="481"/>
      <c r="N17" s="481"/>
      <c r="O17" s="481"/>
      <c r="P17" s="481"/>
      <c r="Q17" s="475">
        <f t="shared" si="7"/>
        <v>0</v>
      </c>
      <c r="R17" s="723"/>
    </row>
    <row r="18" spans="1:18" ht="14.4">
      <c r="A18" s="444"/>
      <c r="B18" s="479" t="s">
        <v>733</v>
      </c>
      <c r="C18" s="721">
        <f>IF(C19&gt;0,C19,IF(C20&gt;0,C20,IF(C21&gt;0,C21,0)))</f>
        <v>83850250</v>
      </c>
      <c r="D18" s="721">
        <f>IF(D19&gt;0,D19,IF(D20&gt;0,D20,IF(D21&gt;0,D21,0)))</f>
        <v>323045.68</v>
      </c>
      <c r="E18" s="721">
        <f>IF(E19&gt;0,E19,IF(E20&gt;0,E20,IF(E21&gt;0,E21,0)))</f>
        <v>0</v>
      </c>
      <c r="F18" s="721">
        <f>IF(F19&gt;0,F19,IF(F20&gt;0,F20,IF(F21&gt;0,F21,0)))</f>
        <v>323045.68</v>
      </c>
      <c r="G18" s="721">
        <f>IF(G19&gt;0,G19,IF(G20&gt;0,G20,IF(G21&gt;0,G21,0)))</f>
        <v>729209.71</v>
      </c>
      <c r="H18" s="477">
        <v>1.4</v>
      </c>
      <c r="I18" s="478">
        <f t="shared" si="4"/>
        <v>1473157.5459999999</v>
      </c>
      <c r="J18" s="481"/>
      <c r="K18" s="481"/>
      <c r="L18" s="481"/>
      <c r="M18" s="481"/>
      <c r="N18" s="481"/>
      <c r="O18" s="481"/>
      <c r="P18" s="481"/>
      <c r="Q18" s="475">
        <f>SUM(Q19:Q21)</f>
        <v>759574.87149870023</v>
      </c>
      <c r="R18" s="723"/>
    </row>
    <row r="19" spans="1:18" ht="14.4">
      <c r="A19" s="444"/>
      <c r="B19" s="482" t="s">
        <v>729</v>
      </c>
      <c r="C19" s="722">
        <v>83850250</v>
      </c>
      <c r="D19" s="722">
        <v>323045.68</v>
      </c>
      <c r="E19" s="722">
        <v>0</v>
      </c>
      <c r="F19" s="722">
        <v>323045.68</v>
      </c>
      <c r="G19" s="722">
        <v>729209.71</v>
      </c>
      <c r="H19" s="477">
        <v>1.4</v>
      </c>
      <c r="I19" s="478">
        <f t="shared" si="4"/>
        <v>1473157.5459999999</v>
      </c>
      <c r="J19" s="481">
        <v>0</v>
      </c>
      <c r="K19" s="481">
        <v>0</v>
      </c>
      <c r="L19" s="481"/>
      <c r="M19" s="481">
        <v>1450161.45</v>
      </c>
      <c r="N19" s="481"/>
      <c r="O19" s="481">
        <v>0</v>
      </c>
      <c r="P19" s="481">
        <v>22996.097665800153</v>
      </c>
      <c r="Q19" s="475">
        <f>SUMPRODUCT($J$5:$P$5,J19:P19)</f>
        <v>759574.87149870023</v>
      </c>
      <c r="R19" s="723"/>
    </row>
    <row r="20" spans="1:18" ht="14.4">
      <c r="A20" s="444"/>
      <c r="B20" s="482" t="s">
        <v>730</v>
      </c>
      <c r="C20" s="722"/>
      <c r="D20" s="722"/>
      <c r="E20" s="722"/>
      <c r="F20" s="722"/>
      <c r="G20" s="722"/>
      <c r="H20" s="477">
        <v>1.4</v>
      </c>
      <c r="I20" s="478">
        <f t="shared" si="4"/>
        <v>0</v>
      </c>
      <c r="J20" s="481"/>
      <c r="K20" s="481"/>
      <c r="L20" s="481"/>
      <c r="M20" s="481"/>
      <c r="N20" s="481"/>
      <c r="O20" s="481"/>
      <c r="P20" s="481"/>
      <c r="Q20" s="475">
        <f t="shared" ref="Q20:Q21" si="8">SUMPRODUCT($J$5:$P$5,J20:P20)</f>
        <v>0</v>
      </c>
      <c r="R20" s="723"/>
    </row>
    <row r="21" spans="1:18" ht="14.4">
      <c r="A21" s="444"/>
      <c r="B21" s="482" t="s">
        <v>737</v>
      </c>
      <c r="C21" s="722"/>
      <c r="D21" s="722"/>
      <c r="E21" s="722"/>
      <c r="F21" s="722"/>
      <c r="G21" s="722"/>
      <c r="H21" s="477">
        <v>1.4</v>
      </c>
      <c r="I21" s="478">
        <f t="shared" si="4"/>
        <v>0</v>
      </c>
      <c r="J21" s="481"/>
      <c r="K21" s="481"/>
      <c r="L21" s="481"/>
      <c r="M21" s="481"/>
      <c r="N21" s="481"/>
      <c r="O21" s="481"/>
      <c r="P21" s="481"/>
      <c r="Q21" s="475">
        <f t="shared" si="8"/>
        <v>0</v>
      </c>
      <c r="R21" s="723"/>
    </row>
    <row r="22" spans="1:18" ht="14.4">
      <c r="A22" s="444"/>
      <c r="B22" s="479" t="s">
        <v>734</v>
      </c>
      <c r="C22" s="721">
        <f>IF(C23&gt;0,C23,IF(C24&gt;0,C24,IF(C25&gt;0,C25,0)))</f>
        <v>16898716.5</v>
      </c>
      <c r="D22" s="721">
        <f>IF(D23&gt;0,D23,IF(D24&gt;0,D24,IF(D25&gt;0,D25,0)))</f>
        <v>698164.76</v>
      </c>
      <c r="E22" s="721">
        <f>IF(E23&gt;0,E23,IF(E24&gt;0,E24,IF(E25&gt;0,E25,0)))</f>
        <v>11421618.970000001</v>
      </c>
      <c r="F22" s="721">
        <f>IF(F23&gt;0,F23,IF(F24&gt;0,F24,IF(F25&gt;0,F25,0)))</f>
        <v>0</v>
      </c>
      <c r="G22" s="721">
        <f>IF(G23&gt;0,G23,IF(G24&gt;0,G24,IF(G25&gt;0,G25,0)))</f>
        <v>51178.567815774753</v>
      </c>
      <c r="H22" s="477">
        <v>1.4</v>
      </c>
      <c r="I22" s="478">
        <f t="shared" si="4"/>
        <v>71649.994942084653</v>
      </c>
      <c r="J22" s="481"/>
      <c r="K22" s="481"/>
      <c r="L22" s="481"/>
      <c r="M22" s="481"/>
      <c r="N22" s="481"/>
      <c r="O22" s="481"/>
      <c r="P22" s="481"/>
      <c r="Q22" s="475">
        <f>SUM(Q23:Q25)</f>
        <v>71649.990000000005</v>
      </c>
      <c r="R22" s="723"/>
    </row>
    <row r="23" spans="1:18" ht="14.4">
      <c r="A23" s="444"/>
      <c r="B23" s="482" t="s">
        <v>729</v>
      </c>
      <c r="C23" s="722">
        <v>16898716.5</v>
      </c>
      <c r="D23" s="722">
        <v>698164.76</v>
      </c>
      <c r="E23" s="722">
        <v>11421618.970000001</v>
      </c>
      <c r="F23" s="722">
        <v>0</v>
      </c>
      <c r="G23" s="722">
        <v>51178.567815774753</v>
      </c>
      <c r="H23" s="477">
        <v>1.4</v>
      </c>
      <c r="I23" s="478">
        <f t="shared" si="4"/>
        <v>71649.994942084653</v>
      </c>
      <c r="J23" s="481">
        <v>0</v>
      </c>
      <c r="K23" s="481">
        <v>0</v>
      </c>
      <c r="L23" s="481"/>
      <c r="M23" s="481">
        <v>0</v>
      </c>
      <c r="N23" s="481"/>
      <c r="O23" s="481">
        <v>71649.990000000005</v>
      </c>
      <c r="P23" s="481">
        <v>0</v>
      </c>
      <c r="Q23" s="475">
        <f>SUMPRODUCT($J$5:$P$5,J23:P23)</f>
        <v>71649.990000000005</v>
      </c>
      <c r="R23" s="723"/>
    </row>
    <row r="24" spans="1:18" ht="14.4">
      <c r="A24" s="444"/>
      <c r="B24" s="482" t="s">
        <v>730</v>
      </c>
      <c r="C24" s="722"/>
      <c r="D24" s="722"/>
      <c r="E24" s="722"/>
      <c r="F24" s="722"/>
      <c r="G24" s="722"/>
      <c r="H24" s="477">
        <v>1.4</v>
      </c>
      <c r="I24" s="478">
        <f t="shared" si="4"/>
        <v>0</v>
      </c>
      <c r="J24" s="481"/>
      <c r="K24" s="481"/>
      <c r="L24" s="481"/>
      <c r="M24" s="481"/>
      <c r="N24" s="481"/>
      <c r="O24" s="481"/>
      <c r="P24" s="481"/>
      <c r="Q24" s="475">
        <f t="shared" ref="Q24:Q25" si="9">SUMPRODUCT($J$5:$P$5,J24:P24)</f>
        <v>0</v>
      </c>
      <c r="R24" s="723"/>
    </row>
    <row r="25" spans="1:18" ht="14.4">
      <c r="A25" s="444"/>
      <c r="B25" s="482" t="s">
        <v>737</v>
      </c>
      <c r="C25" s="722"/>
      <c r="D25" s="722"/>
      <c r="E25" s="722"/>
      <c r="F25" s="722"/>
      <c r="G25" s="722"/>
      <c r="H25" s="477">
        <v>1.4</v>
      </c>
      <c r="I25" s="478">
        <f t="shared" si="4"/>
        <v>0</v>
      </c>
      <c r="J25" s="481"/>
      <c r="K25" s="481"/>
      <c r="L25" s="481"/>
      <c r="M25" s="481"/>
      <c r="N25" s="481"/>
      <c r="O25" s="481"/>
      <c r="P25" s="481"/>
      <c r="Q25" s="475">
        <f t="shared" si="9"/>
        <v>0</v>
      </c>
      <c r="R25" s="723"/>
    </row>
    <row r="26" spans="1:18" ht="14.4">
      <c r="A26" s="444"/>
      <c r="B26" s="479" t="s">
        <v>735</v>
      </c>
      <c r="C26" s="721">
        <f>IF(C27&gt;0,C27,IF(C28&gt;0,C28,IF(C29&gt;0,C29,0)))</f>
        <v>0</v>
      </c>
      <c r="D26" s="721">
        <f>IF(D27&gt;0,D27,IF(D28&gt;0,D28,IF(D29&gt;0,D29,0)))</f>
        <v>0</v>
      </c>
      <c r="E26" s="721">
        <f>IF(E27&gt;0,E27,IF(E28&gt;0,E28,IF(E29&gt;0,E29,0)))</f>
        <v>0</v>
      </c>
      <c r="F26" s="721">
        <f>IF(F27&gt;0,F27,IF(F28&gt;0,F28,IF(F29&gt;0,F29,0)))</f>
        <v>0</v>
      </c>
      <c r="G26" s="721">
        <f>IF(G27&gt;0,G27,IF(G28&gt;0,G28,IF(G29&gt;0,G29,0)))</f>
        <v>0</v>
      </c>
      <c r="H26" s="477">
        <v>1.4</v>
      </c>
      <c r="I26" s="478">
        <f t="shared" si="4"/>
        <v>0</v>
      </c>
      <c r="J26" s="481"/>
      <c r="K26" s="481"/>
      <c r="L26" s="481"/>
      <c r="M26" s="481"/>
      <c r="N26" s="481"/>
      <c r="O26" s="481"/>
      <c r="P26" s="481"/>
      <c r="Q26" s="475">
        <f>SUM(Q27:Q29)</f>
        <v>0</v>
      </c>
      <c r="R26" s="723"/>
    </row>
    <row r="27" spans="1:18" ht="14.4">
      <c r="A27" s="444"/>
      <c r="B27" s="482" t="s">
        <v>729</v>
      </c>
      <c r="C27" s="722">
        <v>0</v>
      </c>
      <c r="D27" s="722">
        <v>0</v>
      </c>
      <c r="E27" s="722">
        <v>0</v>
      </c>
      <c r="F27" s="722">
        <v>0</v>
      </c>
      <c r="G27" s="722">
        <v>0</v>
      </c>
      <c r="H27" s="477">
        <v>1.4</v>
      </c>
      <c r="I27" s="478">
        <f t="shared" si="4"/>
        <v>0</v>
      </c>
      <c r="J27" s="481">
        <v>0</v>
      </c>
      <c r="K27" s="481">
        <v>0</v>
      </c>
      <c r="L27" s="481"/>
      <c r="M27" s="481">
        <v>0</v>
      </c>
      <c r="N27" s="481"/>
      <c r="O27" s="481">
        <v>0</v>
      </c>
      <c r="P27" s="481">
        <v>0</v>
      </c>
      <c r="Q27" s="475">
        <f>SUMPRODUCT($J$5:$P$5,J27:P27)</f>
        <v>0</v>
      </c>
      <c r="R27" s="723"/>
    </row>
    <row r="28" spans="1:18" ht="14.4">
      <c r="A28" s="444"/>
      <c r="B28" s="482" t="s">
        <v>730</v>
      </c>
      <c r="C28" s="722"/>
      <c r="D28" s="722"/>
      <c r="E28" s="722"/>
      <c r="F28" s="722"/>
      <c r="G28" s="722"/>
      <c r="H28" s="477">
        <v>1.4</v>
      </c>
      <c r="I28" s="478">
        <f t="shared" si="4"/>
        <v>0</v>
      </c>
      <c r="J28" s="481"/>
      <c r="K28" s="481"/>
      <c r="L28" s="481"/>
      <c r="M28" s="481"/>
      <c r="N28" s="481"/>
      <c r="O28" s="481"/>
      <c r="P28" s="481"/>
      <c r="Q28" s="475">
        <f t="shared" ref="Q28:Q29" si="10">SUMPRODUCT($J$5:$P$5,J28:P28)</f>
        <v>0</v>
      </c>
      <c r="R28" s="723"/>
    </row>
    <row r="29" spans="1:18" ht="14.4">
      <c r="A29" s="444"/>
      <c r="B29" s="482" t="s">
        <v>737</v>
      </c>
      <c r="C29" s="722"/>
      <c r="D29" s="722"/>
      <c r="E29" s="722"/>
      <c r="F29" s="722"/>
      <c r="G29" s="722"/>
      <c r="H29" s="477">
        <v>1.4</v>
      </c>
      <c r="I29" s="478">
        <f t="shared" si="4"/>
        <v>0</v>
      </c>
      <c r="J29" s="481"/>
      <c r="K29" s="481"/>
      <c r="L29" s="481"/>
      <c r="M29" s="481"/>
      <c r="N29" s="481"/>
      <c r="O29" s="481"/>
      <c r="P29" s="481"/>
      <c r="Q29" s="475">
        <f t="shared" si="10"/>
        <v>0</v>
      </c>
      <c r="R29" s="723"/>
    </row>
    <row r="30" spans="1:18" ht="14.4">
      <c r="A30" s="444"/>
      <c r="B30" s="483" t="s">
        <v>736</v>
      </c>
      <c r="C30" s="721">
        <f>IF(C31&gt;0,C31,IF(C32&gt;0,C32,IF(C33&gt;0,C33,0)))</f>
        <v>19050585.5</v>
      </c>
      <c r="D30" s="721">
        <f>IF(D31&gt;0,D31,IF(D32&gt;0,D32,IF(D33&gt;0,D33,0)))</f>
        <v>580178.16</v>
      </c>
      <c r="E30" s="721">
        <f>IF(E31&gt;0,E31,IF(E32&gt;0,E32,IF(E33&gt;0,E33,0)))</f>
        <v>18960955</v>
      </c>
      <c r="F30" s="721">
        <f>IF(F31&gt;0,F31,IF(F32&gt;0,F32,IF(F33&gt;0,F33,0)))</f>
        <v>0</v>
      </c>
      <c r="G30" s="721">
        <f>IF(G31&gt;0,G31,IF(G32&gt;0,G32,IF(G33&gt;0,G33,0)))</f>
        <v>24026.574285708259</v>
      </c>
      <c r="H30" s="477">
        <v>1.4</v>
      </c>
      <c r="I30" s="478">
        <f t="shared" si="4"/>
        <v>33637.203999991558</v>
      </c>
      <c r="J30" s="481"/>
      <c r="K30" s="481"/>
      <c r="L30" s="481"/>
      <c r="M30" s="481"/>
      <c r="N30" s="481"/>
      <c r="O30" s="481"/>
      <c r="P30" s="481"/>
      <c r="Q30" s="475">
        <f>SUM(Q31:Q33)</f>
        <v>22437.264999999999</v>
      </c>
      <c r="R30" s="723"/>
    </row>
    <row r="31" spans="1:18" ht="14.4">
      <c r="A31" s="444"/>
      <c r="B31" s="482" t="s">
        <v>729</v>
      </c>
      <c r="C31" s="722">
        <v>19050585.5</v>
      </c>
      <c r="D31" s="722">
        <v>580178.16</v>
      </c>
      <c r="E31" s="722">
        <v>18960955</v>
      </c>
      <c r="F31" s="722">
        <v>0</v>
      </c>
      <c r="G31" s="722">
        <v>24026.574285708259</v>
      </c>
      <c r="H31" s="477">
        <v>1.4</v>
      </c>
      <c r="I31" s="478">
        <f t="shared" si="4"/>
        <v>33637.203999991558</v>
      </c>
      <c r="J31" s="481">
        <v>0</v>
      </c>
      <c r="K31" s="481">
        <v>0</v>
      </c>
      <c r="L31" s="481"/>
      <c r="M31" s="481">
        <v>22399.87</v>
      </c>
      <c r="N31" s="481"/>
      <c r="O31" s="481">
        <v>11237.33</v>
      </c>
      <c r="P31" s="481">
        <v>0</v>
      </c>
      <c r="Q31" s="475">
        <f>SUMPRODUCT($J$5:$P$5,J31:P31)</f>
        <v>22437.264999999999</v>
      </c>
      <c r="R31" s="723"/>
    </row>
    <row r="32" spans="1:18" ht="14.4">
      <c r="A32" s="444"/>
      <c r="B32" s="482" t="s">
        <v>730</v>
      </c>
      <c r="C32" s="722"/>
      <c r="D32" s="722"/>
      <c r="E32" s="722"/>
      <c r="F32" s="722"/>
      <c r="G32" s="722"/>
      <c r="H32" s="477">
        <v>1.4</v>
      </c>
      <c r="I32" s="478">
        <f t="shared" si="4"/>
        <v>0</v>
      </c>
      <c r="J32" s="481"/>
      <c r="K32" s="481"/>
      <c r="L32" s="481"/>
      <c r="M32" s="481"/>
      <c r="N32" s="481"/>
      <c r="O32" s="481"/>
      <c r="P32" s="481"/>
      <c r="Q32" s="475">
        <f t="shared" ref="Q32:Q33" si="11">SUMPRODUCT($J$5:$P$5,J32:P32)</f>
        <v>0</v>
      </c>
      <c r="R32" s="723"/>
    </row>
    <row r="33" spans="1:18" ht="14.4">
      <c r="A33" s="444"/>
      <c r="B33" s="482" t="s">
        <v>737</v>
      </c>
      <c r="C33" s="722"/>
      <c r="D33" s="722"/>
      <c r="E33" s="722"/>
      <c r="F33" s="722"/>
      <c r="G33" s="722"/>
      <c r="H33" s="477">
        <v>1.4</v>
      </c>
      <c r="I33" s="478">
        <f t="shared" si="4"/>
        <v>0</v>
      </c>
      <c r="J33" s="481"/>
      <c r="K33" s="481"/>
      <c r="L33" s="481"/>
      <c r="M33" s="481"/>
      <c r="N33" s="481"/>
      <c r="O33" s="481"/>
      <c r="P33" s="481"/>
      <c r="Q33" s="475">
        <f t="shared" si="11"/>
        <v>0</v>
      </c>
      <c r="R33" s="723"/>
    </row>
    <row r="34" spans="1:18" ht="14.4">
      <c r="A34" s="444"/>
      <c r="B34" s="484" t="s">
        <v>64</v>
      </c>
      <c r="C34" s="485">
        <f>C6</f>
        <v>119799552</v>
      </c>
      <c r="D34" s="485">
        <f t="shared" ref="D34:G34" si="12">D6</f>
        <v>1601388.6</v>
      </c>
      <c r="E34" s="485">
        <f t="shared" si="12"/>
        <v>30382573.969999999</v>
      </c>
      <c r="F34" s="485">
        <f t="shared" si="12"/>
        <v>323045.68</v>
      </c>
      <c r="G34" s="485">
        <f t="shared" si="12"/>
        <v>804414.85210148292</v>
      </c>
      <c r="H34" s="477">
        <v>1.4</v>
      </c>
      <c r="I34" s="478">
        <f>(F34+G34)*H34</f>
        <v>1578444.7449420758</v>
      </c>
      <c r="J34" s="485">
        <f t="shared" ref="J34:Q34" si="13">J6</f>
        <v>0</v>
      </c>
      <c r="K34" s="485">
        <f t="shared" si="13"/>
        <v>0</v>
      </c>
      <c r="L34" s="485">
        <f t="shared" si="13"/>
        <v>0</v>
      </c>
      <c r="M34" s="485">
        <f t="shared" si="13"/>
        <v>1472561.32</v>
      </c>
      <c r="N34" s="485">
        <f t="shared" si="13"/>
        <v>0</v>
      </c>
      <c r="O34" s="485">
        <f t="shared" si="13"/>
        <v>82887.320000000007</v>
      </c>
      <c r="P34" s="485">
        <f t="shared" si="13"/>
        <v>22996.097665800153</v>
      </c>
      <c r="Q34" s="485">
        <f t="shared" si="13"/>
        <v>853662.12649870024</v>
      </c>
      <c r="R34" s="723"/>
    </row>
    <row r="36" spans="1:18">
      <c r="C36" s="568"/>
      <c r="D36" s="568"/>
      <c r="E36" s="568"/>
      <c r="F36" s="568"/>
      <c r="G36" s="568"/>
      <c r="H36" s="568"/>
      <c r="I36" s="568"/>
      <c r="J36" s="568"/>
      <c r="K36" s="568"/>
      <c r="L36" s="568"/>
      <c r="M36" s="568"/>
      <c r="N36" s="568"/>
      <c r="O36" s="568"/>
      <c r="P36" s="568"/>
      <c r="Q36" s="568"/>
    </row>
    <row r="37" spans="1:18">
      <c r="C37" s="568"/>
      <c r="D37" s="568"/>
      <c r="E37" s="568"/>
      <c r="F37" s="568"/>
      <c r="G37" s="568"/>
      <c r="H37" s="568"/>
      <c r="I37" s="568"/>
      <c r="J37" s="568"/>
      <c r="K37" s="568"/>
      <c r="L37" s="568"/>
      <c r="M37" s="568"/>
      <c r="N37" s="568"/>
      <c r="O37" s="568"/>
      <c r="P37" s="568"/>
      <c r="Q37" s="568"/>
    </row>
    <row r="38" spans="1:18">
      <c r="C38" s="568"/>
      <c r="D38" s="568"/>
      <c r="E38" s="568"/>
      <c r="F38" s="568"/>
      <c r="G38" s="568"/>
      <c r="H38" s="568"/>
      <c r="I38" s="568"/>
      <c r="J38" s="568"/>
      <c r="K38" s="568"/>
      <c r="L38" s="568"/>
      <c r="M38" s="568"/>
      <c r="N38" s="568"/>
      <c r="O38" s="568"/>
      <c r="P38" s="568"/>
      <c r="Q38" s="568"/>
    </row>
    <row r="39" spans="1:18">
      <c r="C39" s="568"/>
      <c r="D39" s="568"/>
      <c r="E39" s="568"/>
      <c r="F39" s="568"/>
      <c r="G39" s="568"/>
      <c r="H39" s="568"/>
      <c r="I39" s="568"/>
      <c r="J39" s="568"/>
      <c r="K39" s="568"/>
      <c r="L39" s="568"/>
      <c r="M39" s="568"/>
      <c r="N39" s="568"/>
      <c r="O39" s="568"/>
      <c r="P39" s="568"/>
      <c r="Q39" s="568"/>
    </row>
    <row r="40" spans="1:18">
      <c r="C40" s="568"/>
      <c r="D40" s="568"/>
      <c r="E40" s="568"/>
      <c r="F40" s="568"/>
      <c r="G40" s="568"/>
      <c r="H40" s="568"/>
      <c r="I40" s="568"/>
      <c r="J40" s="568"/>
      <c r="K40" s="568"/>
      <c r="L40" s="568"/>
      <c r="M40" s="568"/>
      <c r="N40" s="568"/>
      <c r="O40" s="568"/>
      <c r="P40" s="568"/>
      <c r="Q40" s="568"/>
    </row>
    <row r="41" spans="1:18">
      <c r="C41" s="568"/>
      <c r="D41" s="568"/>
      <c r="E41" s="568"/>
      <c r="F41" s="568"/>
      <c r="G41" s="568"/>
      <c r="H41" s="568"/>
      <c r="I41" s="568"/>
      <c r="J41" s="568"/>
      <c r="K41" s="568"/>
      <c r="L41" s="568"/>
      <c r="M41" s="568"/>
      <c r="N41" s="568"/>
      <c r="O41" s="568"/>
      <c r="P41" s="568"/>
      <c r="Q41" s="568"/>
    </row>
    <row r="42" spans="1:18">
      <c r="C42" s="568"/>
      <c r="D42" s="568"/>
      <c r="E42" s="568"/>
      <c r="F42" s="568"/>
      <c r="G42" s="568"/>
      <c r="H42" s="568"/>
      <c r="I42" s="568"/>
      <c r="J42" s="568"/>
      <c r="K42" s="568"/>
      <c r="L42" s="568"/>
      <c r="M42" s="568"/>
      <c r="N42" s="568"/>
      <c r="O42" s="568"/>
      <c r="P42" s="568"/>
      <c r="Q42" s="568"/>
    </row>
    <row r="43" spans="1:18">
      <c r="C43" s="568"/>
      <c r="D43" s="568"/>
      <c r="E43" s="568"/>
      <c r="F43" s="568"/>
      <c r="G43" s="568"/>
      <c r="H43" s="568"/>
      <c r="I43" s="568"/>
      <c r="J43" s="568"/>
      <c r="K43" s="568"/>
      <c r="L43" s="568"/>
      <c r="M43" s="568"/>
      <c r="N43" s="568"/>
      <c r="O43" s="568"/>
      <c r="P43" s="568"/>
      <c r="Q43" s="568"/>
    </row>
    <row r="44" spans="1:18">
      <c r="C44" s="568"/>
      <c r="D44" s="568"/>
      <c r="E44" s="568"/>
      <c r="F44" s="568"/>
      <c r="G44" s="568"/>
      <c r="H44" s="568"/>
      <c r="I44" s="568"/>
      <c r="J44" s="568"/>
      <c r="K44" s="568"/>
      <c r="L44" s="568"/>
      <c r="M44" s="568"/>
      <c r="N44" s="568"/>
      <c r="O44" s="568"/>
      <c r="P44" s="568"/>
      <c r="Q44" s="568"/>
    </row>
    <row r="45" spans="1:18">
      <c r="C45" s="568"/>
      <c r="D45" s="568"/>
      <c r="E45" s="568"/>
      <c r="F45" s="568"/>
      <c r="G45" s="568"/>
      <c r="H45" s="568"/>
      <c r="I45" s="568"/>
      <c r="J45" s="568"/>
      <c r="K45" s="568"/>
      <c r="L45" s="568"/>
      <c r="M45" s="568"/>
      <c r="N45" s="568"/>
      <c r="O45" s="568"/>
      <c r="P45" s="568"/>
      <c r="Q45" s="568"/>
    </row>
    <row r="46" spans="1:18">
      <c r="C46" s="568"/>
      <c r="D46" s="568"/>
      <c r="E46" s="568"/>
      <c r="F46" s="568"/>
      <c r="G46" s="568"/>
      <c r="H46" s="568"/>
      <c r="I46" s="568"/>
      <c r="J46" s="568"/>
      <c r="K46" s="568"/>
      <c r="L46" s="568"/>
      <c r="M46" s="568"/>
      <c r="N46" s="568"/>
      <c r="O46" s="568"/>
      <c r="P46" s="568"/>
      <c r="Q46" s="568"/>
    </row>
    <row r="47" spans="1:18">
      <c r="C47" s="568"/>
      <c r="D47" s="568"/>
      <c r="E47" s="568"/>
      <c r="F47" s="568"/>
      <c r="G47" s="568"/>
      <c r="H47" s="568"/>
      <c r="I47" s="568"/>
      <c r="J47" s="568"/>
      <c r="K47" s="568"/>
      <c r="L47" s="568"/>
      <c r="M47" s="568"/>
      <c r="N47" s="568"/>
      <c r="O47" s="568"/>
      <c r="P47" s="568"/>
      <c r="Q47" s="568"/>
    </row>
    <row r="48" spans="1:18">
      <c r="C48" s="568"/>
      <c r="D48" s="568"/>
      <c r="E48" s="568"/>
      <c r="F48" s="568"/>
      <c r="G48" s="568"/>
      <c r="H48" s="568"/>
      <c r="I48" s="568"/>
      <c r="J48" s="568"/>
      <c r="K48" s="568"/>
      <c r="L48" s="568"/>
      <c r="M48" s="568"/>
      <c r="N48" s="568"/>
      <c r="O48" s="568"/>
      <c r="P48" s="568"/>
      <c r="Q48" s="568"/>
    </row>
    <row r="49" spans="3:17">
      <c r="C49" s="568"/>
      <c r="D49" s="568"/>
      <c r="E49" s="568"/>
      <c r="F49" s="568"/>
      <c r="G49" s="568"/>
      <c r="H49" s="568"/>
      <c r="I49" s="568"/>
      <c r="J49" s="568"/>
      <c r="K49" s="568"/>
      <c r="L49" s="568"/>
      <c r="M49" s="568"/>
      <c r="N49" s="568"/>
      <c r="O49" s="568"/>
      <c r="P49" s="568"/>
      <c r="Q49" s="568"/>
    </row>
    <row r="50" spans="3:17">
      <c r="C50" s="568"/>
      <c r="D50" s="568"/>
      <c r="E50" s="568"/>
      <c r="F50" s="568"/>
      <c r="G50" s="568"/>
      <c r="H50" s="568"/>
      <c r="I50" s="568"/>
      <c r="J50" s="568"/>
      <c r="K50" s="568"/>
      <c r="L50" s="568"/>
      <c r="M50" s="568"/>
      <c r="N50" s="568"/>
      <c r="O50" s="568"/>
      <c r="P50" s="568"/>
      <c r="Q50" s="568"/>
    </row>
    <row r="51" spans="3:17">
      <c r="C51" s="568"/>
      <c r="D51" s="568"/>
      <c r="E51" s="568"/>
      <c r="F51" s="568"/>
      <c r="G51" s="568"/>
      <c r="H51" s="568"/>
      <c r="I51" s="568"/>
      <c r="J51" s="568"/>
      <c r="K51" s="568"/>
      <c r="L51" s="568"/>
      <c r="M51" s="568"/>
      <c r="N51" s="568"/>
      <c r="O51" s="568"/>
      <c r="P51" s="568"/>
      <c r="Q51" s="568"/>
    </row>
    <row r="52" spans="3:17">
      <c r="C52" s="568"/>
      <c r="D52" s="568"/>
      <c r="E52" s="568"/>
      <c r="F52" s="568"/>
      <c r="G52" s="568"/>
      <c r="H52" s="568"/>
      <c r="I52" s="568"/>
      <c r="J52" s="568"/>
      <c r="K52" s="568"/>
      <c r="L52" s="568"/>
      <c r="M52" s="568"/>
      <c r="N52" s="568"/>
      <c r="O52" s="568"/>
      <c r="P52" s="568"/>
      <c r="Q52" s="568"/>
    </row>
    <row r="53" spans="3:17">
      <c r="C53" s="568"/>
      <c r="D53" s="568"/>
      <c r="E53" s="568"/>
      <c r="F53" s="568"/>
      <c r="G53" s="568"/>
      <c r="H53" s="568"/>
      <c r="I53" s="568"/>
      <c r="J53" s="568"/>
      <c r="K53" s="568"/>
      <c r="L53" s="568"/>
      <c r="M53" s="568"/>
      <c r="N53" s="568"/>
      <c r="O53" s="568"/>
      <c r="P53" s="568"/>
      <c r="Q53" s="568"/>
    </row>
    <row r="54" spans="3:17">
      <c r="C54" s="568"/>
      <c r="D54" s="568"/>
      <c r="E54" s="568"/>
      <c r="F54" s="568"/>
      <c r="G54" s="568"/>
      <c r="H54" s="568"/>
      <c r="I54" s="568"/>
      <c r="J54" s="568"/>
      <c r="K54" s="568"/>
      <c r="L54" s="568"/>
      <c r="M54" s="568"/>
      <c r="N54" s="568"/>
      <c r="O54" s="568"/>
      <c r="P54" s="568"/>
      <c r="Q54" s="568"/>
    </row>
    <row r="55" spans="3:17">
      <c r="C55" s="568"/>
      <c r="D55" s="568"/>
      <c r="E55" s="568"/>
      <c r="F55" s="568"/>
      <c r="G55" s="568"/>
      <c r="H55" s="568"/>
      <c r="I55" s="568"/>
      <c r="J55" s="568"/>
      <c r="K55" s="568"/>
      <c r="L55" s="568"/>
      <c r="M55" s="568"/>
      <c r="N55" s="568"/>
      <c r="O55" s="568"/>
      <c r="P55" s="568"/>
      <c r="Q55" s="568"/>
    </row>
    <row r="56" spans="3:17">
      <c r="C56" s="568"/>
      <c r="D56" s="568"/>
      <c r="E56" s="568"/>
      <c r="F56" s="568"/>
      <c r="G56" s="568"/>
      <c r="H56" s="568"/>
      <c r="I56" s="568"/>
      <c r="J56" s="568"/>
      <c r="K56" s="568"/>
      <c r="L56" s="568"/>
      <c r="M56" s="568"/>
      <c r="N56" s="568"/>
      <c r="O56" s="568"/>
      <c r="P56" s="568"/>
      <c r="Q56" s="568"/>
    </row>
    <row r="57" spans="3:17">
      <c r="C57" s="568"/>
      <c r="D57" s="568"/>
      <c r="E57" s="568"/>
      <c r="F57" s="568"/>
      <c r="G57" s="568"/>
      <c r="H57" s="568"/>
      <c r="I57" s="568"/>
      <c r="J57" s="568"/>
      <c r="K57" s="568"/>
      <c r="L57" s="568"/>
      <c r="M57" s="568"/>
      <c r="N57" s="568"/>
      <c r="O57" s="568"/>
      <c r="P57" s="568"/>
      <c r="Q57" s="568"/>
    </row>
    <row r="58" spans="3:17">
      <c r="C58" s="568"/>
      <c r="D58" s="568"/>
      <c r="E58" s="568"/>
      <c r="F58" s="568"/>
      <c r="G58" s="568"/>
      <c r="H58" s="568"/>
      <c r="I58" s="568"/>
      <c r="J58" s="568"/>
      <c r="K58" s="568"/>
      <c r="L58" s="568"/>
      <c r="M58" s="568"/>
      <c r="N58" s="568"/>
      <c r="O58" s="568"/>
      <c r="P58" s="568"/>
      <c r="Q58" s="568"/>
    </row>
    <row r="59" spans="3:17">
      <c r="C59" s="568"/>
      <c r="D59" s="568"/>
      <c r="E59" s="568"/>
      <c r="F59" s="568"/>
      <c r="G59" s="568"/>
      <c r="H59" s="568"/>
      <c r="I59" s="568"/>
      <c r="J59" s="568"/>
      <c r="K59" s="568"/>
      <c r="L59" s="568"/>
      <c r="M59" s="568"/>
      <c r="N59" s="568"/>
      <c r="O59" s="568"/>
      <c r="P59" s="568"/>
      <c r="Q59" s="568"/>
    </row>
    <row r="60" spans="3:17">
      <c r="C60" s="568"/>
      <c r="D60" s="568"/>
      <c r="E60" s="568"/>
      <c r="F60" s="568"/>
      <c r="G60" s="568"/>
      <c r="H60" s="568"/>
      <c r="I60" s="568"/>
      <c r="J60" s="568"/>
      <c r="K60" s="568"/>
      <c r="L60" s="568"/>
      <c r="M60" s="568"/>
      <c r="N60" s="568"/>
      <c r="O60" s="568"/>
      <c r="P60" s="568"/>
      <c r="Q60" s="568"/>
    </row>
    <row r="61" spans="3:17">
      <c r="C61" s="568"/>
      <c r="D61" s="568"/>
      <c r="E61" s="568"/>
      <c r="F61" s="568"/>
      <c r="G61" s="568"/>
      <c r="H61" s="568"/>
      <c r="I61" s="568"/>
      <c r="J61" s="568"/>
      <c r="K61" s="568"/>
      <c r="L61" s="568"/>
      <c r="M61" s="568"/>
      <c r="N61" s="568"/>
      <c r="O61" s="568"/>
      <c r="P61" s="568"/>
      <c r="Q61" s="568"/>
    </row>
    <row r="62" spans="3:17">
      <c r="C62" s="568"/>
      <c r="D62" s="568"/>
      <c r="E62" s="568"/>
      <c r="F62" s="568"/>
      <c r="G62" s="568"/>
      <c r="H62" s="568"/>
      <c r="I62" s="568"/>
      <c r="J62" s="568"/>
      <c r="K62" s="568"/>
      <c r="L62" s="568"/>
      <c r="M62" s="568"/>
      <c r="N62" s="568"/>
      <c r="O62" s="568"/>
      <c r="P62" s="568"/>
      <c r="Q62" s="568"/>
    </row>
    <row r="63" spans="3:17">
      <c r="C63" s="568"/>
      <c r="D63" s="568"/>
      <c r="E63" s="568"/>
      <c r="F63" s="568"/>
      <c r="G63" s="568"/>
      <c r="H63" s="568"/>
      <c r="I63" s="568"/>
      <c r="J63" s="568"/>
      <c r="K63" s="568"/>
      <c r="L63" s="568"/>
      <c r="M63" s="568"/>
      <c r="N63" s="568"/>
      <c r="O63" s="568"/>
      <c r="P63" s="568"/>
      <c r="Q63" s="568"/>
    </row>
    <row r="64" spans="3:17">
      <c r="C64" s="568"/>
      <c r="D64" s="568"/>
      <c r="E64" s="568"/>
      <c r="F64" s="568"/>
      <c r="G64" s="568"/>
      <c r="H64" s="568"/>
      <c r="I64" s="568"/>
      <c r="J64" s="568"/>
      <c r="K64" s="568"/>
      <c r="L64" s="568"/>
      <c r="M64" s="568"/>
      <c r="N64" s="568"/>
      <c r="O64" s="568"/>
      <c r="P64" s="568"/>
      <c r="Q64" s="568"/>
    </row>
    <row r="65" spans="3:3">
      <c r="C65" s="568"/>
    </row>
    <row r="66" spans="3:3">
      <c r="C66" s="568"/>
    </row>
    <row r="67" spans="3:3">
      <c r="C67" s="568"/>
    </row>
    <row r="68" spans="3:3">
      <c r="C68" s="568"/>
    </row>
    <row r="69" spans="3:3">
      <c r="C69" s="568"/>
    </row>
    <row r="70" spans="3:3">
      <c r="C70" s="568"/>
    </row>
    <row r="71" spans="3:3">
      <c r="C71" s="568"/>
    </row>
    <row r="72" spans="3:3">
      <c r="C72" s="568"/>
    </row>
    <row r="73" spans="3:3">
      <c r="C73" s="568"/>
    </row>
    <row r="74" spans="3:3">
      <c r="C74" s="568"/>
    </row>
    <row r="75" spans="3:3">
      <c r="C75" s="568"/>
    </row>
    <row r="76" spans="3:3">
      <c r="C76" s="568"/>
    </row>
    <row r="77" spans="3:3">
      <c r="C77" s="568"/>
    </row>
    <row r="78" spans="3:3">
      <c r="C78" s="568"/>
    </row>
    <row r="79" spans="3:3">
      <c r="C79" s="568"/>
    </row>
    <row r="80" spans="3:3">
      <c r="C80" s="568"/>
    </row>
    <row r="81" spans="3:3">
      <c r="C81" s="568"/>
    </row>
    <row r="82" spans="3:3">
      <c r="C82" s="568"/>
    </row>
    <row r="83" spans="3:3">
      <c r="C83" s="568"/>
    </row>
    <row r="84" spans="3:3">
      <c r="C84" s="568"/>
    </row>
    <row r="85" spans="3:3">
      <c r="C85" s="568"/>
    </row>
    <row r="86" spans="3:3">
      <c r="C86" s="568"/>
    </row>
  </sheetData>
  <conditionalFormatting sqref="I7:I34">
    <cfRule type="expression" dxfId="18" priority="1">
      <formula>(C7*#REF!)&lt;&gt;SUM(#REF!)</formula>
    </cfRule>
  </conditionalFormatting>
  <pageMargins left="0.7" right="0.7" top="0.75" bottom="0.75" header="0.3" footer="0.3"/>
  <pageSetup paperSize="9" scale="25" orientation="portrait" horizontalDpi="300" verticalDpi="300" r:id="rId1"/>
  <headerFooter>
    <oddFooter>&amp;C_x000D_&amp;1#&amp;"Aptos"&amp;10&amp;K000000 C4 - EXTERNAL CONFIDENTIAL</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5"/>
  <sheetViews>
    <sheetView tabSelected="1" zoomScale="80" zoomScaleNormal="80" workbookViewId="0">
      <pane xSplit="1" ySplit="5" topLeftCell="B6" activePane="bottomRight" state="frozen"/>
      <selection activeCell="B42" sqref="B42"/>
      <selection pane="topRight" activeCell="B42" sqref="B42"/>
      <selection pane="bottomLeft" activeCell="B42" sqref="B42"/>
      <selection pane="bottomRight" activeCell="I7" sqref="I7"/>
    </sheetView>
  </sheetViews>
  <sheetFormatPr defaultColWidth="9.21875" defaultRowHeight="13.8"/>
  <cols>
    <col min="1" max="1" width="9.5546875" style="4" bestFit="1" customWidth="1"/>
    <col min="2" max="2" width="86" style="4" customWidth="1"/>
    <col min="3" max="3" width="12.77734375" style="4" customWidth="1"/>
    <col min="4" max="7" width="12.77734375" style="5" customWidth="1"/>
    <col min="8" max="8" width="9.21875" style="6" customWidth="1"/>
    <col min="9" max="12" width="9.21875" style="6"/>
    <col min="13" max="13" width="6.77734375" style="6" customWidth="1"/>
    <col min="14" max="16384" width="9.21875" style="6"/>
  </cols>
  <sheetData>
    <row r="1" spans="1:13">
      <c r="A1" s="3" t="s">
        <v>30</v>
      </c>
      <c r="B1" s="4" t="str">
        <f>'Info '!C2</f>
        <v xml:space="preserve">PASHA Bank Georgia JSC </v>
      </c>
    </row>
    <row r="2" spans="1:13">
      <c r="A2" s="3" t="s">
        <v>31</v>
      </c>
      <c r="B2" s="252">
        <v>46022</v>
      </c>
    </row>
    <row r="3" spans="1:13" ht="14.4" thickBot="1">
      <c r="A3" s="3"/>
    </row>
    <row r="4" spans="1:13" ht="15" customHeight="1" thickBot="1">
      <c r="A4" s="7" t="s">
        <v>93</v>
      </c>
      <c r="B4" s="8" t="s">
        <v>92</v>
      </c>
      <c r="C4" s="8"/>
      <c r="D4" s="729" t="s">
        <v>664</v>
      </c>
      <c r="E4" s="730"/>
      <c r="F4" s="730"/>
      <c r="G4" s="731"/>
    </row>
    <row r="5" spans="1:13">
      <c r="A5" s="9" t="s">
        <v>6</v>
      </c>
      <c r="B5" s="10"/>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1" t="str">
        <f>IF(INT(MONTH($B$2))=3, "1"&amp;"Q"&amp;"-"&amp;YEAR($B$2)-1, IF(INT(MONTH($B$2))=6, "2"&amp;"Q"&amp;"-"&amp;YEAR($B$2)-1, IF(INT(MONTH($B$2))=9, "3"&amp;"Q"&amp;"-"&amp;YEAR($B$2)-1,IF(INT(MONTH($B$2))=12, "4"&amp;"Q"&amp;"-"&amp;YEAR($B$2)-1, 0))))</f>
        <v>4Q-2024</v>
      </c>
    </row>
    <row r="6" spans="1:13">
      <c r="B6" s="108" t="s">
        <v>91</v>
      </c>
      <c r="C6" s="253"/>
      <c r="D6" s="253"/>
      <c r="E6" s="253"/>
      <c r="F6" s="253"/>
      <c r="G6" s="254"/>
    </row>
    <row r="7" spans="1:13">
      <c r="A7" s="11"/>
      <c r="B7" s="109" t="s">
        <v>89</v>
      </c>
      <c r="C7" s="253"/>
      <c r="D7" s="253"/>
      <c r="E7" s="253"/>
      <c r="F7" s="253"/>
      <c r="G7" s="254"/>
    </row>
    <row r="8" spans="1:13">
      <c r="A8" s="9">
        <v>1</v>
      </c>
      <c r="B8" s="12" t="s">
        <v>327</v>
      </c>
      <c r="C8" s="634">
        <v>120008533.27</v>
      </c>
      <c r="D8" s="635">
        <v>117400529.39</v>
      </c>
      <c r="E8" s="635">
        <v>116349646.08</v>
      </c>
      <c r="F8" s="635">
        <v>114576078.96000001</v>
      </c>
      <c r="G8" s="636">
        <v>115092463.53</v>
      </c>
      <c r="H8" s="535"/>
      <c r="I8" s="535"/>
      <c r="J8" s="535"/>
      <c r="K8" s="535"/>
      <c r="L8" s="535"/>
      <c r="M8" s="534"/>
    </row>
    <row r="9" spans="1:13">
      <c r="A9" s="9">
        <v>2</v>
      </c>
      <c r="B9" s="12" t="s">
        <v>328</v>
      </c>
      <c r="C9" s="634">
        <v>133484033.27</v>
      </c>
      <c r="D9" s="635">
        <v>117400529.39</v>
      </c>
      <c r="E9" s="635">
        <v>116349646.08</v>
      </c>
      <c r="F9" s="635">
        <v>114576078.96000001</v>
      </c>
      <c r="G9" s="636">
        <v>115092463.53</v>
      </c>
      <c r="H9" s="535"/>
      <c r="I9" s="535"/>
      <c r="J9" s="535"/>
      <c r="K9" s="535"/>
      <c r="L9" s="535"/>
    </row>
    <row r="10" spans="1:13">
      <c r="A10" s="9">
        <v>3</v>
      </c>
      <c r="B10" s="12" t="s">
        <v>142</v>
      </c>
      <c r="C10" s="634">
        <v>161784059.26300001</v>
      </c>
      <c r="D10" s="635">
        <v>148551729.38999999</v>
      </c>
      <c r="E10" s="635">
        <v>147671046.07999998</v>
      </c>
      <c r="F10" s="635">
        <v>146400028.96000001</v>
      </c>
      <c r="G10" s="636">
        <v>147370663.53</v>
      </c>
      <c r="H10" s="535"/>
      <c r="I10" s="535"/>
      <c r="J10" s="535"/>
      <c r="K10" s="535"/>
      <c r="L10" s="535"/>
    </row>
    <row r="11" spans="1:13">
      <c r="A11" s="9">
        <v>4</v>
      </c>
      <c r="B11" s="12" t="s">
        <v>330</v>
      </c>
      <c r="C11" s="634">
        <v>99904577.602076039</v>
      </c>
      <c r="D11" s="635">
        <v>92767886.208897308</v>
      </c>
      <c r="E11" s="635">
        <v>91960270.477399886</v>
      </c>
      <c r="F11" s="635">
        <v>93003478.205027804</v>
      </c>
      <c r="G11" s="636">
        <v>94637194.606505588</v>
      </c>
      <c r="H11" s="535"/>
      <c r="I11" s="535"/>
      <c r="J11" s="535"/>
      <c r="K11" s="535"/>
      <c r="L11" s="535"/>
    </row>
    <row r="12" spans="1:13">
      <c r="A12" s="9">
        <v>5</v>
      </c>
      <c r="B12" s="12" t="s">
        <v>331</v>
      </c>
      <c r="C12" s="634">
        <v>121785228.72411591</v>
      </c>
      <c r="D12" s="635">
        <v>112497001.28302869</v>
      </c>
      <c r="E12" s="635">
        <v>111431558.83573492</v>
      </c>
      <c r="F12" s="635">
        <v>112597126.85167614</v>
      </c>
      <c r="G12" s="636">
        <v>114802687.37104781</v>
      </c>
      <c r="H12" s="535"/>
      <c r="I12" s="535"/>
      <c r="J12" s="535"/>
      <c r="K12" s="535"/>
      <c r="L12" s="535"/>
    </row>
    <row r="13" spans="1:13">
      <c r="A13" s="9">
        <v>6</v>
      </c>
      <c r="B13" s="12" t="s">
        <v>329</v>
      </c>
      <c r="C13" s="634">
        <v>150750154.62165481</v>
      </c>
      <c r="D13" s="635">
        <v>138617932.99228531</v>
      </c>
      <c r="E13" s="635">
        <v>137213108.49544385</v>
      </c>
      <c r="F13" s="635">
        <v>138542811.82171732</v>
      </c>
      <c r="G13" s="636">
        <v>141504075.99891743</v>
      </c>
      <c r="H13" s="535"/>
      <c r="I13" s="535"/>
      <c r="J13" s="535"/>
      <c r="K13" s="535"/>
      <c r="L13" s="535"/>
    </row>
    <row r="14" spans="1:13">
      <c r="A14" s="11"/>
      <c r="B14" s="108" t="s">
        <v>333</v>
      </c>
      <c r="C14" s="253"/>
      <c r="D14" s="253"/>
      <c r="E14" s="253"/>
      <c r="F14" s="253"/>
      <c r="G14" s="254"/>
      <c r="H14" s="535"/>
      <c r="I14" s="535"/>
      <c r="J14" s="535"/>
      <c r="K14" s="535"/>
      <c r="L14" s="535"/>
    </row>
    <row r="15" spans="1:13" ht="15" customHeight="1">
      <c r="A15" s="9">
        <v>7</v>
      </c>
      <c r="B15" s="12" t="s">
        <v>332</v>
      </c>
      <c r="C15" s="637">
        <v>663462800.44837391</v>
      </c>
      <c r="D15" s="635">
        <v>613965124.51816165</v>
      </c>
      <c r="E15" s="635">
        <v>613446915.218606</v>
      </c>
      <c r="F15" s="635">
        <v>625359652.91482067</v>
      </c>
      <c r="G15" s="636">
        <v>637812963.19341671</v>
      </c>
      <c r="H15" s="535"/>
      <c r="I15" s="535"/>
      <c r="J15" s="535"/>
      <c r="K15" s="535"/>
      <c r="L15" s="535"/>
    </row>
    <row r="16" spans="1:13">
      <c r="A16" s="11"/>
      <c r="B16" s="108" t="s">
        <v>334</v>
      </c>
      <c r="C16" s="253"/>
      <c r="D16" s="253"/>
      <c r="E16" s="253"/>
      <c r="F16" s="253"/>
      <c r="G16" s="254"/>
      <c r="H16" s="535"/>
      <c r="I16" s="535"/>
      <c r="J16" s="535"/>
      <c r="K16" s="535"/>
      <c r="L16" s="535"/>
    </row>
    <row r="17" spans="1:12">
      <c r="A17" s="9"/>
      <c r="B17" s="109" t="s">
        <v>715</v>
      </c>
      <c r="C17" s="253"/>
      <c r="D17" s="253"/>
      <c r="E17" s="253"/>
      <c r="F17" s="253"/>
      <c r="G17" s="254"/>
      <c r="H17" s="535"/>
      <c r="I17" s="535"/>
      <c r="J17" s="535"/>
      <c r="K17" s="535"/>
      <c r="L17" s="535"/>
    </row>
    <row r="18" spans="1:12">
      <c r="A18" s="9">
        <v>8</v>
      </c>
      <c r="B18" s="12" t="s">
        <v>327</v>
      </c>
      <c r="C18" s="638">
        <v>0.18088208289733379</v>
      </c>
      <c r="D18" s="639">
        <v>0.19121693513476951</v>
      </c>
      <c r="E18" s="639">
        <v>0.18966538618673795</v>
      </c>
      <c r="F18" s="639">
        <v>0.1832162954964513</v>
      </c>
      <c r="G18" s="640">
        <v>0.18044861138248491</v>
      </c>
      <c r="H18" s="535"/>
      <c r="I18" s="535"/>
      <c r="J18" s="535"/>
      <c r="K18" s="535"/>
      <c r="L18" s="535"/>
    </row>
    <row r="19" spans="1:12" ht="15" customHeight="1">
      <c r="A19" s="9">
        <v>9</v>
      </c>
      <c r="B19" s="12" t="s">
        <v>328</v>
      </c>
      <c r="C19" s="638">
        <v>0.20119294281426228</v>
      </c>
      <c r="D19" s="639">
        <v>0.19121693513476951</v>
      </c>
      <c r="E19" s="639">
        <v>0.18966538618673795</v>
      </c>
      <c r="F19" s="639">
        <v>0.1832162954964513</v>
      </c>
      <c r="G19" s="640">
        <v>0.18044861138248491</v>
      </c>
      <c r="H19" s="535"/>
      <c r="I19" s="535"/>
      <c r="J19" s="535"/>
      <c r="K19" s="535"/>
      <c r="L19" s="535"/>
    </row>
    <row r="20" spans="1:12">
      <c r="A20" s="9">
        <v>10</v>
      </c>
      <c r="B20" s="12" t="s">
        <v>142</v>
      </c>
      <c r="C20" s="638">
        <v>0.24384797332068195</v>
      </c>
      <c r="D20" s="639">
        <v>0.24195467048162225</v>
      </c>
      <c r="E20" s="639">
        <v>0.24072343085689232</v>
      </c>
      <c r="F20" s="639">
        <v>0.23410533167214251</v>
      </c>
      <c r="G20" s="640">
        <v>0.23105623754045568</v>
      </c>
      <c r="H20" s="535"/>
      <c r="I20" s="535"/>
      <c r="J20" s="535"/>
      <c r="K20" s="535"/>
      <c r="L20" s="535"/>
    </row>
    <row r="21" spans="1:12">
      <c r="A21" s="9">
        <v>11</v>
      </c>
      <c r="B21" s="12" t="s">
        <v>330</v>
      </c>
      <c r="C21" s="638">
        <v>0.15058052619462561</v>
      </c>
      <c r="D21" s="639">
        <v>0.15109634489695375</v>
      </c>
      <c r="E21" s="639">
        <v>0.14990746256280255</v>
      </c>
      <c r="F21" s="639">
        <v>0.14871998500628514</v>
      </c>
      <c r="G21" s="640">
        <v>0.1483776593888495</v>
      </c>
      <c r="H21" s="535"/>
      <c r="I21" s="535"/>
      <c r="J21" s="535"/>
      <c r="K21" s="535"/>
      <c r="L21" s="535"/>
    </row>
    <row r="22" spans="1:12">
      <c r="A22" s="9">
        <v>12</v>
      </c>
      <c r="B22" s="12" t="s">
        <v>331</v>
      </c>
      <c r="C22" s="638">
        <v>0.18355999558952271</v>
      </c>
      <c r="D22" s="639">
        <v>0.18323027936043773</v>
      </c>
      <c r="E22" s="639">
        <v>0.18164825035598317</v>
      </c>
      <c r="F22" s="639">
        <v>0.18005179311913944</v>
      </c>
      <c r="G22" s="640">
        <v>0.17999428358472216</v>
      </c>
      <c r="H22" s="535"/>
      <c r="I22" s="535"/>
      <c r="J22" s="535"/>
      <c r="K22" s="535"/>
      <c r="L22" s="535"/>
    </row>
    <row r="23" spans="1:12">
      <c r="A23" s="9">
        <v>13</v>
      </c>
      <c r="B23" s="12" t="s">
        <v>329</v>
      </c>
      <c r="C23" s="638">
        <v>0.22721719216175579</v>
      </c>
      <c r="D23" s="639">
        <v>0.22577492997028509</v>
      </c>
      <c r="E23" s="639">
        <v>0.22367560271543141</v>
      </c>
      <c r="F23" s="639">
        <v>0.22154101432026355</v>
      </c>
      <c r="G23" s="640">
        <v>0.2218582627898178</v>
      </c>
      <c r="H23" s="535"/>
      <c r="I23" s="535"/>
      <c r="J23" s="535"/>
      <c r="K23" s="535"/>
      <c r="L23" s="535"/>
    </row>
    <row r="24" spans="1:12">
      <c r="A24" s="442"/>
      <c r="B24" s="108" t="s">
        <v>700</v>
      </c>
      <c r="C24" s="174"/>
      <c r="D24" s="174"/>
      <c r="E24" s="174"/>
      <c r="F24" s="174"/>
      <c r="G24" s="441"/>
      <c r="H24" s="535"/>
      <c r="I24" s="535"/>
      <c r="J24" s="535"/>
      <c r="K24" s="535"/>
      <c r="L24" s="535"/>
    </row>
    <row r="25" spans="1:12" ht="26.4">
      <c r="A25" s="9">
        <v>14</v>
      </c>
      <c r="B25" s="12" t="s">
        <v>701</v>
      </c>
      <c r="C25" s="638">
        <v>0</v>
      </c>
      <c r="D25" s="638">
        <v>0</v>
      </c>
      <c r="E25" s="638">
        <v>0</v>
      </c>
      <c r="F25" s="638">
        <v>0</v>
      </c>
      <c r="G25" s="640">
        <v>0</v>
      </c>
      <c r="H25" s="535"/>
      <c r="I25" s="535"/>
      <c r="J25" s="535"/>
      <c r="K25" s="535"/>
      <c r="L25" s="535"/>
    </row>
    <row r="26" spans="1:12">
      <c r="A26" s="11"/>
      <c r="B26" s="108" t="s">
        <v>88</v>
      </c>
      <c r="C26" s="253"/>
      <c r="D26" s="253"/>
      <c r="E26" s="253"/>
      <c r="F26" s="253"/>
      <c r="G26" s="254"/>
      <c r="H26" s="535"/>
      <c r="I26" s="535"/>
      <c r="J26" s="535"/>
      <c r="K26" s="535"/>
      <c r="L26" s="535"/>
    </row>
    <row r="27" spans="1:12" ht="15" customHeight="1">
      <c r="A27" s="255">
        <v>15</v>
      </c>
      <c r="B27" s="12" t="s">
        <v>87</v>
      </c>
      <c r="C27" s="620">
        <v>8.0453861928988429E-2</v>
      </c>
      <c r="D27" s="621">
        <v>7.9071207865905518E-2</v>
      </c>
      <c r="E27" s="621">
        <v>7.7714891580555723E-2</v>
      </c>
      <c r="F27" s="621">
        <v>7.5199785725246507E-2</v>
      </c>
      <c r="G27" s="622">
        <v>8.4455794896949363E-2</v>
      </c>
      <c r="H27" s="535"/>
      <c r="I27" s="535"/>
      <c r="J27" s="535"/>
      <c r="K27" s="535"/>
      <c r="L27" s="535"/>
    </row>
    <row r="28" spans="1:12">
      <c r="A28" s="255">
        <v>16</v>
      </c>
      <c r="B28" s="12" t="s">
        <v>86</v>
      </c>
      <c r="C28" s="620">
        <v>4.4894139021661908E-2</v>
      </c>
      <c r="D28" s="621">
        <v>4.3497628246350728E-2</v>
      </c>
      <c r="E28" s="621">
        <v>4.0742835438436487E-2</v>
      </c>
      <c r="F28" s="621">
        <v>3.9735782325567508E-2</v>
      </c>
      <c r="G28" s="622">
        <v>3.9135507161925723E-2</v>
      </c>
      <c r="H28" s="535"/>
      <c r="I28" s="535"/>
      <c r="J28" s="535"/>
      <c r="K28" s="535"/>
      <c r="L28" s="535"/>
    </row>
    <row r="29" spans="1:12">
      <c r="A29" s="255">
        <v>17</v>
      </c>
      <c r="B29" s="12" t="s">
        <v>85</v>
      </c>
      <c r="C29" s="620">
        <v>8.2414076705198444E-2</v>
      </c>
      <c r="D29" s="621">
        <v>7.6273617699690696E-2</v>
      </c>
      <c r="E29" s="621">
        <v>7.0816742995524276E-2</v>
      </c>
      <c r="F29" s="621">
        <v>7.9801559988163823E-2</v>
      </c>
      <c r="G29" s="622">
        <v>0.10430778313433346</v>
      </c>
      <c r="H29" s="535"/>
      <c r="I29" s="535"/>
      <c r="J29" s="535"/>
      <c r="K29" s="535"/>
      <c r="L29" s="535"/>
    </row>
    <row r="30" spans="1:12">
      <c r="A30" s="255">
        <v>18</v>
      </c>
      <c r="B30" s="12" t="s">
        <v>84</v>
      </c>
      <c r="C30" s="620">
        <v>3.5559722907326521E-2</v>
      </c>
      <c r="D30" s="621">
        <v>3.557357961955479E-2</v>
      </c>
      <c r="E30" s="621">
        <v>3.697205614211925E-2</v>
      </c>
      <c r="F30" s="621">
        <v>3.5464003399679006E-2</v>
      </c>
      <c r="G30" s="622">
        <v>4.5320287735023633E-2</v>
      </c>
      <c r="H30" s="535"/>
      <c r="I30" s="535"/>
      <c r="J30" s="535"/>
      <c r="K30" s="535"/>
      <c r="L30" s="535"/>
    </row>
    <row r="31" spans="1:12">
      <c r="A31" s="255">
        <v>19</v>
      </c>
      <c r="B31" s="12" t="s">
        <v>154</v>
      </c>
      <c r="C31" s="620">
        <v>3.6953558245524554E-3</v>
      </c>
      <c r="D31" s="621">
        <v>2.3576474591823059E-3</v>
      </c>
      <c r="E31" s="621">
        <v>1.2981038123240822E-3</v>
      </c>
      <c r="F31" s="621">
        <v>-5.2582282465460026E-3</v>
      </c>
      <c r="G31" s="622">
        <v>1.2417834068845579E-2</v>
      </c>
      <c r="H31" s="535"/>
      <c r="I31" s="535"/>
      <c r="J31" s="535"/>
      <c r="K31" s="535"/>
      <c r="L31" s="535"/>
    </row>
    <row r="32" spans="1:12">
      <c r="A32" s="255">
        <v>20</v>
      </c>
      <c r="B32" s="12" t="s">
        <v>155</v>
      </c>
      <c r="C32" s="620">
        <v>1.9001635892489918E-2</v>
      </c>
      <c r="D32" s="621">
        <v>1.2511417004540152E-2</v>
      </c>
      <c r="E32" s="621">
        <v>7.0220691024683183E-3</v>
      </c>
      <c r="F32" s="621">
        <v>-3.0128498143912601E-2</v>
      </c>
      <c r="G32" s="622">
        <v>6.2709020380734518E-2</v>
      </c>
      <c r="H32" s="535"/>
      <c r="I32" s="535"/>
      <c r="J32" s="535"/>
      <c r="K32" s="535"/>
      <c r="L32" s="535"/>
    </row>
    <row r="33" spans="1:12">
      <c r="A33" s="11"/>
      <c r="B33" s="108" t="s">
        <v>216</v>
      </c>
      <c r="C33" s="174"/>
      <c r="D33" s="174"/>
      <c r="E33" s="174"/>
      <c r="F33" s="174"/>
      <c r="G33" s="441"/>
      <c r="H33" s="535"/>
      <c r="I33" s="535"/>
      <c r="J33" s="535"/>
      <c r="K33" s="535"/>
      <c r="L33" s="535"/>
    </row>
    <row r="34" spans="1:12">
      <c r="A34" s="255">
        <v>21</v>
      </c>
      <c r="B34" s="12" t="s">
        <v>83</v>
      </c>
      <c r="C34" s="620">
        <v>6.6444590878289758E-2</v>
      </c>
      <c r="D34" s="621">
        <v>8.5311781667842146E-2</v>
      </c>
      <c r="E34" s="621">
        <v>8.2639224953553775E-2</v>
      </c>
      <c r="F34" s="621">
        <v>7.6862849782852474E-2</v>
      </c>
      <c r="G34" s="622">
        <v>5.6073456554977676E-2</v>
      </c>
      <c r="H34" s="535"/>
      <c r="I34" s="535"/>
      <c r="J34" s="535"/>
      <c r="K34" s="535"/>
      <c r="L34" s="535"/>
    </row>
    <row r="35" spans="1:12" ht="15" customHeight="1">
      <c r="A35" s="255">
        <v>22</v>
      </c>
      <c r="B35" s="12" t="s">
        <v>674</v>
      </c>
      <c r="C35" s="620">
        <v>2.1966799469466815E-2</v>
      </c>
      <c r="D35" s="621">
        <v>3.1389696136666659E-2</v>
      </c>
      <c r="E35" s="621">
        <v>3.1007340325463702E-2</v>
      </c>
      <c r="F35" s="621">
        <v>2.8485640639040008E-2</v>
      </c>
      <c r="G35" s="622">
        <v>2.065458141958804E-2</v>
      </c>
      <c r="H35" s="535"/>
      <c r="I35" s="535"/>
      <c r="J35" s="535"/>
      <c r="K35" s="535"/>
      <c r="L35" s="535"/>
    </row>
    <row r="36" spans="1:12">
      <c r="A36" s="255">
        <v>23</v>
      </c>
      <c r="B36" s="12" t="s">
        <v>82</v>
      </c>
      <c r="C36" s="620">
        <v>0.68748907476092769</v>
      </c>
      <c r="D36" s="621">
        <v>0.61543311276586699</v>
      </c>
      <c r="E36" s="621">
        <v>0.57598810859379612</v>
      </c>
      <c r="F36" s="621">
        <v>0.57157109710675547</v>
      </c>
      <c r="G36" s="622">
        <v>0.55120954788240673</v>
      </c>
      <c r="H36" s="535"/>
      <c r="I36" s="535"/>
      <c r="J36" s="535"/>
      <c r="K36" s="535"/>
      <c r="L36" s="535"/>
    </row>
    <row r="37" spans="1:12" ht="15" customHeight="1">
      <c r="A37" s="255">
        <v>24</v>
      </c>
      <c r="B37" s="12" t="s">
        <v>81</v>
      </c>
      <c r="C37" s="620">
        <v>0.5800471434388681</v>
      </c>
      <c r="D37" s="621">
        <v>0.50579468964069141</v>
      </c>
      <c r="E37" s="621">
        <v>0.5274035650158555</v>
      </c>
      <c r="F37" s="621">
        <v>0.56608425379687843</v>
      </c>
      <c r="G37" s="622">
        <v>0.55913895601917318</v>
      </c>
      <c r="H37" s="535"/>
      <c r="I37" s="535"/>
      <c r="J37" s="535"/>
      <c r="K37" s="535"/>
      <c r="L37" s="535"/>
    </row>
    <row r="38" spans="1:12">
      <c r="A38" s="255">
        <v>25</v>
      </c>
      <c r="B38" s="12" t="s">
        <v>80</v>
      </c>
      <c r="C38" s="620">
        <v>0.19168885518436873</v>
      </c>
      <c r="D38" s="621">
        <v>3.3526230881459673E-2</v>
      </c>
      <c r="E38" s="621">
        <v>3.757187605011203E-2</v>
      </c>
      <c r="F38" s="621">
        <v>9.6740630104112046E-2</v>
      </c>
      <c r="G38" s="622">
        <v>0.16073765380705596</v>
      </c>
      <c r="H38" s="535"/>
      <c r="I38" s="535"/>
      <c r="J38" s="535"/>
      <c r="K38" s="535"/>
      <c r="L38" s="535"/>
    </row>
    <row r="39" spans="1:12" ht="15" customHeight="1">
      <c r="A39" s="11"/>
      <c r="B39" s="108" t="s">
        <v>217</v>
      </c>
      <c r="C39" s="174"/>
      <c r="D39" s="174"/>
      <c r="E39" s="174"/>
      <c r="F39" s="174"/>
      <c r="G39" s="441"/>
      <c r="H39" s="535"/>
      <c r="I39" s="535"/>
      <c r="J39" s="535"/>
      <c r="K39" s="535"/>
      <c r="L39" s="535"/>
    </row>
    <row r="40" spans="1:12" ht="15" customHeight="1">
      <c r="A40" s="255">
        <v>26</v>
      </c>
      <c r="B40" s="12" t="s">
        <v>79</v>
      </c>
      <c r="C40" s="620">
        <v>0.19713748149528654</v>
      </c>
      <c r="D40" s="620">
        <v>0.17908550717180827</v>
      </c>
      <c r="E40" s="620">
        <v>0.18859754257044253</v>
      </c>
      <c r="F40" s="620">
        <v>0.12215729579927162</v>
      </c>
      <c r="G40" s="623">
        <v>0.16431717314614264</v>
      </c>
      <c r="H40" s="535"/>
      <c r="I40" s="535"/>
      <c r="J40" s="535"/>
      <c r="K40" s="535"/>
      <c r="L40" s="535"/>
    </row>
    <row r="41" spans="1:12" ht="15" customHeight="1">
      <c r="A41" s="255">
        <v>27</v>
      </c>
      <c r="B41" s="12" t="s">
        <v>78</v>
      </c>
      <c r="C41" s="620">
        <v>0.51746272179614039</v>
      </c>
      <c r="D41" s="620">
        <v>0.57424165895760348</v>
      </c>
      <c r="E41" s="620">
        <v>0.58094759546835351</v>
      </c>
      <c r="F41" s="620">
        <v>0.70682418956217785</v>
      </c>
      <c r="G41" s="623">
        <v>0.72156082962024748</v>
      </c>
      <c r="H41" s="535"/>
      <c r="I41" s="535"/>
      <c r="J41" s="535"/>
      <c r="K41" s="535"/>
      <c r="L41" s="535"/>
    </row>
    <row r="42" spans="1:12" ht="15" customHeight="1">
      <c r="A42" s="255">
        <v>28</v>
      </c>
      <c r="B42" s="12" t="s">
        <v>77</v>
      </c>
      <c r="C42" s="620">
        <v>0.1275991200792797</v>
      </c>
      <c r="D42" s="620">
        <v>0.14177343835001374</v>
      </c>
      <c r="E42" s="620">
        <v>0.17216562443320205</v>
      </c>
      <c r="F42" s="620">
        <v>0.23130777812520195</v>
      </c>
      <c r="G42" s="623">
        <v>0.14870800097122061</v>
      </c>
      <c r="H42" s="535"/>
      <c r="I42" s="535"/>
      <c r="J42" s="535"/>
      <c r="K42" s="535"/>
      <c r="L42" s="535"/>
    </row>
    <row r="43" spans="1:12" ht="15" customHeight="1">
      <c r="A43" s="256"/>
      <c r="B43" s="108" t="s">
        <v>258</v>
      </c>
      <c r="C43" s="174"/>
      <c r="D43" s="174"/>
      <c r="E43" s="174"/>
      <c r="F43" s="174"/>
      <c r="G43" s="441"/>
      <c r="H43" s="535"/>
      <c r="I43" s="535"/>
      <c r="J43" s="535"/>
      <c r="K43" s="535"/>
      <c r="L43" s="535"/>
    </row>
    <row r="44" spans="1:12">
      <c r="A44" s="255">
        <v>29</v>
      </c>
      <c r="B44" s="12" t="s">
        <v>241</v>
      </c>
      <c r="C44" s="624">
        <v>204256223.85032064</v>
      </c>
      <c r="D44" s="624">
        <v>184076298.56259567</v>
      </c>
      <c r="E44" s="624">
        <v>174812886.93034169</v>
      </c>
      <c r="F44" s="624">
        <v>224546181.81196672</v>
      </c>
      <c r="G44" s="625">
        <v>227775251.46565872</v>
      </c>
      <c r="H44" s="535"/>
      <c r="I44" s="535"/>
      <c r="J44" s="535"/>
      <c r="K44" s="535"/>
      <c r="L44" s="535"/>
    </row>
    <row r="45" spans="1:12" ht="15" customHeight="1">
      <c r="A45" s="255">
        <v>30</v>
      </c>
      <c r="B45" s="12" t="s">
        <v>253</v>
      </c>
      <c r="C45" s="624">
        <v>126810870.50166234</v>
      </c>
      <c r="D45" s="626">
        <v>139724964.97479993</v>
      </c>
      <c r="E45" s="626">
        <v>138848413.19987985</v>
      </c>
      <c r="F45" s="626">
        <v>184337199.69594449</v>
      </c>
      <c r="G45" s="627">
        <v>175405862.61822349</v>
      </c>
      <c r="H45" s="535"/>
      <c r="I45" s="535"/>
      <c r="J45" s="535"/>
      <c r="K45" s="535"/>
      <c r="L45" s="535"/>
    </row>
    <row r="46" spans="1:12" ht="15" customHeight="1">
      <c r="A46" s="292">
        <v>31</v>
      </c>
      <c r="B46" s="293" t="s">
        <v>242</v>
      </c>
      <c r="C46" s="620">
        <v>1.6107154145562235</v>
      </c>
      <c r="D46" s="620">
        <v>1.3174188205793769</v>
      </c>
      <c r="E46" s="620">
        <v>1.2590196956639974</v>
      </c>
      <c r="F46" s="620">
        <v>1.2181273350270323</v>
      </c>
      <c r="G46" s="623">
        <v>1.2985612229017618</v>
      </c>
      <c r="H46" s="535"/>
      <c r="I46" s="535"/>
      <c r="J46" s="535"/>
      <c r="K46" s="535"/>
      <c r="L46" s="535"/>
    </row>
    <row r="47" spans="1:12" ht="15" customHeight="1">
      <c r="A47" s="292"/>
      <c r="B47" s="108" t="s">
        <v>337</v>
      </c>
      <c r="C47" s="174"/>
      <c r="D47" s="174"/>
      <c r="E47" s="174"/>
      <c r="F47" s="174"/>
      <c r="G47" s="441"/>
      <c r="H47" s="535"/>
      <c r="I47" s="535"/>
      <c r="J47" s="535"/>
      <c r="K47" s="535"/>
      <c r="L47" s="535"/>
    </row>
    <row r="48" spans="1:12" ht="15" customHeight="1">
      <c r="A48" s="292">
        <v>32</v>
      </c>
      <c r="B48" s="293" t="s">
        <v>344</v>
      </c>
      <c r="C48" s="628">
        <v>428942260.72933996</v>
      </c>
      <c r="D48" s="629">
        <v>416365639.23609996</v>
      </c>
      <c r="E48" s="629">
        <v>391474580.00692999</v>
      </c>
      <c r="F48" s="629">
        <v>402681589.8039</v>
      </c>
      <c r="G48" s="630">
        <v>412250716.22105998</v>
      </c>
      <c r="H48" s="535"/>
      <c r="I48" s="535"/>
      <c r="J48" s="535"/>
      <c r="K48" s="535"/>
      <c r="L48" s="535"/>
    </row>
    <row r="49" spans="1:12" ht="15" customHeight="1">
      <c r="A49" s="292">
        <v>33</v>
      </c>
      <c r="B49" s="293" t="s">
        <v>359</v>
      </c>
      <c r="C49" s="628">
        <v>364704269.1064114</v>
      </c>
      <c r="D49" s="629">
        <v>309508978.70256317</v>
      </c>
      <c r="E49" s="629">
        <v>299001893.01293367</v>
      </c>
      <c r="F49" s="629">
        <v>306246443.26609409</v>
      </c>
      <c r="G49" s="630">
        <v>312469588.36279923</v>
      </c>
      <c r="H49" s="535"/>
      <c r="I49" s="535"/>
      <c r="J49" s="535"/>
      <c r="K49" s="535"/>
      <c r="L49" s="535"/>
    </row>
    <row r="50" spans="1:12" ht="14.4" thickBot="1">
      <c r="A50" s="257">
        <v>34</v>
      </c>
      <c r="B50" s="110" t="s">
        <v>377</v>
      </c>
      <c r="C50" s="631">
        <v>1.1761372077719923</v>
      </c>
      <c r="D50" s="632">
        <v>1.3452457533912954</v>
      </c>
      <c r="E50" s="632">
        <v>1.3092712426071373</v>
      </c>
      <c r="F50" s="632">
        <v>1.3148939315321762</v>
      </c>
      <c r="G50" s="633">
        <v>1.3193306855270914</v>
      </c>
      <c r="H50" s="535"/>
      <c r="I50" s="535"/>
      <c r="J50" s="535"/>
      <c r="K50" s="535"/>
      <c r="L50" s="535"/>
    </row>
    <row r="51" spans="1:12">
      <c r="A51" s="13"/>
    </row>
    <row r="52" spans="1:12">
      <c r="B52" s="166"/>
    </row>
    <row r="53" spans="1:12" ht="52.8">
      <c r="B53" s="166" t="s">
        <v>257</v>
      </c>
    </row>
    <row r="55" spans="1:12" ht="14.4">
      <c r="B55" s="165"/>
    </row>
  </sheetData>
  <mergeCells count="1">
    <mergeCell ref="D4:G4"/>
  </mergeCells>
  <pageMargins left="0.7" right="0.7" top="0.75" bottom="0.75" header="0.3" footer="0.3"/>
  <pageSetup paperSize="9" scale="51" orientation="portrait" horizontalDpi="300" verticalDpi="300" r:id="rId1"/>
  <headerFooter>
    <oddFooter>&amp;C_x000D_&amp;1#&amp;"Aptos"&amp;10&amp;K000000 C4 - EXTERNAL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zoomScale="80" zoomScaleNormal="80" workbookViewId="0">
      <selection activeCell="G8" sqref="G8"/>
    </sheetView>
  </sheetViews>
  <sheetFormatPr defaultColWidth="8.77734375" defaultRowHeight="13.8"/>
  <cols>
    <col min="1" max="1" width="11.44140625" style="444" customWidth="1"/>
    <col min="2" max="2" width="76.77734375" style="507" customWidth="1"/>
    <col min="3" max="3" width="22.77734375" style="444" customWidth="1"/>
    <col min="4" max="16384" width="8.77734375" style="444"/>
  </cols>
  <sheetData>
    <row r="1" spans="1:4">
      <c r="A1" s="126" t="s">
        <v>30</v>
      </c>
      <c r="B1" s="443" t="str">
        <f>'Info '!C2</f>
        <v xml:space="preserve">PASHA Bank Georgia JSC </v>
      </c>
    </row>
    <row r="2" spans="1:4">
      <c r="A2" s="126" t="s">
        <v>31</v>
      </c>
      <c r="B2" s="445">
        <f>'1. key ratios '!B2</f>
        <v>46022</v>
      </c>
    </row>
    <row r="3" spans="1:4">
      <c r="B3" s="444"/>
    </row>
    <row r="4" spans="1:4">
      <c r="A4" s="444" t="s">
        <v>295</v>
      </c>
      <c r="B4" s="444" t="s">
        <v>296</v>
      </c>
    </row>
    <row r="5" spans="1:4">
      <c r="A5" s="490" t="s">
        <v>297</v>
      </c>
      <c r="B5" s="491"/>
      <c r="C5" s="492"/>
    </row>
    <row r="6" spans="1:4" ht="27.6">
      <c r="A6" s="496">
        <v>1</v>
      </c>
      <c r="B6" s="497" t="s">
        <v>751</v>
      </c>
      <c r="C6" s="498">
        <v>661662361.53100002</v>
      </c>
      <c r="D6" s="517"/>
    </row>
    <row r="7" spans="1:4">
      <c r="A7" s="496">
        <v>2</v>
      </c>
      <c r="B7" s="497" t="s">
        <v>298</v>
      </c>
      <c r="C7" s="498">
        <v>-5360672.4499999993</v>
      </c>
      <c r="D7" s="517"/>
    </row>
    <row r="8" spans="1:4" ht="27.6">
      <c r="A8" s="499">
        <v>3</v>
      </c>
      <c r="B8" s="500" t="s">
        <v>299</v>
      </c>
      <c r="C8" s="498">
        <f>C6+C7</f>
        <v>656301689.08099997</v>
      </c>
      <c r="D8" s="517"/>
    </row>
    <row r="9" spans="1:4">
      <c r="A9" s="490" t="s">
        <v>300</v>
      </c>
      <c r="B9" s="491"/>
      <c r="C9" s="493"/>
      <c r="D9" s="517"/>
    </row>
    <row r="10" spans="1:4" ht="25.8" customHeight="1">
      <c r="A10" s="496">
        <v>4</v>
      </c>
      <c r="B10" s="501" t="s">
        <v>749</v>
      </c>
      <c r="C10" s="498">
        <f>'15. CCR '!F34</f>
        <v>323045.68</v>
      </c>
      <c r="D10" s="517"/>
    </row>
    <row r="11" spans="1:4" ht="25.8" customHeight="1">
      <c r="A11" s="496">
        <v>5</v>
      </c>
      <c r="B11" s="502" t="s">
        <v>750</v>
      </c>
      <c r="C11" s="498">
        <f>'15. CCR '!G34</f>
        <v>804414.85210148292</v>
      </c>
      <c r="D11" s="517"/>
    </row>
    <row r="12" spans="1:4" ht="25.8" customHeight="1">
      <c r="A12" s="496">
        <v>6</v>
      </c>
      <c r="B12" s="502" t="s">
        <v>743</v>
      </c>
      <c r="C12" s="498">
        <f>'15. CCR '!I34</f>
        <v>1578444.7449420758</v>
      </c>
      <c r="D12" s="517"/>
    </row>
    <row r="13" spans="1:4" ht="25.8" customHeight="1">
      <c r="A13" s="503">
        <v>7</v>
      </c>
      <c r="B13" s="501" t="s">
        <v>744</v>
      </c>
      <c r="C13" s="498">
        <f>'15. CCR '!E34</f>
        <v>30382573.969999999</v>
      </c>
      <c r="D13" s="517"/>
    </row>
    <row r="14" spans="1:4" ht="25.8" customHeight="1">
      <c r="A14" s="499">
        <v>8</v>
      </c>
      <c r="B14" s="494" t="s">
        <v>301</v>
      </c>
      <c r="C14" s="504">
        <f>C12</f>
        <v>1578444.7449420758</v>
      </c>
      <c r="D14" s="517"/>
    </row>
    <row r="15" spans="1:4">
      <c r="A15" s="490" t="s">
        <v>302</v>
      </c>
      <c r="B15" s="491"/>
      <c r="C15" s="493"/>
      <c r="D15" s="517"/>
    </row>
    <row r="16" spans="1:4" ht="27.6">
      <c r="A16" s="503">
        <v>9</v>
      </c>
      <c r="B16" s="501" t="s">
        <v>303</v>
      </c>
      <c r="C16" s="498"/>
      <c r="D16" s="517"/>
    </row>
    <row r="17" spans="1:4">
      <c r="A17" s="503">
        <v>10</v>
      </c>
      <c r="B17" s="501" t="s">
        <v>304</v>
      </c>
      <c r="C17" s="498"/>
      <c r="D17" s="517"/>
    </row>
    <row r="18" spans="1:4">
      <c r="A18" s="503">
        <v>11</v>
      </c>
      <c r="B18" s="501" t="s">
        <v>305</v>
      </c>
      <c r="C18" s="498"/>
      <c r="D18" s="517"/>
    </row>
    <row r="19" spans="1:4" ht="27.6">
      <c r="A19" s="503">
        <v>12</v>
      </c>
      <c r="B19" s="501" t="s">
        <v>306</v>
      </c>
      <c r="C19" s="498"/>
      <c r="D19" s="517"/>
    </row>
    <row r="20" spans="1:4">
      <c r="A20" s="503">
        <v>14</v>
      </c>
      <c r="B20" s="501" t="s">
        <v>307</v>
      </c>
      <c r="C20" s="498"/>
      <c r="D20" s="517"/>
    </row>
    <row r="21" spans="1:4">
      <c r="A21" s="503">
        <v>14</v>
      </c>
      <c r="B21" s="501" t="s">
        <v>308</v>
      </c>
      <c r="C21" s="498"/>
      <c r="D21" s="517"/>
    </row>
    <row r="22" spans="1:4">
      <c r="A22" s="499">
        <v>15</v>
      </c>
      <c r="B22" s="494" t="s">
        <v>309</v>
      </c>
      <c r="C22" s="504">
        <f>SUM(C16:C21)</f>
        <v>0</v>
      </c>
      <c r="D22" s="517"/>
    </row>
    <row r="23" spans="1:4">
      <c r="A23" s="490" t="s">
        <v>310</v>
      </c>
      <c r="B23" s="491"/>
      <c r="C23" s="493"/>
      <c r="D23" s="517"/>
    </row>
    <row r="24" spans="1:4">
      <c r="A24" s="508">
        <v>16</v>
      </c>
      <c r="B24" s="502" t="s">
        <v>311</v>
      </c>
      <c r="C24" s="498">
        <v>84766625.883699998</v>
      </c>
      <c r="D24" s="517"/>
    </row>
    <row r="25" spans="1:4">
      <c r="A25" s="508">
        <v>17</v>
      </c>
      <c r="B25" s="502" t="s">
        <v>312</v>
      </c>
      <c r="C25" s="498">
        <v>-47567011.659900002</v>
      </c>
      <c r="D25" s="517"/>
    </row>
    <row r="26" spans="1:4">
      <c r="A26" s="509">
        <v>18</v>
      </c>
      <c r="B26" s="494" t="s">
        <v>313</v>
      </c>
      <c r="C26" s="504">
        <f>C24+C25</f>
        <v>37199614.223799996</v>
      </c>
      <c r="D26" s="517"/>
    </row>
    <row r="27" spans="1:4">
      <c r="A27" s="490" t="s">
        <v>314</v>
      </c>
      <c r="B27" s="491"/>
      <c r="C27" s="493"/>
      <c r="D27" s="517"/>
    </row>
    <row r="28" spans="1:4" ht="27.6">
      <c r="A28" s="508">
        <v>19</v>
      </c>
      <c r="B28" s="501" t="s">
        <v>315</v>
      </c>
      <c r="C28" s="505"/>
      <c r="D28" s="517"/>
    </row>
    <row r="29" spans="1:4">
      <c r="A29" s="508">
        <v>20</v>
      </c>
      <c r="B29" s="502" t="s">
        <v>316</v>
      </c>
      <c r="C29" s="505"/>
      <c r="D29" s="517"/>
    </row>
    <row r="30" spans="1:4">
      <c r="A30" s="490" t="s">
        <v>748</v>
      </c>
      <c r="B30" s="491"/>
      <c r="C30" s="493"/>
      <c r="D30" s="517"/>
    </row>
    <row r="31" spans="1:4">
      <c r="A31" s="509">
        <v>21</v>
      </c>
      <c r="B31" s="495" t="s">
        <v>317</v>
      </c>
      <c r="C31" s="504">
        <v>133484033.27</v>
      </c>
      <c r="D31" s="517"/>
    </row>
    <row r="32" spans="1:4">
      <c r="A32" s="509">
        <v>22</v>
      </c>
      <c r="B32" s="494" t="s">
        <v>318</v>
      </c>
      <c r="C32" s="504">
        <f>C8+C14+C22+C26</f>
        <v>695079748.04974198</v>
      </c>
      <c r="D32" s="517"/>
    </row>
    <row r="33" spans="1:4">
      <c r="A33" s="490" t="s">
        <v>319</v>
      </c>
      <c r="B33" s="491"/>
      <c r="C33" s="493"/>
      <c r="D33" s="517"/>
    </row>
    <row r="34" spans="1:4">
      <c r="A34" s="499">
        <v>23</v>
      </c>
      <c r="B34" s="494" t="s">
        <v>319</v>
      </c>
      <c r="C34" s="724">
        <f>IFERROR(C31/C32,0)</f>
        <v>0.19204132136568519</v>
      </c>
      <c r="D34" s="517"/>
    </row>
    <row r="35" spans="1:4">
      <c r="A35" s="490" t="s">
        <v>320</v>
      </c>
      <c r="B35" s="491"/>
      <c r="C35" s="493"/>
      <c r="D35" s="517"/>
    </row>
    <row r="36" spans="1:4">
      <c r="A36" s="506" t="s">
        <v>321</v>
      </c>
      <c r="B36" s="501" t="s">
        <v>322</v>
      </c>
      <c r="C36" s="505"/>
      <c r="D36" s="517"/>
    </row>
    <row r="37" spans="1:4" ht="27.6">
      <c r="A37" s="506" t="s">
        <v>323</v>
      </c>
      <c r="B37" s="497" t="s">
        <v>324</v>
      </c>
      <c r="C37" s="505"/>
      <c r="D37" s="517"/>
    </row>
  </sheetData>
  <pageMargins left="0.7" right="0.7" top="0.75" bottom="0.75" header="0.3" footer="0.3"/>
  <pageSetup paperSize="9" scale="78" orientation="portrait" horizontalDpi="300" verticalDpi="300" r:id="rId1"/>
  <headerFooter>
    <oddFooter>&amp;C_x000D_&amp;1#&amp;"Aptos"&amp;10&amp;K000000 C4 - EXTERNAL CONFIDENTIAL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5"/>
  <sheetViews>
    <sheetView zoomScale="80" zoomScaleNormal="80" workbookViewId="0">
      <selection activeCell="F17" sqref="F17"/>
    </sheetView>
  </sheetViews>
  <sheetFormatPr defaultColWidth="8.88671875" defaultRowHeight="14.4"/>
  <cols>
    <col min="1" max="1" width="11.44140625" customWidth="1"/>
    <col min="2" max="2" width="76.77734375" style="219" customWidth="1"/>
    <col min="3" max="6" width="25.33203125" customWidth="1"/>
  </cols>
  <sheetData>
    <row r="1" spans="1:6">
      <c r="A1" s="3" t="s">
        <v>30</v>
      </c>
      <c r="B1" s="4" t="str">
        <f>'Info '!C2</f>
        <v xml:space="preserve">PASHA Bank Georgia JSC </v>
      </c>
    </row>
    <row r="2" spans="1:6">
      <c r="A2" s="3" t="s">
        <v>31</v>
      </c>
      <c r="B2" s="252">
        <f>'1. key ratios '!B2</f>
        <v>46022</v>
      </c>
    </row>
    <row r="3" spans="1:6">
      <c r="A3" s="5"/>
      <c r="B3"/>
    </row>
    <row r="4" spans="1:6">
      <c r="A4" s="486" t="s">
        <v>738</v>
      </c>
    </row>
    <row r="5" spans="1:6" ht="43.2">
      <c r="B5" s="481"/>
      <c r="C5" s="487" t="s">
        <v>739</v>
      </c>
      <c r="D5" s="487" t="s">
        <v>741</v>
      </c>
      <c r="E5" s="487" t="s">
        <v>740</v>
      </c>
      <c r="F5" s="487" t="s">
        <v>742</v>
      </c>
    </row>
    <row r="6" spans="1:6">
      <c r="B6" s="488" t="s">
        <v>716</v>
      </c>
      <c r="C6" s="475">
        <f>IF(C7&gt;0,C7,IF(C8&gt;0,C8,IF(C9&gt;0,C9,0)))</f>
        <v>1576132.3349638728</v>
      </c>
      <c r="D6" s="475">
        <f>IF(D7&gt;0,D7,IF(D8&gt;0,D8,IF(D9&gt;0,D9,0)))</f>
        <v>3113.6593431479564</v>
      </c>
      <c r="E6" s="475">
        <f>IF(E7&gt;0,E7,IF(E8&gt;0,E8,IF(E9&gt;0,E9,0)))</f>
        <v>0</v>
      </c>
      <c r="F6" s="475">
        <f>IF(F7&gt;0,F7,IF(F8&gt;0,F8,IF(F9&gt;0,F9,0)))</f>
        <v>38920.741789349457</v>
      </c>
    </row>
    <row r="7" spans="1:6">
      <c r="B7" s="476" t="s">
        <v>729</v>
      </c>
      <c r="C7" s="489">
        <v>1576132.3349638728</v>
      </c>
      <c r="D7" s="489">
        <v>3113.6593431479564</v>
      </c>
      <c r="E7" s="489">
        <v>0</v>
      </c>
      <c r="F7" s="489">
        <v>38920.741789349457</v>
      </c>
    </row>
    <row r="8" spans="1:6">
      <c r="B8" s="476" t="s">
        <v>730</v>
      </c>
      <c r="C8" s="489"/>
      <c r="D8" s="489"/>
      <c r="E8" s="489"/>
      <c r="F8" s="489"/>
    </row>
    <row r="9" spans="1:6">
      <c r="B9" s="476" t="s">
        <v>737</v>
      </c>
      <c r="C9" s="489"/>
      <c r="D9" s="489"/>
      <c r="E9" s="489"/>
      <c r="F9" s="489"/>
    </row>
    <row r="11" spans="1:6">
      <c r="C11" s="569"/>
      <c r="D11" s="569"/>
      <c r="E11" s="569"/>
      <c r="F11" s="569"/>
    </row>
    <row r="12" spans="1:6">
      <c r="C12" s="569"/>
      <c r="D12" s="569"/>
      <c r="E12" s="569"/>
      <c r="F12" s="569"/>
    </row>
    <row r="13" spans="1:6">
      <c r="C13" s="569"/>
      <c r="D13" s="569"/>
      <c r="E13" s="569"/>
      <c r="F13" s="569"/>
    </row>
    <row r="14" spans="1:6">
      <c r="C14" s="569"/>
      <c r="D14" s="569"/>
      <c r="E14" s="569"/>
      <c r="F14" s="569"/>
    </row>
    <row r="15" spans="1:6">
      <c r="C15" s="569"/>
      <c r="D15" s="569"/>
      <c r="E15" s="569"/>
      <c r="F15" s="569"/>
    </row>
  </sheetData>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2"/>
  <sheetViews>
    <sheetView zoomScale="80" zoomScaleNormal="80" workbookViewId="0">
      <pane xSplit="2" ySplit="6" topLeftCell="C29" activePane="bottomRight" state="frozen"/>
      <selection activeCell="B42" sqref="B42"/>
      <selection pane="topRight" activeCell="B42" sqref="B42"/>
      <selection pane="bottomLeft" activeCell="B42" sqref="B42"/>
      <selection pane="bottomRight" activeCell="K9" sqref="K9"/>
    </sheetView>
  </sheetViews>
  <sheetFormatPr defaultRowHeight="14.4"/>
  <cols>
    <col min="1" max="1" width="8.77734375" style="128"/>
    <col min="2" max="2" width="82.6640625" style="135" customWidth="1"/>
    <col min="3" max="7" width="17.5546875" style="128" customWidth="1"/>
    <col min="8" max="8" width="12.5546875" customWidth="1"/>
    <col min="9" max="9" width="11.21875" bestFit="1" customWidth="1"/>
  </cols>
  <sheetData>
    <row r="1" spans="1:12">
      <c r="A1" s="128" t="s">
        <v>30</v>
      </c>
      <c r="B1" s="4" t="str">
        <f>'Info '!C2</f>
        <v xml:space="preserve">PASHA Bank Georgia JSC </v>
      </c>
    </row>
    <row r="2" spans="1:12">
      <c r="A2" s="128" t="s">
        <v>31</v>
      </c>
      <c r="B2" s="252">
        <f>'1. key ratios '!B2</f>
        <v>46022</v>
      </c>
    </row>
    <row r="4" spans="1:12" ht="15" thickBot="1">
      <c r="A4" s="128" t="s">
        <v>376</v>
      </c>
      <c r="B4" s="258" t="s">
        <v>337</v>
      </c>
    </row>
    <row r="5" spans="1:12">
      <c r="A5" s="259"/>
      <c r="B5" s="260"/>
      <c r="C5" s="794" t="s">
        <v>338</v>
      </c>
      <c r="D5" s="794"/>
      <c r="E5" s="794"/>
      <c r="F5" s="794"/>
      <c r="G5" s="795" t="s">
        <v>339</v>
      </c>
    </row>
    <row r="6" spans="1:12">
      <c r="A6" s="261"/>
      <c r="B6" s="262"/>
      <c r="C6" s="263" t="s">
        <v>340</v>
      </c>
      <c r="D6" s="263" t="s">
        <v>341</v>
      </c>
      <c r="E6" s="263" t="s">
        <v>342</v>
      </c>
      <c r="F6" s="263" t="s">
        <v>343</v>
      </c>
      <c r="G6" s="796"/>
    </row>
    <row r="7" spans="1:12">
      <c r="A7" s="264"/>
      <c r="B7" s="265" t="s">
        <v>344</v>
      </c>
      <c r="C7" s="266"/>
      <c r="D7" s="266"/>
      <c r="E7" s="266"/>
      <c r="F7" s="266"/>
      <c r="G7" s="267"/>
    </row>
    <row r="8" spans="1:12">
      <c r="A8" s="268">
        <v>1</v>
      </c>
      <c r="B8" s="269" t="s">
        <v>345</v>
      </c>
      <c r="C8" s="270">
        <f>SUM(C9:C10)</f>
        <v>161784059.22839999</v>
      </c>
      <c r="D8" s="270">
        <f>SUM(D9:D10)</f>
        <v>0</v>
      </c>
      <c r="E8" s="270">
        <f>SUM(E9:E10)</f>
        <v>0</v>
      </c>
      <c r="F8" s="270">
        <f>SUM(F9:F10)</f>
        <v>131501212.45940001</v>
      </c>
      <c r="G8" s="271">
        <f>SUM(G9:G10)</f>
        <v>293285271.68779999</v>
      </c>
      <c r="H8" s="529"/>
      <c r="I8" s="529"/>
      <c r="J8" s="529"/>
      <c r="K8" s="529"/>
      <c r="L8" s="529"/>
    </row>
    <row r="9" spans="1:12">
      <c r="A9" s="268">
        <v>2</v>
      </c>
      <c r="B9" s="272" t="s">
        <v>346</v>
      </c>
      <c r="C9" s="270">
        <v>161784059.22839999</v>
      </c>
      <c r="D9" s="270"/>
      <c r="E9" s="270"/>
      <c r="F9" s="270">
        <v>131501212.45940001</v>
      </c>
      <c r="G9" s="271">
        <v>161784059.22839999</v>
      </c>
      <c r="H9" s="529"/>
      <c r="I9" s="529"/>
      <c r="J9" s="529"/>
      <c r="K9" s="529"/>
      <c r="L9" s="529"/>
    </row>
    <row r="10" spans="1:12" ht="27.6">
      <c r="A10" s="268">
        <v>3</v>
      </c>
      <c r="B10" s="272" t="s">
        <v>347</v>
      </c>
      <c r="C10" s="273"/>
      <c r="D10" s="273"/>
      <c r="E10" s="273"/>
      <c r="F10" s="270"/>
      <c r="G10" s="271">
        <v>131501212.45940001</v>
      </c>
      <c r="H10" s="529"/>
      <c r="I10" s="529"/>
      <c r="J10" s="529"/>
      <c r="K10" s="529"/>
      <c r="L10" s="529"/>
    </row>
    <row r="11" spans="1:12" ht="14.55" customHeight="1">
      <c r="A11" s="268">
        <v>4</v>
      </c>
      <c r="B11" s="269" t="s">
        <v>348</v>
      </c>
      <c r="C11" s="270">
        <f t="shared" ref="C11:F11" si="0">SUM(C12:C13)</f>
        <v>10536361.198299859</v>
      </c>
      <c r="D11" s="270">
        <f t="shared" si="0"/>
        <v>49049086.906200141</v>
      </c>
      <c r="E11" s="270">
        <f t="shared" si="0"/>
        <v>16288297.508099999</v>
      </c>
      <c r="F11" s="270">
        <f t="shared" si="0"/>
        <v>597181.19770000037</v>
      </c>
      <c r="G11" s="271">
        <f>SUM(G12:G13)</f>
        <v>48344831.507290006</v>
      </c>
      <c r="H11" s="529"/>
      <c r="I11" s="529"/>
      <c r="J11" s="529"/>
      <c r="K11" s="529"/>
      <c r="L11" s="529"/>
    </row>
    <row r="12" spans="1:12">
      <c r="A12" s="268">
        <v>5</v>
      </c>
      <c r="B12" s="272" t="s">
        <v>349</v>
      </c>
      <c r="C12" s="270">
        <v>3856217.5069998596</v>
      </c>
      <c r="D12" s="274">
        <v>11444699.33530014</v>
      </c>
      <c r="E12" s="270">
        <v>6963344.1091999998</v>
      </c>
      <c r="F12" s="270">
        <v>201001.49770000018</v>
      </c>
      <c r="G12" s="271">
        <v>21341999.32674</v>
      </c>
      <c r="H12" s="529"/>
      <c r="I12" s="529"/>
      <c r="J12" s="529"/>
      <c r="K12" s="529"/>
      <c r="L12" s="529"/>
    </row>
    <row r="13" spans="1:12">
      <c r="A13" s="268">
        <v>6</v>
      </c>
      <c r="B13" s="272" t="s">
        <v>350</v>
      </c>
      <c r="C13" s="270">
        <v>6680143.6913000001</v>
      </c>
      <c r="D13" s="274">
        <v>37604387.570900001</v>
      </c>
      <c r="E13" s="270">
        <v>9324953.3989000004</v>
      </c>
      <c r="F13" s="270">
        <v>396179.70000000019</v>
      </c>
      <c r="G13" s="271">
        <v>27002832.180550002</v>
      </c>
      <c r="H13" s="529"/>
      <c r="I13" s="529"/>
      <c r="J13" s="529"/>
      <c r="K13" s="529"/>
      <c r="L13" s="529"/>
    </row>
    <row r="14" spans="1:12">
      <c r="A14" s="268">
        <v>7</v>
      </c>
      <c r="B14" s="269" t="s">
        <v>351</v>
      </c>
      <c r="C14" s="270">
        <f t="shared" ref="C14:F14" si="1">SUM(C15:C16)</f>
        <v>87832755.198799998</v>
      </c>
      <c r="D14" s="270">
        <f t="shared" si="1"/>
        <v>114893208.3721</v>
      </c>
      <c r="E14" s="270">
        <f t="shared" si="1"/>
        <v>62995063.18</v>
      </c>
      <c r="F14" s="270">
        <f t="shared" si="1"/>
        <v>-1.1175870895385742E-8</v>
      </c>
      <c r="G14" s="271">
        <f>SUM(G15:G16)</f>
        <v>87312157.534249991</v>
      </c>
      <c r="H14" s="529"/>
      <c r="I14" s="529"/>
      <c r="J14" s="529"/>
      <c r="K14" s="529"/>
      <c r="L14" s="529"/>
    </row>
    <row r="15" spans="1:12" ht="41.4">
      <c r="A15" s="268">
        <v>8</v>
      </c>
      <c r="B15" s="272" t="s">
        <v>352</v>
      </c>
      <c r="C15" s="270">
        <v>64629422.076399997</v>
      </c>
      <c r="D15" s="274">
        <v>46999829.812099986</v>
      </c>
      <c r="E15" s="270">
        <v>32462191.739999998</v>
      </c>
      <c r="F15" s="270">
        <v>-1.1175870895385742E-8</v>
      </c>
      <c r="G15" s="271">
        <v>72045721.814249992</v>
      </c>
      <c r="H15" s="529"/>
      <c r="I15" s="529"/>
      <c r="J15" s="529"/>
      <c r="K15" s="529"/>
      <c r="L15" s="529"/>
    </row>
    <row r="16" spans="1:12" ht="27.6">
      <c r="A16" s="268">
        <v>9</v>
      </c>
      <c r="B16" s="272" t="s">
        <v>353</v>
      </c>
      <c r="C16" s="270">
        <v>23203333.122399997</v>
      </c>
      <c r="D16" s="274">
        <v>67893378.560000002</v>
      </c>
      <c r="E16" s="270">
        <v>30532871.440000001</v>
      </c>
      <c r="F16" s="270">
        <v>0</v>
      </c>
      <c r="G16" s="271">
        <v>15266435.720000001</v>
      </c>
      <c r="H16" s="529"/>
      <c r="I16" s="529"/>
      <c r="J16" s="529"/>
      <c r="K16" s="529"/>
      <c r="L16" s="529"/>
    </row>
    <row r="17" spans="1:12">
      <c r="A17" s="268">
        <v>10</v>
      </c>
      <c r="B17" s="269" t="s">
        <v>354</v>
      </c>
      <c r="C17" s="270"/>
      <c r="D17" s="274"/>
      <c r="E17" s="270"/>
      <c r="F17" s="270"/>
      <c r="G17" s="271"/>
      <c r="H17" s="529"/>
      <c r="I17" s="529"/>
      <c r="J17" s="529"/>
      <c r="K17" s="529"/>
      <c r="L17" s="529"/>
    </row>
    <row r="18" spans="1:12">
      <c r="A18" s="268">
        <v>11</v>
      </c>
      <c r="B18" s="269" t="s">
        <v>355</v>
      </c>
      <c r="C18" s="270">
        <f>SUM(C19:C20)</f>
        <v>0</v>
      </c>
      <c r="D18" s="284">
        <f t="shared" ref="D18:G18" si="2">SUM(D19:D20)</f>
        <v>19487255.942699999</v>
      </c>
      <c r="E18" s="270">
        <f t="shared" si="2"/>
        <v>0</v>
      </c>
      <c r="F18" s="270">
        <f t="shared" si="2"/>
        <v>0</v>
      </c>
      <c r="G18" s="271">
        <f t="shared" si="2"/>
        <v>0</v>
      </c>
      <c r="H18" s="529"/>
      <c r="I18" s="529"/>
      <c r="J18" s="529"/>
      <c r="K18" s="529"/>
      <c r="L18" s="529"/>
    </row>
    <row r="19" spans="1:12">
      <c r="A19" s="268">
        <v>12</v>
      </c>
      <c r="B19" s="272" t="s">
        <v>356</v>
      </c>
      <c r="C19" s="273"/>
      <c r="D19" s="274">
        <v>46220.3727</v>
      </c>
      <c r="E19" s="270"/>
      <c r="F19" s="270"/>
      <c r="G19" s="271"/>
      <c r="H19" s="529"/>
      <c r="I19" s="529"/>
      <c r="J19" s="529"/>
      <c r="K19" s="529"/>
      <c r="L19" s="529"/>
    </row>
    <row r="20" spans="1:12">
      <c r="A20" s="268">
        <v>13</v>
      </c>
      <c r="B20" s="272" t="s">
        <v>357</v>
      </c>
      <c r="C20" s="270"/>
      <c r="D20" s="270">
        <v>19441035.57</v>
      </c>
      <c r="E20" s="270"/>
      <c r="F20" s="270"/>
      <c r="G20" s="271"/>
      <c r="H20" s="529"/>
      <c r="I20" s="529"/>
      <c r="J20" s="529"/>
      <c r="K20" s="529"/>
      <c r="L20" s="529"/>
    </row>
    <row r="21" spans="1:12">
      <c r="A21" s="275">
        <v>14</v>
      </c>
      <c r="B21" s="276" t="s">
        <v>358</v>
      </c>
      <c r="C21" s="273"/>
      <c r="D21" s="273"/>
      <c r="E21" s="273"/>
      <c r="F21" s="273"/>
      <c r="G21" s="277">
        <f>SUM(G8,G11,G14,G17,G18)</f>
        <v>428942260.72933996</v>
      </c>
      <c r="H21" s="529"/>
      <c r="I21" s="529"/>
      <c r="J21" s="529"/>
      <c r="K21" s="529"/>
      <c r="L21" s="529"/>
    </row>
    <row r="22" spans="1:12">
      <c r="A22" s="278"/>
      <c r="B22" s="279" t="s">
        <v>359</v>
      </c>
      <c r="C22" s="280"/>
      <c r="D22" s="281"/>
      <c r="E22" s="280"/>
      <c r="F22" s="280"/>
      <c r="G22" s="282"/>
      <c r="H22" s="529"/>
      <c r="I22" s="529"/>
      <c r="J22" s="529"/>
      <c r="K22" s="529"/>
      <c r="L22" s="529"/>
    </row>
    <row r="23" spans="1:12">
      <c r="A23" s="268">
        <v>15</v>
      </c>
      <c r="B23" s="269" t="s">
        <v>360</v>
      </c>
      <c r="C23" s="283">
        <v>99527447.225500017</v>
      </c>
      <c r="D23" s="284">
        <v>85330600</v>
      </c>
      <c r="E23" s="283">
        <v>0</v>
      </c>
      <c r="F23" s="283">
        <v>0</v>
      </c>
      <c r="G23" s="271">
        <v>6735712.6787400013</v>
      </c>
      <c r="H23" s="529"/>
      <c r="I23" s="529"/>
      <c r="J23" s="529"/>
      <c r="K23" s="529"/>
      <c r="L23" s="529"/>
    </row>
    <row r="24" spans="1:12">
      <c r="A24" s="268">
        <v>16</v>
      </c>
      <c r="B24" s="269" t="s">
        <v>361</v>
      </c>
      <c r="C24" s="270">
        <f>SUM(C25:C27,C29,C31)</f>
        <v>2844724.7368000001</v>
      </c>
      <c r="D24" s="274">
        <f t="shared" ref="D24:G24" si="3">SUM(D25:D27,D29,D31)</f>
        <v>75398348.548485219</v>
      </c>
      <c r="E24" s="270">
        <f t="shared" si="3"/>
        <v>74866758.270627007</v>
      </c>
      <c r="F24" s="270">
        <f t="shared" si="3"/>
        <v>280812132.47231895</v>
      </c>
      <c r="G24" s="271">
        <f t="shared" si="3"/>
        <v>316818819.41621667</v>
      </c>
      <c r="H24" s="529"/>
      <c r="I24" s="529"/>
      <c r="J24" s="529"/>
      <c r="K24" s="529"/>
      <c r="L24" s="529"/>
    </row>
    <row r="25" spans="1:12">
      <c r="A25" s="268">
        <v>17</v>
      </c>
      <c r="B25" s="272" t="s">
        <v>362</v>
      </c>
      <c r="C25" s="270"/>
      <c r="D25" s="274"/>
      <c r="E25" s="270"/>
      <c r="F25" s="270"/>
      <c r="G25" s="271"/>
      <c r="H25" s="529"/>
      <c r="I25" s="529"/>
      <c r="J25" s="529"/>
      <c r="K25" s="529"/>
      <c r="L25" s="529"/>
    </row>
    <row r="26" spans="1:12" ht="27.6">
      <c r="A26" s="268">
        <v>18</v>
      </c>
      <c r="B26" s="272" t="s">
        <v>363</v>
      </c>
      <c r="C26" s="270">
        <v>2844724.7368000001</v>
      </c>
      <c r="D26" s="274">
        <v>11677998.100610221</v>
      </c>
      <c r="E26" s="270">
        <v>11933705.156517001</v>
      </c>
      <c r="F26" s="270">
        <v>44376960.199220009</v>
      </c>
      <c r="G26" s="271">
        <v>52522221.203090042</v>
      </c>
      <c r="H26" s="529"/>
      <c r="I26" s="529"/>
      <c r="J26" s="529"/>
      <c r="K26" s="529"/>
      <c r="L26" s="529"/>
    </row>
    <row r="27" spans="1:12">
      <c r="A27" s="268">
        <v>19</v>
      </c>
      <c r="B27" s="272" t="s">
        <v>364</v>
      </c>
      <c r="C27" s="270">
        <v>0</v>
      </c>
      <c r="D27" s="274">
        <v>61628324.49526</v>
      </c>
      <c r="E27" s="270">
        <v>62219684.880000003</v>
      </c>
      <c r="F27" s="270">
        <v>215976920.04119897</v>
      </c>
      <c r="G27" s="271">
        <v>245504386.72264913</v>
      </c>
      <c r="H27" s="529"/>
      <c r="I27" s="529"/>
      <c r="J27" s="529"/>
      <c r="K27" s="529"/>
      <c r="L27" s="529"/>
    </row>
    <row r="28" spans="1:12">
      <c r="A28" s="268">
        <v>20</v>
      </c>
      <c r="B28" s="285" t="s">
        <v>365</v>
      </c>
      <c r="C28" s="270"/>
      <c r="D28" s="274"/>
      <c r="E28" s="270"/>
      <c r="F28" s="270"/>
      <c r="G28" s="271"/>
      <c r="H28" s="529"/>
      <c r="I28" s="529"/>
      <c r="J28" s="529"/>
      <c r="K28" s="529"/>
      <c r="L28" s="529"/>
    </row>
    <row r="29" spans="1:12">
      <c r="A29" s="268">
        <v>21</v>
      </c>
      <c r="B29" s="272" t="s">
        <v>366</v>
      </c>
      <c r="C29" s="270"/>
      <c r="D29" s="274"/>
      <c r="E29" s="270"/>
      <c r="F29" s="270"/>
      <c r="G29" s="271"/>
      <c r="H29" s="529"/>
      <c r="I29" s="529"/>
      <c r="J29" s="529"/>
      <c r="K29" s="529"/>
      <c r="L29" s="529"/>
    </row>
    <row r="30" spans="1:12">
      <c r="A30" s="268">
        <v>22</v>
      </c>
      <c r="B30" s="285" t="s">
        <v>365</v>
      </c>
      <c r="C30" s="270"/>
      <c r="D30" s="274"/>
      <c r="E30" s="270"/>
      <c r="F30" s="270"/>
      <c r="G30" s="271"/>
      <c r="H30" s="529"/>
      <c r="I30" s="529"/>
      <c r="J30" s="529"/>
      <c r="K30" s="529"/>
      <c r="L30" s="529"/>
    </row>
    <row r="31" spans="1:12">
      <c r="A31" s="268">
        <v>23</v>
      </c>
      <c r="B31" s="272" t="s">
        <v>367</v>
      </c>
      <c r="C31" s="270">
        <v>0</v>
      </c>
      <c r="D31" s="274">
        <v>2092025.9526150001</v>
      </c>
      <c r="E31" s="270">
        <v>713368.23410999996</v>
      </c>
      <c r="F31" s="270">
        <v>20458252.231899999</v>
      </c>
      <c r="G31" s="271">
        <v>18792211.490477499</v>
      </c>
      <c r="H31" s="529"/>
      <c r="I31" s="529"/>
      <c r="J31" s="529"/>
      <c r="K31" s="529"/>
      <c r="L31" s="529"/>
    </row>
    <row r="32" spans="1:12">
      <c r="A32" s="268">
        <v>24</v>
      </c>
      <c r="B32" s="269" t="s">
        <v>368</v>
      </c>
      <c r="C32" s="270"/>
      <c r="D32" s="274"/>
      <c r="E32" s="270"/>
      <c r="F32" s="270"/>
      <c r="G32" s="271"/>
      <c r="H32" s="529"/>
      <c r="I32" s="529"/>
      <c r="J32" s="529"/>
      <c r="K32" s="529"/>
      <c r="L32" s="529"/>
    </row>
    <row r="33" spans="1:12">
      <c r="A33" s="268">
        <v>25</v>
      </c>
      <c r="B33" s="269" t="s">
        <v>369</v>
      </c>
      <c r="C33" s="283">
        <f>SUM(C34:C35)</f>
        <v>4935218.43</v>
      </c>
      <c r="D33" s="270">
        <f>SUM(D34:D35)</f>
        <v>17374633.585000001</v>
      </c>
      <c r="E33" s="270">
        <f>SUM(E34:E35)</f>
        <v>576337.43960000016</v>
      </c>
      <c r="F33" s="270">
        <f>SUM(F34:F35)</f>
        <v>17282308.361319773</v>
      </c>
      <c r="G33" s="271">
        <f>SUM(G34:G35)</f>
        <v>32016992.044519775</v>
      </c>
      <c r="H33" s="529"/>
      <c r="I33" s="529"/>
      <c r="J33" s="529"/>
      <c r="K33" s="529"/>
      <c r="L33" s="529"/>
    </row>
    <row r="34" spans="1:12">
      <c r="A34" s="268">
        <v>26</v>
      </c>
      <c r="B34" s="272" t="s">
        <v>370</v>
      </c>
      <c r="C34" s="273"/>
      <c r="D34" s="274">
        <v>1647959.4818</v>
      </c>
      <c r="E34" s="270">
        <v>0</v>
      </c>
      <c r="F34" s="270">
        <v>0</v>
      </c>
      <c r="G34" s="271">
        <v>1647959.4818</v>
      </c>
      <c r="H34" s="529"/>
      <c r="I34" s="529"/>
      <c r="J34" s="529"/>
      <c r="K34" s="529"/>
      <c r="L34" s="529"/>
    </row>
    <row r="35" spans="1:12">
      <c r="A35" s="268">
        <v>27</v>
      </c>
      <c r="B35" s="272" t="s">
        <v>371</v>
      </c>
      <c r="C35" s="270">
        <v>4935218.43</v>
      </c>
      <c r="D35" s="274">
        <v>15726674.103200002</v>
      </c>
      <c r="E35" s="270">
        <v>576337.43960000016</v>
      </c>
      <c r="F35" s="270">
        <v>17282308.361319773</v>
      </c>
      <c r="G35" s="271">
        <v>30369032.562719774</v>
      </c>
      <c r="H35" s="529"/>
      <c r="I35" s="529"/>
      <c r="J35" s="529"/>
      <c r="K35" s="529"/>
      <c r="L35" s="529"/>
    </row>
    <row r="36" spans="1:12">
      <c r="A36" s="268">
        <v>28</v>
      </c>
      <c r="B36" s="269" t="s">
        <v>372</v>
      </c>
      <c r="C36" s="270">
        <v>0</v>
      </c>
      <c r="D36" s="274">
        <v>22065150.992362</v>
      </c>
      <c r="E36" s="270">
        <v>27448396.168477997</v>
      </c>
      <c r="F36" s="270">
        <v>35230985.336460009</v>
      </c>
      <c r="G36" s="271">
        <v>9132744.9669349007</v>
      </c>
      <c r="H36" s="529"/>
      <c r="I36" s="529"/>
      <c r="J36" s="529"/>
      <c r="K36" s="529"/>
      <c r="L36" s="529"/>
    </row>
    <row r="37" spans="1:12">
      <c r="A37" s="275">
        <v>29</v>
      </c>
      <c r="B37" s="276" t="s">
        <v>373</v>
      </c>
      <c r="C37" s="273"/>
      <c r="D37" s="273"/>
      <c r="E37" s="273"/>
      <c r="F37" s="273"/>
      <c r="G37" s="277">
        <f>SUM(G23:G24,G32:G33,G36)</f>
        <v>364704269.1064114</v>
      </c>
      <c r="H37" s="529"/>
      <c r="I37" s="529"/>
      <c r="J37" s="529"/>
      <c r="K37" s="529"/>
      <c r="L37" s="529"/>
    </row>
    <row r="38" spans="1:12">
      <c r="A38" s="264"/>
      <c r="B38" s="286"/>
      <c r="C38" s="287"/>
      <c r="D38" s="287"/>
      <c r="E38" s="287"/>
      <c r="F38" s="287"/>
      <c r="G38" s="288"/>
      <c r="H38" s="529"/>
      <c r="I38" s="529"/>
      <c r="J38" s="529"/>
      <c r="K38" s="529"/>
      <c r="L38" s="529"/>
    </row>
    <row r="39" spans="1:12" ht="15" thickBot="1">
      <c r="A39" s="289">
        <v>30</v>
      </c>
      <c r="B39" s="290" t="s">
        <v>374</v>
      </c>
      <c r="C39" s="187"/>
      <c r="D39" s="188"/>
      <c r="E39" s="188"/>
      <c r="F39" s="189"/>
      <c r="G39" s="291">
        <f>IFERROR(G21/G37,0)</f>
        <v>1.1761372077719923</v>
      </c>
      <c r="H39" s="529"/>
      <c r="I39" s="529"/>
      <c r="J39" s="529"/>
      <c r="K39" s="529"/>
      <c r="L39" s="529"/>
    </row>
    <row r="42" spans="1:12" ht="41.4">
      <c r="B42" s="135" t="s">
        <v>375</v>
      </c>
    </row>
  </sheetData>
  <mergeCells count="2">
    <mergeCell ref="C5:F5"/>
    <mergeCell ref="G5:G6"/>
  </mergeCells>
  <pageMargins left="0.7" right="0.7" top="0.75" bottom="0.75" header="0.3" footer="0.3"/>
  <pageSetup paperSize="9" scale="45" orientation="portrait" horizontalDpi="300" verticalDpi="300" r:id="rId1"/>
  <headerFooter>
    <oddFooter>&amp;C_x000D_&amp;1#&amp;"Aptos"&amp;10&amp;K000000 C4 - EXTERNAL CONFIDENTIAL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39"/>
  <sheetViews>
    <sheetView showGridLines="0" topLeftCell="C1" zoomScale="80" zoomScaleNormal="80" workbookViewId="0">
      <selection activeCell="L18" sqref="L18"/>
    </sheetView>
  </sheetViews>
  <sheetFormatPr defaultColWidth="9.21875" defaultRowHeight="12"/>
  <cols>
    <col min="1" max="1" width="11.77734375" style="296" bestFit="1" customWidth="1"/>
    <col min="2" max="2" width="105.21875" style="296" bestFit="1" customWidth="1"/>
    <col min="3" max="3" width="14.109375" style="296" bestFit="1" customWidth="1"/>
    <col min="4" max="4" width="15.109375" style="296" bestFit="1" customWidth="1"/>
    <col min="5" max="5" width="17.5546875" style="296" bestFit="1" customWidth="1"/>
    <col min="6" max="6" width="15.109375" style="296" bestFit="1" customWidth="1"/>
    <col min="7" max="7" width="30.44140625" style="296" customWidth="1"/>
    <col min="8" max="8" width="13.88671875" style="296" customWidth="1"/>
    <col min="9" max="16384" width="9.21875" style="296"/>
  </cols>
  <sheetData>
    <row r="1" spans="1:15" ht="13.8">
      <c r="A1" s="294" t="s">
        <v>30</v>
      </c>
      <c r="B1" s="356" t="str">
        <f>'Info '!C2</f>
        <v xml:space="preserve">PASHA Bank Georgia JSC </v>
      </c>
    </row>
    <row r="2" spans="1:15">
      <c r="A2" s="294" t="s">
        <v>31</v>
      </c>
      <c r="B2" s="355">
        <f>'1. key ratios '!B2</f>
        <v>46022</v>
      </c>
    </row>
    <row r="3" spans="1:15">
      <c r="A3" s="295" t="s">
        <v>380</v>
      </c>
    </row>
    <row r="5" spans="1:15" ht="12" customHeight="1">
      <c r="A5" s="797" t="s">
        <v>381</v>
      </c>
      <c r="B5" s="798"/>
      <c r="C5" s="803" t="s">
        <v>382</v>
      </c>
      <c r="D5" s="804"/>
      <c r="E5" s="804"/>
      <c r="F5" s="804"/>
      <c r="G5" s="804"/>
      <c r="H5" s="805"/>
    </row>
    <row r="6" spans="1:15">
      <c r="A6" s="799"/>
      <c r="B6" s="800"/>
      <c r="C6" s="806"/>
      <c r="D6" s="807"/>
      <c r="E6" s="807"/>
      <c r="F6" s="807"/>
      <c r="G6" s="807"/>
      <c r="H6" s="808"/>
    </row>
    <row r="7" spans="1:15">
      <c r="A7" s="801"/>
      <c r="B7" s="802"/>
      <c r="C7" s="354" t="s">
        <v>383</v>
      </c>
      <c r="D7" s="354" t="s">
        <v>384</v>
      </c>
      <c r="E7" s="354" t="s">
        <v>385</v>
      </c>
      <c r="F7" s="354" t="s">
        <v>386</v>
      </c>
      <c r="G7" s="354" t="s">
        <v>387</v>
      </c>
      <c r="H7" s="354" t="s">
        <v>64</v>
      </c>
    </row>
    <row r="8" spans="1:15">
      <c r="A8" s="350">
        <v>1</v>
      </c>
      <c r="B8" s="349" t="s">
        <v>51</v>
      </c>
      <c r="C8" s="570">
        <v>1646369.4198999992</v>
      </c>
      <c r="D8" s="570">
        <v>9500000</v>
      </c>
      <c r="E8" s="570">
        <v>5469399.9699999997</v>
      </c>
      <c r="F8" s="570"/>
      <c r="G8" s="570">
        <v>36615693.269299999</v>
      </c>
      <c r="H8" s="571">
        <f t="shared" ref="H8:H21" si="0">SUM(C8:G8)</f>
        <v>53231462.659199998</v>
      </c>
      <c r="I8" s="572"/>
      <c r="J8" s="572"/>
      <c r="K8" s="572"/>
      <c r="L8" s="572"/>
      <c r="M8" s="572"/>
      <c r="N8" s="572"/>
      <c r="O8" s="572"/>
    </row>
    <row r="9" spans="1:15">
      <c r="A9" s="350">
        <v>2</v>
      </c>
      <c r="B9" s="349" t="s">
        <v>52</v>
      </c>
      <c r="C9" s="570"/>
      <c r="D9" s="570"/>
      <c r="E9" s="570"/>
      <c r="F9" s="570"/>
      <c r="G9" s="570"/>
      <c r="H9" s="571">
        <f t="shared" si="0"/>
        <v>0</v>
      </c>
      <c r="I9" s="572"/>
      <c r="J9" s="572"/>
      <c r="K9" s="572"/>
      <c r="L9" s="572"/>
      <c r="M9" s="572"/>
      <c r="N9" s="572"/>
      <c r="O9" s="572"/>
    </row>
    <row r="10" spans="1:15">
      <c r="A10" s="350">
        <v>3</v>
      </c>
      <c r="B10" s="349" t="s">
        <v>152</v>
      </c>
      <c r="C10" s="570"/>
      <c r="D10" s="570"/>
      <c r="E10" s="570"/>
      <c r="F10" s="570"/>
      <c r="G10" s="570"/>
      <c r="H10" s="571">
        <f t="shared" si="0"/>
        <v>0</v>
      </c>
      <c r="I10" s="572"/>
      <c r="J10" s="572"/>
      <c r="K10" s="572"/>
      <c r="L10" s="572"/>
      <c r="M10" s="572"/>
      <c r="N10" s="572"/>
      <c r="O10" s="572"/>
    </row>
    <row r="11" spans="1:15">
      <c r="A11" s="350">
        <v>4</v>
      </c>
      <c r="B11" s="349" t="s">
        <v>53</v>
      </c>
      <c r="C11" s="570"/>
      <c r="D11" s="570"/>
      <c r="E11" s="570"/>
      <c r="F11" s="570"/>
      <c r="G11" s="570"/>
      <c r="H11" s="571">
        <f t="shared" si="0"/>
        <v>0</v>
      </c>
      <c r="I11" s="572"/>
      <c r="J11" s="572"/>
      <c r="K11" s="572"/>
      <c r="L11" s="572"/>
      <c r="M11" s="572"/>
      <c r="N11" s="572"/>
      <c r="O11" s="572"/>
    </row>
    <row r="12" spans="1:15">
      <c r="A12" s="350">
        <v>5</v>
      </c>
      <c r="B12" s="349" t="s">
        <v>54</v>
      </c>
      <c r="C12" s="570"/>
      <c r="D12" s="570"/>
      <c r="E12" s="570"/>
      <c r="F12" s="570"/>
      <c r="G12" s="570"/>
      <c r="H12" s="571">
        <f t="shared" si="0"/>
        <v>0</v>
      </c>
      <c r="I12" s="572"/>
      <c r="J12" s="572"/>
      <c r="K12" s="572"/>
      <c r="L12" s="572"/>
      <c r="M12" s="572"/>
      <c r="N12" s="572"/>
      <c r="O12" s="572"/>
    </row>
    <row r="13" spans="1:15">
      <c r="A13" s="350">
        <v>6</v>
      </c>
      <c r="B13" s="349" t="s">
        <v>55</v>
      </c>
      <c r="C13" s="570">
        <v>21234823.855100002</v>
      </c>
      <c r="D13" s="570">
        <v>34479789.220899999</v>
      </c>
      <c r="E13" s="570">
        <v>11071764.842599999</v>
      </c>
      <c r="F13" s="570"/>
      <c r="G13" s="570"/>
      <c r="H13" s="571">
        <f t="shared" si="0"/>
        <v>66786377.918600008</v>
      </c>
      <c r="I13" s="572"/>
      <c r="J13" s="572"/>
      <c r="K13" s="572"/>
      <c r="L13" s="572"/>
      <c r="M13" s="572"/>
      <c r="N13" s="572"/>
      <c r="O13" s="572"/>
    </row>
    <row r="14" spans="1:15">
      <c r="A14" s="350">
        <v>7</v>
      </c>
      <c r="B14" s="349" t="s">
        <v>56</v>
      </c>
      <c r="C14" s="570"/>
      <c r="D14" s="570">
        <v>78972881.198799998</v>
      </c>
      <c r="E14" s="570">
        <v>228957751.80840001</v>
      </c>
      <c r="F14" s="570">
        <v>205394350.05649999</v>
      </c>
      <c r="G14" s="570"/>
      <c r="H14" s="571">
        <f t="shared" si="0"/>
        <v>513324983.06369996</v>
      </c>
      <c r="I14" s="572"/>
      <c r="J14" s="572"/>
      <c r="K14" s="572"/>
      <c r="L14" s="572"/>
      <c r="M14" s="572"/>
      <c r="N14" s="572"/>
      <c r="O14" s="572"/>
    </row>
    <row r="15" spans="1:15">
      <c r="A15" s="350">
        <v>8</v>
      </c>
      <c r="B15" s="351" t="s">
        <v>57</v>
      </c>
      <c r="C15" s="570"/>
      <c r="D15" s="570">
        <v>230190.3406</v>
      </c>
      <c r="E15" s="570">
        <v>85808.456300000005</v>
      </c>
      <c r="F15" s="570">
        <v>2138.8535000000002</v>
      </c>
      <c r="G15" s="570"/>
      <c r="H15" s="571">
        <f t="shared" si="0"/>
        <v>318137.65040000004</v>
      </c>
      <c r="I15" s="572"/>
      <c r="J15" s="572"/>
      <c r="K15" s="572"/>
      <c r="L15" s="572"/>
      <c r="M15" s="572"/>
      <c r="N15" s="572"/>
      <c r="O15" s="572"/>
    </row>
    <row r="16" spans="1:15">
      <c r="A16" s="350">
        <v>9</v>
      </c>
      <c r="B16" s="349" t="s">
        <v>58</v>
      </c>
      <c r="C16" s="570"/>
      <c r="D16" s="570"/>
      <c r="E16" s="570"/>
      <c r="F16" s="570"/>
      <c r="G16" s="570"/>
      <c r="H16" s="571">
        <f t="shared" si="0"/>
        <v>0</v>
      </c>
      <c r="I16" s="572"/>
      <c r="J16" s="572"/>
      <c r="K16" s="572"/>
      <c r="L16" s="572"/>
      <c r="M16" s="572"/>
      <c r="N16" s="572"/>
      <c r="O16" s="572"/>
    </row>
    <row r="17" spans="1:15">
      <c r="A17" s="350">
        <v>10</v>
      </c>
      <c r="B17" s="353" t="s">
        <v>395</v>
      </c>
      <c r="C17" s="570"/>
      <c r="D17" s="570">
        <v>2697048.4722000002</v>
      </c>
      <c r="E17" s="570">
        <v>959985.00699999998</v>
      </c>
      <c r="F17" s="570">
        <v>12964323.025900001</v>
      </c>
      <c r="G17" s="570"/>
      <c r="H17" s="571">
        <f t="shared" si="0"/>
        <v>16621356.505100001</v>
      </c>
      <c r="I17" s="572"/>
      <c r="J17" s="572"/>
      <c r="K17" s="572"/>
      <c r="L17" s="572"/>
      <c r="M17" s="572"/>
      <c r="N17" s="572"/>
      <c r="O17" s="572"/>
    </row>
    <row r="18" spans="1:15">
      <c r="A18" s="350">
        <v>11</v>
      </c>
      <c r="B18" s="349" t="s">
        <v>60</v>
      </c>
      <c r="C18" s="570"/>
      <c r="D18" s="570"/>
      <c r="E18" s="570"/>
      <c r="F18" s="570"/>
      <c r="G18" s="570"/>
      <c r="H18" s="571">
        <f t="shared" si="0"/>
        <v>0</v>
      </c>
      <c r="I18" s="572"/>
      <c r="J18" s="572"/>
      <c r="K18" s="572"/>
      <c r="L18" s="572"/>
      <c r="M18" s="572"/>
      <c r="N18" s="572"/>
      <c r="O18" s="572"/>
    </row>
    <row r="19" spans="1:15">
      <c r="A19" s="350">
        <v>12</v>
      </c>
      <c r="B19" s="349" t="s">
        <v>61</v>
      </c>
      <c r="C19" s="570"/>
      <c r="D19" s="570"/>
      <c r="E19" s="570"/>
      <c r="F19" s="570"/>
      <c r="G19" s="570"/>
      <c r="H19" s="571">
        <f t="shared" si="0"/>
        <v>0</v>
      </c>
      <c r="I19" s="572"/>
      <c r="J19" s="572"/>
      <c r="K19" s="572"/>
      <c r="L19" s="572"/>
      <c r="M19" s="572"/>
      <c r="N19" s="572"/>
      <c r="O19" s="572"/>
    </row>
    <row r="20" spans="1:15">
      <c r="A20" s="352">
        <v>13</v>
      </c>
      <c r="B20" s="351" t="s">
        <v>144</v>
      </c>
      <c r="C20" s="570"/>
      <c r="D20" s="570"/>
      <c r="E20" s="570"/>
      <c r="F20" s="570"/>
      <c r="G20" s="570"/>
      <c r="H20" s="571">
        <f t="shared" si="0"/>
        <v>0</v>
      </c>
      <c r="I20" s="572"/>
      <c r="J20" s="572"/>
      <c r="K20" s="572"/>
      <c r="L20" s="572"/>
      <c r="M20" s="572"/>
      <c r="N20" s="572"/>
      <c r="O20" s="572"/>
    </row>
    <row r="21" spans="1:15">
      <c r="A21" s="350">
        <v>14</v>
      </c>
      <c r="B21" s="349" t="s">
        <v>63</v>
      </c>
      <c r="C21" s="570">
        <v>2381730.9614999988</v>
      </c>
      <c r="D21" s="570">
        <v>18975337.307700001</v>
      </c>
      <c r="E21" s="570"/>
      <c r="F21" s="570"/>
      <c r="G21" s="570">
        <v>1283659.5200000009</v>
      </c>
      <c r="H21" s="571">
        <f t="shared" si="0"/>
        <v>22640727.7892</v>
      </c>
      <c r="I21" s="572"/>
      <c r="J21" s="572"/>
      <c r="K21" s="572"/>
      <c r="L21" s="572"/>
      <c r="M21" s="572"/>
      <c r="N21" s="572"/>
      <c r="O21" s="572"/>
    </row>
    <row r="22" spans="1:15">
      <c r="A22" s="348">
        <v>15</v>
      </c>
      <c r="B22" s="347" t="s">
        <v>64</v>
      </c>
      <c r="C22" s="571">
        <f>SUM(C18:C21)+SUM(C8:C16)</f>
        <v>25262924.236500002</v>
      </c>
      <c r="D22" s="571">
        <f t="shared" ref="D22:H22" si="1">SUM(D18:D21)+SUM(D8:D16)</f>
        <v>142158198.06799999</v>
      </c>
      <c r="E22" s="571">
        <f t="shared" si="1"/>
        <v>245584725.07729998</v>
      </c>
      <c r="F22" s="571">
        <f t="shared" si="1"/>
        <v>205396488.91</v>
      </c>
      <c r="G22" s="571">
        <f t="shared" si="1"/>
        <v>37899352.789300002</v>
      </c>
      <c r="H22" s="571">
        <f t="shared" si="1"/>
        <v>656301689.08109999</v>
      </c>
      <c r="I22" s="572"/>
      <c r="J22" s="572"/>
      <c r="K22" s="572"/>
      <c r="L22" s="572"/>
      <c r="M22" s="572"/>
      <c r="N22" s="572"/>
      <c r="O22" s="572"/>
    </row>
    <row r="23" spans="1:15">
      <c r="I23" s="572"/>
      <c r="J23" s="572"/>
      <c r="K23" s="572"/>
      <c r="L23" s="572"/>
      <c r="M23" s="572"/>
      <c r="N23" s="572"/>
      <c r="O23" s="572"/>
    </row>
    <row r="24" spans="1:15">
      <c r="C24" s="572"/>
      <c r="D24" s="572"/>
      <c r="E24" s="572"/>
      <c r="F24" s="572"/>
      <c r="G24" s="572"/>
      <c r="H24" s="572"/>
    </row>
    <row r="25" spans="1:15">
      <c r="C25" s="572"/>
      <c r="D25" s="572"/>
      <c r="E25" s="572"/>
      <c r="F25" s="572"/>
      <c r="G25" s="572"/>
      <c r="H25" s="572"/>
    </row>
    <row r="26" spans="1:15" ht="24">
      <c r="B26" s="299" t="s">
        <v>482</v>
      </c>
      <c r="C26" s="572"/>
      <c r="D26" s="572"/>
      <c r="E26" s="572"/>
      <c r="F26" s="572"/>
      <c r="G26" s="572"/>
      <c r="H26" s="572"/>
    </row>
    <row r="27" spans="1:15">
      <c r="C27" s="572"/>
      <c r="D27" s="572"/>
      <c r="E27" s="572"/>
      <c r="F27" s="572"/>
      <c r="G27" s="572"/>
      <c r="H27" s="572"/>
    </row>
    <row r="28" spans="1:15">
      <c r="C28" s="572"/>
      <c r="D28" s="572"/>
      <c r="E28" s="572"/>
      <c r="F28" s="572"/>
      <c r="G28" s="572"/>
      <c r="H28" s="572"/>
    </row>
    <row r="29" spans="1:15">
      <c r="C29" s="572"/>
      <c r="D29" s="572"/>
      <c r="E29" s="572"/>
      <c r="F29" s="572"/>
      <c r="G29" s="572"/>
      <c r="H29" s="572"/>
    </row>
    <row r="30" spans="1:15">
      <c r="C30" s="572"/>
      <c r="D30" s="572"/>
      <c r="E30" s="572"/>
      <c r="F30" s="572"/>
      <c r="G30" s="572"/>
      <c r="H30" s="572"/>
    </row>
    <row r="31" spans="1:15">
      <c r="C31" s="572"/>
      <c r="D31" s="572"/>
      <c r="E31" s="572"/>
      <c r="F31" s="572"/>
      <c r="G31" s="572"/>
      <c r="H31" s="572"/>
    </row>
    <row r="32" spans="1:15">
      <c r="C32" s="572"/>
      <c r="D32" s="572"/>
      <c r="E32" s="572"/>
      <c r="F32" s="572"/>
      <c r="G32" s="572"/>
      <c r="H32" s="572"/>
    </row>
    <row r="33" spans="3:8">
      <c r="C33" s="572"/>
      <c r="D33" s="572"/>
      <c r="E33" s="572"/>
      <c r="F33" s="572"/>
      <c r="G33" s="572"/>
      <c r="H33" s="572"/>
    </row>
    <row r="34" spans="3:8">
      <c r="C34" s="572"/>
      <c r="D34" s="572"/>
      <c r="E34" s="572"/>
      <c r="F34" s="572"/>
      <c r="G34" s="572"/>
      <c r="H34" s="572"/>
    </row>
    <row r="35" spans="3:8">
      <c r="C35" s="572"/>
      <c r="D35" s="572"/>
      <c r="E35" s="572"/>
      <c r="F35" s="572"/>
      <c r="G35" s="572"/>
      <c r="H35" s="572"/>
    </row>
    <row r="36" spans="3:8">
      <c r="C36" s="572"/>
      <c r="D36" s="572"/>
      <c r="E36" s="572"/>
      <c r="F36" s="572"/>
      <c r="G36" s="572"/>
      <c r="H36" s="572"/>
    </row>
    <row r="37" spans="3:8">
      <c r="C37" s="572"/>
      <c r="D37" s="572"/>
      <c r="E37" s="572"/>
      <c r="F37" s="572"/>
      <c r="G37" s="572"/>
      <c r="H37" s="572"/>
    </row>
    <row r="38" spans="3:8">
      <c r="C38" s="572"/>
      <c r="D38" s="572"/>
      <c r="E38" s="572"/>
      <c r="F38" s="572"/>
      <c r="G38" s="572"/>
      <c r="H38" s="572"/>
    </row>
    <row r="39" spans="3:8">
      <c r="C39" s="572"/>
      <c r="D39" s="572"/>
      <c r="E39" s="572"/>
      <c r="F39" s="572"/>
      <c r="G39" s="572"/>
      <c r="H39" s="572"/>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39" orientation="portrait" horizontalDpi="300" verticalDpi="300" r:id="rId1"/>
  <headerFooter>
    <oddFooter>&amp;C_x000D_&amp;1#&amp;"Aptos"&amp;10&amp;K000000 C4 - EXTERNAL CONFIDENTIAL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N43"/>
  <sheetViews>
    <sheetView showGridLines="0" zoomScale="80" zoomScaleNormal="80" workbookViewId="0">
      <selection activeCell="D26" sqref="D26"/>
    </sheetView>
  </sheetViews>
  <sheetFormatPr defaultColWidth="9.21875" defaultRowHeight="12"/>
  <cols>
    <col min="1" max="1" width="11.77734375" style="357" bestFit="1" customWidth="1"/>
    <col min="2" max="2" width="86.77734375" style="296" customWidth="1"/>
    <col min="3" max="4" width="31.5546875" style="296" customWidth="1"/>
    <col min="5" max="5" width="15.109375" style="296" bestFit="1" customWidth="1"/>
    <col min="6" max="6" width="11.77734375" style="296" bestFit="1" customWidth="1"/>
    <col min="7" max="7" width="21.5546875" style="296" bestFit="1" customWidth="1"/>
    <col min="8" max="8" width="41.44140625" style="296" customWidth="1"/>
    <col min="9" max="16384" width="9.21875" style="296"/>
  </cols>
  <sheetData>
    <row r="1" spans="1:14" ht="13.8">
      <c r="A1" s="294" t="s">
        <v>30</v>
      </c>
      <c r="B1" s="356" t="str">
        <f>'Info '!C2</f>
        <v xml:space="preserve">PASHA Bank Georgia JSC </v>
      </c>
      <c r="C1" s="369"/>
      <c r="D1" s="369"/>
      <c r="E1" s="369"/>
      <c r="F1" s="369"/>
      <c r="G1" s="369"/>
      <c r="H1" s="369"/>
    </row>
    <row r="2" spans="1:14">
      <c r="A2" s="294" t="s">
        <v>31</v>
      </c>
      <c r="B2" s="355">
        <f>'1. key ratios '!B2</f>
        <v>46022</v>
      </c>
      <c r="C2" s="369"/>
      <c r="D2" s="369"/>
      <c r="E2" s="369"/>
      <c r="F2" s="369"/>
      <c r="G2" s="369"/>
      <c r="H2" s="369"/>
    </row>
    <row r="3" spans="1:14">
      <c r="A3" s="295" t="s">
        <v>388</v>
      </c>
      <c r="B3" s="369"/>
      <c r="C3" s="369"/>
      <c r="D3" s="369"/>
      <c r="E3" s="369"/>
      <c r="F3" s="369"/>
      <c r="G3" s="369"/>
      <c r="H3" s="369"/>
    </row>
    <row r="4" spans="1:14">
      <c r="A4" s="370"/>
      <c r="B4" s="369"/>
      <c r="C4" s="368" t="s">
        <v>0</v>
      </c>
      <c r="D4" s="368" t="s">
        <v>1</v>
      </c>
      <c r="E4" s="368" t="s">
        <v>2</v>
      </c>
      <c r="F4" s="368" t="s">
        <v>3</v>
      </c>
      <c r="G4" s="368" t="s">
        <v>4</v>
      </c>
      <c r="H4" s="368" t="s">
        <v>5</v>
      </c>
    </row>
    <row r="5" spans="1:14" ht="34.049999999999997" customHeight="1">
      <c r="A5" s="797" t="s">
        <v>389</v>
      </c>
      <c r="B5" s="798"/>
      <c r="C5" s="811" t="s">
        <v>390</v>
      </c>
      <c r="D5" s="811"/>
      <c r="E5" s="811" t="s">
        <v>627</v>
      </c>
      <c r="F5" s="809" t="s">
        <v>391</v>
      </c>
      <c r="G5" s="809" t="s">
        <v>392</v>
      </c>
      <c r="H5" s="366" t="s">
        <v>626</v>
      </c>
    </row>
    <row r="6" spans="1:14" ht="24">
      <c r="A6" s="801"/>
      <c r="B6" s="802"/>
      <c r="C6" s="367" t="s">
        <v>393</v>
      </c>
      <c r="D6" s="367" t="s">
        <v>394</v>
      </c>
      <c r="E6" s="811"/>
      <c r="F6" s="810"/>
      <c r="G6" s="810"/>
      <c r="H6" s="366" t="s">
        <v>625</v>
      </c>
    </row>
    <row r="7" spans="1:14">
      <c r="A7" s="364">
        <v>1</v>
      </c>
      <c r="B7" s="349" t="s">
        <v>51</v>
      </c>
      <c r="C7" s="573"/>
      <c r="D7" s="573">
        <v>53231462.659199998</v>
      </c>
      <c r="E7" s="573"/>
      <c r="F7" s="573"/>
      <c r="G7" s="573"/>
      <c r="H7" s="574">
        <f>C7+D7-E7-F7</f>
        <v>53231462.659199998</v>
      </c>
      <c r="I7" s="572"/>
      <c r="J7" s="572"/>
      <c r="K7" s="572"/>
      <c r="L7" s="572"/>
      <c r="M7" s="572"/>
      <c r="N7" s="572"/>
    </row>
    <row r="8" spans="1:14">
      <c r="A8" s="364">
        <v>2</v>
      </c>
      <c r="B8" s="349" t="s">
        <v>52</v>
      </c>
      <c r="C8" s="573"/>
      <c r="D8" s="573"/>
      <c r="E8" s="573"/>
      <c r="F8" s="573"/>
      <c r="G8" s="573"/>
      <c r="H8" s="574">
        <f t="shared" ref="H8:H20" si="0">C8+D8-E8-F8</f>
        <v>0</v>
      </c>
      <c r="I8" s="572"/>
      <c r="J8" s="572"/>
      <c r="K8" s="572"/>
      <c r="L8" s="572"/>
      <c r="M8" s="572"/>
      <c r="N8" s="572"/>
    </row>
    <row r="9" spans="1:14">
      <c r="A9" s="364">
        <v>3</v>
      </c>
      <c r="B9" s="349" t="s">
        <v>152</v>
      </c>
      <c r="C9" s="573"/>
      <c r="D9" s="573"/>
      <c r="E9" s="573"/>
      <c r="F9" s="573"/>
      <c r="G9" s="573"/>
      <c r="H9" s="574">
        <f t="shared" si="0"/>
        <v>0</v>
      </c>
      <c r="I9" s="572"/>
      <c r="J9" s="572"/>
      <c r="K9" s="572"/>
      <c r="L9" s="572"/>
      <c r="M9" s="572"/>
      <c r="N9" s="572"/>
    </row>
    <row r="10" spans="1:14">
      <c r="A10" s="364">
        <v>4</v>
      </c>
      <c r="B10" s="349" t="s">
        <v>53</v>
      </c>
      <c r="C10" s="573"/>
      <c r="D10" s="573"/>
      <c r="E10" s="573"/>
      <c r="F10" s="573"/>
      <c r="G10" s="573"/>
      <c r="H10" s="574">
        <f t="shared" si="0"/>
        <v>0</v>
      </c>
      <c r="I10" s="572"/>
      <c r="J10" s="572"/>
      <c r="K10" s="572"/>
      <c r="L10" s="572"/>
      <c r="M10" s="572"/>
      <c r="N10" s="572"/>
    </row>
    <row r="11" spans="1:14">
      <c r="A11" s="364">
        <v>5</v>
      </c>
      <c r="B11" s="349" t="s">
        <v>54</v>
      </c>
      <c r="C11" s="573"/>
      <c r="D11" s="573"/>
      <c r="E11" s="573"/>
      <c r="F11" s="573"/>
      <c r="G11" s="573"/>
      <c r="H11" s="574">
        <f t="shared" si="0"/>
        <v>0</v>
      </c>
      <c r="I11" s="572"/>
      <c r="J11" s="572"/>
      <c r="K11" s="572"/>
      <c r="L11" s="572"/>
      <c r="M11" s="572"/>
      <c r="N11" s="572"/>
    </row>
    <row r="12" spans="1:14">
      <c r="A12" s="364">
        <v>6</v>
      </c>
      <c r="B12" s="349" t="s">
        <v>55</v>
      </c>
      <c r="C12" s="573"/>
      <c r="D12" s="573">
        <v>66911600.162299998</v>
      </c>
      <c r="E12" s="573">
        <v>125222.24370000001</v>
      </c>
      <c r="F12" s="573"/>
      <c r="G12" s="573"/>
      <c r="H12" s="574">
        <f t="shared" si="0"/>
        <v>66786377.9186</v>
      </c>
      <c r="I12" s="572"/>
      <c r="J12" s="572"/>
      <c r="K12" s="572"/>
      <c r="L12" s="572"/>
      <c r="M12" s="572"/>
      <c r="N12" s="572"/>
    </row>
    <row r="13" spans="1:14">
      <c r="A13" s="364">
        <v>7</v>
      </c>
      <c r="B13" s="349" t="s">
        <v>56</v>
      </c>
      <c r="C13" s="573">
        <v>28941746.302099999</v>
      </c>
      <c r="D13" s="573">
        <v>494995664.76800001</v>
      </c>
      <c r="E13" s="573">
        <v>10294290.355900001</v>
      </c>
      <c r="F13" s="573"/>
      <c r="G13" s="573">
        <v>1964293.7948</v>
      </c>
      <c r="H13" s="574">
        <f t="shared" si="0"/>
        <v>513643120.71420002</v>
      </c>
      <c r="I13" s="572"/>
      <c r="J13" s="572"/>
      <c r="K13" s="572"/>
      <c r="L13" s="572"/>
      <c r="M13" s="572"/>
      <c r="N13" s="572"/>
    </row>
    <row r="14" spans="1:14">
      <c r="A14" s="364">
        <v>8</v>
      </c>
      <c r="B14" s="351" t="s">
        <v>57</v>
      </c>
      <c r="C14" s="573"/>
      <c r="D14" s="573"/>
      <c r="E14" s="573"/>
      <c r="F14" s="573"/>
      <c r="G14" s="573"/>
      <c r="H14" s="574">
        <f t="shared" si="0"/>
        <v>0</v>
      </c>
      <c r="I14" s="572"/>
      <c r="J14" s="572"/>
      <c r="K14" s="572"/>
      <c r="L14" s="572"/>
      <c r="M14" s="572"/>
      <c r="N14" s="572"/>
    </row>
    <row r="15" spans="1:14">
      <c r="A15" s="364">
        <v>9</v>
      </c>
      <c r="B15" s="349" t="s">
        <v>58</v>
      </c>
      <c r="C15" s="573"/>
      <c r="D15" s="573"/>
      <c r="E15" s="573"/>
      <c r="F15" s="573"/>
      <c r="G15" s="573"/>
      <c r="H15" s="574">
        <f t="shared" si="0"/>
        <v>0</v>
      </c>
      <c r="I15" s="572"/>
      <c r="J15" s="572"/>
      <c r="K15" s="572"/>
      <c r="L15" s="572"/>
      <c r="M15" s="572"/>
      <c r="N15" s="572"/>
    </row>
    <row r="16" spans="1:14">
      <c r="A16" s="364">
        <v>10</v>
      </c>
      <c r="B16" s="353" t="s">
        <v>395</v>
      </c>
      <c r="C16" s="573">
        <v>20402993.996599998</v>
      </c>
      <c r="D16" s="573">
        <v>0</v>
      </c>
      <c r="E16" s="573">
        <v>3781960.2114000004</v>
      </c>
      <c r="F16" s="573"/>
      <c r="G16" s="573"/>
      <c r="H16" s="574">
        <f t="shared" si="0"/>
        <v>16621033.785199998</v>
      </c>
      <c r="I16" s="572"/>
      <c r="J16" s="572"/>
      <c r="K16" s="572"/>
      <c r="L16" s="572"/>
      <c r="M16" s="572"/>
      <c r="N16" s="572"/>
    </row>
    <row r="17" spans="1:14">
      <c r="A17" s="364">
        <v>11</v>
      </c>
      <c r="B17" s="349" t="s">
        <v>60</v>
      </c>
      <c r="C17" s="573"/>
      <c r="D17" s="573"/>
      <c r="E17" s="573"/>
      <c r="F17" s="573"/>
      <c r="G17" s="573"/>
      <c r="H17" s="574">
        <f t="shared" si="0"/>
        <v>0</v>
      </c>
      <c r="I17" s="572"/>
      <c r="J17" s="572"/>
      <c r="K17" s="572"/>
      <c r="L17" s="572"/>
      <c r="M17" s="572"/>
      <c r="N17" s="572"/>
    </row>
    <row r="18" spans="1:14">
      <c r="A18" s="364">
        <v>12</v>
      </c>
      <c r="B18" s="349" t="s">
        <v>61</v>
      </c>
      <c r="C18" s="573"/>
      <c r="D18" s="573"/>
      <c r="E18" s="573"/>
      <c r="F18" s="573"/>
      <c r="G18" s="573"/>
      <c r="H18" s="574">
        <f t="shared" si="0"/>
        <v>0</v>
      </c>
      <c r="I18" s="572"/>
      <c r="J18" s="572"/>
      <c r="K18" s="572"/>
      <c r="L18" s="572"/>
      <c r="M18" s="572"/>
      <c r="N18" s="572"/>
    </row>
    <row r="19" spans="1:14">
      <c r="A19" s="365">
        <v>13</v>
      </c>
      <c r="B19" s="351" t="s">
        <v>144</v>
      </c>
      <c r="C19" s="573"/>
      <c r="D19" s="573"/>
      <c r="E19" s="573"/>
      <c r="F19" s="573"/>
      <c r="G19" s="573"/>
      <c r="H19" s="574">
        <f t="shared" si="0"/>
        <v>0</v>
      </c>
      <c r="I19" s="572"/>
      <c r="J19" s="572"/>
      <c r="K19" s="572"/>
      <c r="L19" s="572"/>
      <c r="M19" s="572"/>
      <c r="N19" s="572"/>
    </row>
    <row r="20" spans="1:14">
      <c r="A20" s="364">
        <v>14</v>
      </c>
      <c r="B20" s="349" t="s">
        <v>63</v>
      </c>
      <c r="C20" s="573"/>
      <c r="D20" s="573">
        <v>28001400.2392</v>
      </c>
      <c r="E20" s="573"/>
      <c r="F20" s="573"/>
      <c r="G20" s="573"/>
      <c r="H20" s="574">
        <f t="shared" si="0"/>
        <v>28001400.2392</v>
      </c>
      <c r="I20" s="572"/>
      <c r="J20" s="572"/>
      <c r="K20" s="572"/>
      <c r="L20" s="572"/>
      <c r="M20" s="572"/>
      <c r="N20" s="572"/>
    </row>
    <row r="21" spans="1:14" s="361" customFormat="1">
      <c r="A21" s="363">
        <v>15</v>
      </c>
      <c r="B21" s="362" t="s">
        <v>64</v>
      </c>
      <c r="C21" s="575">
        <f t="shared" ref="C21:H21" si="1">SUM(C7:C15)+SUM(C17:C20)</f>
        <v>28941746.302099999</v>
      </c>
      <c r="D21" s="575">
        <f t="shared" si="1"/>
        <v>643140127.82869995</v>
      </c>
      <c r="E21" s="575">
        <f t="shared" si="1"/>
        <v>10419512.5996</v>
      </c>
      <c r="F21" s="575">
        <f t="shared" si="1"/>
        <v>0</v>
      </c>
      <c r="G21" s="575">
        <f t="shared" si="1"/>
        <v>1964293.7948</v>
      </c>
      <c r="H21" s="574">
        <f t="shared" si="1"/>
        <v>661662361.53120005</v>
      </c>
      <c r="I21" s="572"/>
      <c r="J21" s="572"/>
      <c r="K21" s="572"/>
      <c r="L21" s="572"/>
      <c r="M21" s="572"/>
      <c r="N21" s="572"/>
    </row>
    <row r="22" spans="1:14">
      <c r="A22" s="360">
        <v>16</v>
      </c>
      <c r="B22" s="359" t="s">
        <v>396</v>
      </c>
      <c r="C22" s="573">
        <v>28763436.182100002</v>
      </c>
      <c r="D22" s="573">
        <v>401120869.40719998</v>
      </c>
      <c r="E22" s="573">
        <v>9498280.4570000004</v>
      </c>
      <c r="F22" s="573"/>
      <c r="G22" s="573"/>
      <c r="H22" s="574">
        <f>C22+D22-E22-F22</f>
        <v>420386025.13229996</v>
      </c>
      <c r="I22" s="572"/>
      <c r="J22" s="572"/>
      <c r="K22" s="572"/>
      <c r="L22" s="572"/>
      <c r="M22" s="572"/>
      <c r="N22" s="572"/>
    </row>
    <row r="23" spans="1:14">
      <c r="A23" s="360">
        <v>17</v>
      </c>
      <c r="B23" s="359" t="s">
        <v>397</v>
      </c>
      <c r="C23" s="573"/>
      <c r="D23" s="573">
        <v>93802285.159999996</v>
      </c>
      <c r="E23" s="573">
        <v>635185.09400000004</v>
      </c>
      <c r="F23" s="573"/>
      <c r="G23" s="573"/>
      <c r="H23" s="574">
        <f>C23+D23-E23-F23</f>
        <v>93167100.066</v>
      </c>
      <c r="I23" s="572"/>
      <c r="J23" s="572"/>
      <c r="K23" s="572"/>
      <c r="L23" s="572"/>
      <c r="M23" s="572"/>
      <c r="N23" s="572"/>
    </row>
    <row r="25" spans="1:14">
      <c r="C25" s="572"/>
      <c r="D25" s="572"/>
      <c r="E25" s="572"/>
      <c r="F25" s="572"/>
      <c r="G25" s="572"/>
      <c r="H25" s="572"/>
    </row>
    <row r="26" spans="1:14" ht="42.45" customHeight="1">
      <c r="B26" s="299" t="s">
        <v>482</v>
      </c>
      <c r="C26" s="572"/>
      <c r="D26" s="572"/>
      <c r="E26" s="572"/>
      <c r="F26" s="572"/>
      <c r="G26" s="572"/>
      <c r="H26" s="572"/>
    </row>
    <row r="27" spans="1:14">
      <c r="C27" s="572"/>
      <c r="D27" s="572"/>
      <c r="E27" s="572"/>
      <c r="F27" s="572"/>
      <c r="G27" s="572"/>
      <c r="H27" s="572"/>
    </row>
    <row r="28" spans="1:14">
      <c r="C28" s="572"/>
      <c r="D28" s="572"/>
      <c r="E28" s="572"/>
      <c r="F28" s="572"/>
      <c r="G28" s="572"/>
      <c r="H28" s="572"/>
    </row>
    <row r="29" spans="1:14">
      <c r="C29" s="572"/>
      <c r="D29" s="572"/>
      <c r="E29" s="572"/>
      <c r="F29" s="572"/>
      <c r="G29" s="572"/>
      <c r="H29" s="572"/>
    </row>
    <row r="30" spans="1:14">
      <c r="C30" s="572"/>
      <c r="D30" s="572"/>
      <c r="E30" s="572"/>
      <c r="F30" s="572"/>
      <c r="G30" s="572"/>
      <c r="H30" s="572"/>
    </row>
    <row r="31" spans="1:14">
      <c r="C31" s="572"/>
      <c r="D31" s="572"/>
      <c r="E31" s="572"/>
      <c r="F31" s="572"/>
      <c r="G31" s="572"/>
      <c r="H31" s="572"/>
    </row>
    <row r="32" spans="1:14">
      <c r="C32" s="572"/>
      <c r="D32" s="572"/>
      <c r="E32" s="572"/>
      <c r="F32" s="572"/>
      <c r="G32" s="572"/>
      <c r="H32" s="572"/>
    </row>
    <row r="33" spans="3:8">
      <c r="C33" s="572"/>
      <c r="D33" s="572"/>
      <c r="E33" s="572"/>
      <c r="F33" s="572"/>
      <c r="G33" s="572"/>
      <c r="H33" s="572"/>
    </row>
    <row r="34" spans="3:8">
      <c r="C34" s="572"/>
      <c r="D34" s="572"/>
      <c r="E34" s="572"/>
      <c r="F34" s="572"/>
      <c r="G34" s="572"/>
      <c r="H34" s="572"/>
    </row>
    <row r="35" spans="3:8">
      <c r="C35" s="572"/>
      <c r="D35" s="572"/>
      <c r="E35" s="572"/>
      <c r="F35" s="572"/>
      <c r="G35" s="572"/>
      <c r="H35" s="572"/>
    </row>
    <row r="36" spans="3:8">
      <c r="C36" s="572"/>
      <c r="D36" s="572"/>
      <c r="E36" s="572"/>
      <c r="F36" s="572"/>
      <c r="G36" s="572"/>
      <c r="H36" s="572"/>
    </row>
    <row r="37" spans="3:8">
      <c r="C37" s="572"/>
      <c r="D37" s="572"/>
      <c r="E37" s="572"/>
      <c r="F37" s="572"/>
      <c r="G37" s="572"/>
      <c r="H37" s="572"/>
    </row>
    <row r="38" spans="3:8">
      <c r="C38" s="572"/>
      <c r="D38" s="572"/>
      <c r="E38" s="572"/>
      <c r="F38" s="572"/>
      <c r="G38" s="572"/>
      <c r="H38" s="572"/>
    </row>
    <row r="39" spans="3:8">
      <c r="C39" s="572"/>
      <c r="D39" s="572"/>
      <c r="E39" s="572"/>
      <c r="F39" s="572"/>
      <c r="G39" s="572"/>
      <c r="H39" s="572"/>
    </row>
    <row r="40" spans="3:8">
      <c r="C40" s="572"/>
      <c r="D40" s="572"/>
      <c r="E40" s="572"/>
      <c r="F40" s="572"/>
      <c r="G40" s="572"/>
      <c r="H40" s="572"/>
    </row>
    <row r="41" spans="3:8">
      <c r="C41" s="572"/>
      <c r="D41" s="572"/>
      <c r="E41" s="572"/>
      <c r="F41" s="572"/>
      <c r="G41" s="572"/>
      <c r="H41" s="572"/>
    </row>
    <row r="42" spans="3:8">
      <c r="C42" s="572"/>
      <c r="D42" s="572"/>
      <c r="E42" s="572"/>
      <c r="F42" s="572"/>
      <c r="G42" s="572"/>
      <c r="H42" s="572"/>
    </row>
    <row r="43" spans="3:8">
      <c r="C43" s="572"/>
      <c r="D43" s="572"/>
      <c r="E43" s="572"/>
      <c r="F43" s="572"/>
      <c r="G43" s="572"/>
      <c r="H43" s="572"/>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paperSize="9" scale="34" orientation="portrait" horizontalDpi="300" verticalDpi="300" r:id="rId1"/>
  <headerFooter>
    <oddFooter>&amp;C_x000D_&amp;1#&amp;"Aptos"&amp;10&amp;K000000 C4 - EXTERNAL CONFIDENTIAL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65"/>
  <sheetViews>
    <sheetView showGridLines="0" zoomScale="80" zoomScaleNormal="80" workbookViewId="0">
      <selection activeCell="L7" sqref="L7"/>
    </sheetView>
  </sheetViews>
  <sheetFormatPr defaultColWidth="9.21875" defaultRowHeight="12"/>
  <cols>
    <col min="1" max="1" width="11" style="296" bestFit="1" customWidth="1"/>
    <col min="2" max="2" width="93.44140625" style="296" customWidth="1"/>
    <col min="3" max="4" width="35" style="296" customWidth="1"/>
    <col min="5" max="5" width="15.109375" style="296" bestFit="1" customWidth="1"/>
    <col min="6" max="6" width="11.77734375" style="296" bestFit="1" customWidth="1"/>
    <col min="7" max="7" width="22" style="296" customWidth="1"/>
    <col min="8" max="8" width="19.88671875" style="296" customWidth="1"/>
    <col min="9" max="16384" width="9.21875" style="296"/>
  </cols>
  <sheetData>
    <row r="1" spans="1:15" ht="13.8">
      <c r="A1" s="294" t="s">
        <v>30</v>
      </c>
      <c r="B1" s="356" t="str">
        <f>'Info '!C2</f>
        <v xml:space="preserve">PASHA Bank Georgia JSC </v>
      </c>
      <c r="C1" s="369"/>
      <c r="D1" s="369"/>
      <c r="E1" s="369"/>
      <c r="F1" s="369"/>
      <c r="G1" s="369"/>
      <c r="H1" s="369"/>
    </row>
    <row r="2" spans="1:15">
      <c r="A2" s="294" t="s">
        <v>31</v>
      </c>
      <c r="B2" s="355">
        <f>'1. key ratios '!B2</f>
        <v>46022</v>
      </c>
      <c r="C2" s="369"/>
      <c r="D2" s="369"/>
      <c r="E2" s="369"/>
      <c r="F2" s="369"/>
      <c r="G2" s="369"/>
      <c r="H2" s="369"/>
    </row>
    <row r="3" spans="1:15">
      <c r="A3" s="295" t="s">
        <v>398</v>
      </c>
      <c r="B3" s="369"/>
      <c r="C3" s="369"/>
      <c r="D3" s="369"/>
      <c r="E3" s="369"/>
      <c r="F3" s="369"/>
      <c r="G3" s="369"/>
      <c r="H3" s="369"/>
    </row>
    <row r="4" spans="1:15">
      <c r="A4" s="370"/>
      <c r="B4" s="369"/>
      <c r="C4" s="368" t="s">
        <v>0</v>
      </c>
      <c r="D4" s="368" t="s">
        <v>1</v>
      </c>
      <c r="E4" s="368" t="s">
        <v>2</v>
      </c>
      <c r="F4" s="368" t="s">
        <v>3</v>
      </c>
      <c r="G4" s="368" t="s">
        <v>4</v>
      </c>
      <c r="H4" s="368" t="s">
        <v>5</v>
      </c>
    </row>
    <row r="5" spans="1:15" ht="41.55" customHeight="1">
      <c r="A5" s="797" t="s">
        <v>389</v>
      </c>
      <c r="B5" s="798"/>
      <c r="C5" s="811" t="s">
        <v>390</v>
      </c>
      <c r="D5" s="811"/>
      <c r="E5" s="811" t="s">
        <v>627</v>
      </c>
      <c r="F5" s="809" t="s">
        <v>391</v>
      </c>
      <c r="G5" s="809" t="s">
        <v>392</v>
      </c>
      <c r="H5" s="366" t="s">
        <v>626</v>
      </c>
    </row>
    <row r="6" spans="1:15" ht="24">
      <c r="A6" s="801"/>
      <c r="B6" s="802"/>
      <c r="C6" s="367" t="s">
        <v>393</v>
      </c>
      <c r="D6" s="367" t="s">
        <v>394</v>
      </c>
      <c r="E6" s="811"/>
      <c r="F6" s="810"/>
      <c r="G6" s="810"/>
      <c r="H6" s="366" t="s">
        <v>625</v>
      </c>
    </row>
    <row r="7" spans="1:15">
      <c r="A7" s="358">
        <v>1</v>
      </c>
      <c r="B7" s="373" t="s">
        <v>486</v>
      </c>
      <c r="C7" s="573">
        <v>0</v>
      </c>
      <c r="D7" s="573">
        <v>53631899.359200001</v>
      </c>
      <c r="E7" s="573">
        <v>852.58389999999997</v>
      </c>
      <c r="F7" s="573"/>
      <c r="G7" s="573"/>
      <c r="H7" s="574">
        <f t="shared" ref="H7:H34" si="0">C7+D7-E7-F7</f>
        <v>53631046.775300004</v>
      </c>
      <c r="I7" s="647"/>
      <c r="J7" s="647"/>
      <c r="K7" s="647"/>
      <c r="L7" s="647"/>
      <c r="M7" s="647"/>
      <c r="N7" s="647"/>
      <c r="O7" s="647"/>
    </row>
    <row r="8" spans="1:15">
      <c r="A8" s="358">
        <v>2</v>
      </c>
      <c r="B8" s="373" t="s">
        <v>399</v>
      </c>
      <c r="C8" s="573">
        <v>176571.2</v>
      </c>
      <c r="D8" s="573">
        <v>173884862.77419999</v>
      </c>
      <c r="E8" s="573">
        <v>864722.87540000002</v>
      </c>
      <c r="F8" s="573"/>
      <c r="G8" s="573"/>
      <c r="H8" s="574">
        <f t="shared" si="0"/>
        <v>173196711.09879997</v>
      </c>
      <c r="I8" s="647"/>
      <c r="J8" s="647"/>
      <c r="K8" s="647"/>
      <c r="L8" s="647"/>
      <c r="M8" s="647"/>
      <c r="N8" s="647"/>
    </row>
    <row r="9" spans="1:15">
      <c r="A9" s="358">
        <v>3</v>
      </c>
      <c r="B9" s="373" t="s">
        <v>400</v>
      </c>
      <c r="C9" s="573"/>
      <c r="D9" s="573"/>
      <c r="E9" s="573"/>
      <c r="F9" s="573"/>
      <c r="G9" s="573"/>
      <c r="H9" s="574">
        <f t="shared" si="0"/>
        <v>0</v>
      </c>
      <c r="I9" s="647"/>
      <c r="J9" s="647"/>
      <c r="K9" s="647"/>
      <c r="L9" s="647"/>
      <c r="M9" s="647"/>
      <c r="N9" s="647"/>
    </row>
    <row r="10" spans="1:15">
      <c r="A10" s="358">
        <v>4</v>
      </c>
      <c r="B10" s="373" t="s">
        <v>487</v>
      </c>
      <c r="C10" s="573">
        <v>1620878.2863</v>
      </c>
      <c r="D10" s="573">
        <v>41449779.576499999</v>
      </c>
      <c r="E10" s="573">
        <v>469784.48</v>
      </c>
      <c r="F10" s="573"/>
      <c r="G10" s="573">
        <v>1964293.7948</v>
      </c>
      <c r="H10" s="574">
        <f t="shared" si="0"/>
        <v>42600873.382800005</v>
      </c>
      <c r="I10" s="647"/>
      <c r="J10" s="647"/>
      <c r="K10" s="647"/>
      <c r="L10" s="647"/>
      <c r="M10" s="647"/>
      <c r="N10" s="647"/>
    </row>
    <row r="11" spans="1:15">
      <c r="A11" s="358">
        <v>5</v>
      </c>
      <c r="B11" s="373" t="s">
        <v>401</v>
      </c>
      <c r="C11" s="573">
        <v>1440704.14</v>
      </c>
      <c r="D11" s="573">
        <v>60757138.399400003</v>
      </c>
      <c r="E11" s="573">
        <v>280901.33620000002</v>
      </c>
      <c r="F11" s="573"/>
      <c r="G11" s="573"/>
      <c r="H11" s="574">
        <f t="shared" si="0"/>
        <v>61916941.203200005</v>
      </c>
      <c r="I11" s="647"/>
      <c r="J11" s="647"/>
      <c r="K11" s="647"/>
      <c r="L11" s="647"/>
      <c r="M11" s="647"/>
      <c r="N11" s="647"/>
    </row>
    <row r="12" spans="1:15">
      <c r="A12" s="358">
        <v>6</v>
      </c>
      <c r="B12" s="373" t="s">
        <v>402</v>
      </c>
      <c r="C12" s="573">
        <v>199.66</v>
      </c>
      <c r="D12" s="573">
        <v>7015167.8694000002</v>
      </c>
      <c r="E12" s="573">
        <v>47370.6466</v>
      </c>
      <c r="F12" s="573"/>
      <c r="G12" s="573"/>
      <c r="H12" s="574">
        <f t="shared" si="0"/>
        <v>6967996.8828000007</v>
      </c>
      <c r="I12" s="647"/>
      <c r="J12" s="647"/>
      <c r="K12" s="647"/>
      <c r="L12" s="647"/>
      <c r="M12" s="647"/>
      <c r="N12" s="647"/>
    </row>
    <row r="13" spans="1:15">
      <c r="A13" s="358">
        <v>7</v>
      </c>
      <c r="B13" s="373" t="s">
        <v>403</v>
      </c>
      <c r="C13" s="573">
        <v>622.42999999999995</v>
      </c>
      <c r="D13" s="573">
        <v>28098172.749200001</v>
      </c>
      <c r="E13" s="573">
        <v>337632.54310000001</v>
      </c>
      <c r="F13" s="573"/>
      <c r="G13" s="573"/>
      <c r="H13" s="574">
        <f t="shared" si="0"/>
        <v>27761162.636100002</v>
      </c>
      <c r="I13" s="647"/>
      <c r="J13" s="647"/>
      <c r="K13" s="647"/>
      <c r="L13" s="647"/>
      <c r="M13" s="647"/>
      <c r="N13" s="647"/>
    </row>
    <row r="14" spans="1:15">
      <c r="A14" s="358">
        <v>8</v>
      </c>
      <c r="B14" s="373" t="s">
        <v>404</v>
      </c>
      <c r="C14" s="573">
        <v>1039404.7347</v>
      </c>
      <c r="D14" s="573">
        <v>21047629.572999999</v>
      </c>
      <c r="E14" s="573">
        <v>261683.95910000001</v>
      </c>
      <c r="F14" s="573"/>
      <c r="G14" s="573"/>
      <c r="H14" s="574">
        <f t="shared" si="0"/>
        <v>21825350.3486</v>
      </c>
      <c r="I14" s="647"/>
      <c r="J14" s="647"/>
      <c r="K14" s="647"/>
      <c r="L14" s="647"/>
      <c r="M14" s="647"/>
      <c r="N14" s="647"/>
    </row>
    <row r="15" spans="1:15">
      <c r="A15" s="358">
        <v>9</v>
      </c>
      <c r="B15" s="373" t="s">
        <v>405</v>
      </c>
      <c r="C15" s="573">
        <v>0</v>
      </c>
      <c r="D15" s="573">
        <v>5683884.5937999999</v>
      </c>
      <c r="E15" s="573">
        <v>2235.5344</v>
      </c>
      <c r="F15" s="573"/>
      <c r="G15" s="573"/>
      <c r="H15" s="574">
        <f t="shared" si="0"/>
        <v>5681649.0593999997</v>
      </c>
      <c r="I15" s="647"/>
      <c r="J15" s="647"/>
      <c r="K15" s="647"/>
      <c r="L15" s="647"/>
      <c r="M15" s="647"/>
      <c r="N15" s="647"/>
    </row>
    <row r="16" spans="1:15">
      <c r="A16" s="358">
        <v>10</v>
      </c>
      <c r="B16" s="373" t="s">
        <v>406</v>
      </c>
      <c r="C16" s="573">
        <v>0</v>
      </c>
      <c r="D16" s="573">
        <v>1215882.6163000001</v>
      </c>
      <c r="E16" s="573">
        <v>2071.1271000000002</v>
      </c>
      <c r="F16" s="573"/>
      <c r="G16" s="573"/>
      <c r="H16" s="574">
        <f t="shared" si="0"/>
        <v>1213811.4892000002</v>
      </c>
      <c r="I16" s="647"/>
      <c r="J16" s="647"/>
      <c r="K16" s="647"/>
      <c r="L16" s="647"/>
      <c r="M16" s="647"/>
      <c r="N16" s="647"/>
    </row>
    <row r="17" spans="1:14">
      <c r="A17" s="358">
        <v>11</v>
      </c>
      <c r="B17" s="373" t="s">
        <v>407</v>
      </c>
      <c r="C17" s="573">
        <v>0</v>
      </c>
      <c r="D17" s="573">
        <v>0</v>
      </c>
      <c r="E17" s="573">
        <v>0</v>
      </c>
      <c r="F17" s="573"/>
      <c r="G17" s="573"/>
      <c r="H17" s="574">
        <f t="shared" si="0"/>
        <v>0</v>
      </c>
      <c r="I17" s="647"/>
      <c r="J17" s="647"/>
      <c r="K17" s="647"/>
      <c r="L17" s="647"/>
      <c r="M17" s="647"/>
      <c r="N17" s="647"/>
    </row>
    <row r="18" spans="1:14">
      <c r="A18" s="358">
        <v>12</v>
      </c>
      <c r="B18" s="373" t="s">
        <v>408</v>
      </c>
      <c r="C18" s="573">
        <v>639.67999999999995</v>
      </c>
      <c r="D18" s="573">
        <v>37296619.621100001</v>
      </c>
      <c r="E18" s="573">
        <v>236814.28479999999</v>
      </c>
      <c r="F18" s="573"/>
      <c r="G18" s="573"/>
      <c r="H18" s="574">
        <f t="shared" si="0"/>
        <v>37060445.0163</v>
      </c>
      <c r="I18" s="647"/>
      <c r="J18" s="647"/>
      <c r="K18" s="647"/>
      <c r="L18" s="647"/>
      <c r="M18" s="647"/>
      <c r="N18" s="647"/>
    </row>
    <row r="19" spans="1:14">
      <c r="A19" s="358">
        <v>13</v>
      </c>
      <c r="B19" s="373" t="s">
        <v>409</v>
      </c>
      <c r="C19" s="573">
        <v>438228.11119999998</v>
      </c>
      <c r="D19" s="573">
        <v>0</v>
      </c>
      <c r="E19" s="573">
        <v>42718.423799999997</v>
      </c>
      <c r="F19" s="573"/>
      <c r="G19" s="573"/>
      <c r="H19" s="574">
        <f t="shared" si="0"/>
        <v>395509.6874</v>
      </c>
      <c r="I19" s="647"/>
      <c r="J19" s="647"/>
      <c r="K19" s="647"/>
      <c r="L19" s="647"/>
      <c r="M19" s="647"/>
      <c r="N19" s="647"/>
    </row>
    <row r="20" spans="1:14">
      <c r="A20" s="358">
        <v>14</v>
      </c>
      <c r="B20" s="373" t="s">
        <v>410</v>
      </c>
      <c r="C20" s="573">
        <v>2379961.1910999999</v>
      </c>
      <c r="D20" s="573">
        <v>6060446.1803000001</v>
      </c>
      <c r="E20" s="573">
        <v>436432.05530000001</v>
      </c>
      <c r="F20" s="573"/>
      <c r="G20" s="573"/>
      <c r="H20" s="574">
        <f t="shared" si="0"/>
        <v>8003975.3161000004</v>
      </c>
      <c r="I20" s="647"/>
      <c r="J20" s="647"/>
      <c r="K20" s="647"/>
      <c r="L20" s="647"/>
      <c r="M20" s="647"/>
      <c r="N20" s="647"/>
    </row>
    <row r="21" spans="1:14">
      <c r="A21" s="358">
        <v>15</v>
      </c>
      <c r="B21" s="373" t="s">
        <v>411</v>
      </c>
      <c r="C21" s="573">
        <v>9580212.1859000009</v>
      </c>
      <c r="D21" s="573">
        <v>15091251.594799999</v>
      </c>
      <c r="E21" s="573">
        <v>1699791.8895</v>
      </c>
      <c r="F21" s="573"/>
      <c r="G21" s="573"/>
      <c r="H21" s="574">
        <f t="shared" si="0"/>
        <v>22971671.891199999</v>
      </c>
      <c r="I21" s="647"/>
      <c r="J21" s="647"/>
      <c r="K21" s="647"/>
      <c r="L21" s="647"/>
      <c r="M21" s="647"/>
      <c r="N21" s="647"/>
    </row>
    <row r="22" spans="1:14">
      <c r="A22" s="358">
        <v>16</v>
      </c>
      <c r="B22" s="373" t="s">
        <v>412</v>
      </c>
      <c r="C22" s="573"/>
      <c r="D22" s="573"/>
      <c r="E22" s="573"/>
      <c r="F22" s="573"/>
      <c r="G22" s="573"/>
      <c r="H22" s="574">
        <f t="shared" si="0"/>
        <v>0</v>
      </c>
      <c r="I22" s="647"/>
      <c r="J22" s="647"/>
      <c r="K22" s="647"/>
      <c r="L22" s="647"/>
      <c r="M22" s="647"/>
      <c r="N22" s="647"/>
    </row>
    <row r="23" spans="1:14">
      <c r="A23" s="358">
        <v>17</v>
      </c>
      <c r="B23" s="373" t="s">
        <v>490</v>
      </c>
      <c r="C23" s="573">
        <v>0</v>
      </c>
      <c r="D23" s="573">
        <v>8612744.4695999995</v>
      </c>
      <c r="E23" s="573">
        <v>71520.724900000001</v>
      </c>
      <c r="F23" s="573"/>
      <c r="G23" s="573"/>
      <c r="H23" s="574">
        <f t="shared" si="0"/>
        <v>8541223.7446999997</v>
      </c>
      <c r="I23" s="647"/>
      <c r="J23" s="647"/>
      <c r="K23" s="647"/>
      <c r="L23" s="647"/>
      <c r="M23" s="647"/>
      <c r="N23" s="647"/>
    </row>
    <row r="24" spans="1:14">
      <c r="A24" s="358">
        <v>18</v>
      </c>
      <c r="B24" s="373" t="s">
        <v>413</v>
      </c>
      <c r="C24" s="573">
        <v>0</v>
      </c>
      <c r="D24" s="573">
        <v>110962860.98</v>
      </c>
      <c r="E24" s="573">
        <v>658972.31140000001</v>
      </c>
      <c r="F24" s="573"/>
      <c r="G24" s="573"/>
      <c r="H24" s="574">
        <f t="shared" si="0"/>
        <v>110303888.66860001</v>
      </c>
      <c r="I24" s="647"/>
      <c r="J24" s="647"/>
      <c r="K24" s="647"/>
      <c r="L24" s="647"/>
      <c r="M24" s="647"/>
      <c r="N24" s="647"/>
    </row>
    <row r="25" spans="1:14">
      <c r="A25" s="358">
        <v>19</v>
      </c>
      <c r="B25" s="373" t="s">
        <v>414</v>
      </c>
      <c r="C25" s="573"/>
      <c r="D25" s="573"/>
      <c r="E25" s="573"/>
      <c r="F25" s="573"/>
      <c r="G25" s="573"/>
      <c r="H25" s="574">
        <f t="shared" si="0"/>
        <v>0</v>
      </c>
      <c r="I25" s="647"/>
      <c r="J25" s="647"/>
      <c r="K25" s="647"/>
      <c r="L25" s="647"/>
      <c r="M25" s="647"/>
      <c r="N25" s="647"/>
    </row>
    <row r="26" spans="1:14">
      <c r="A26" s="358">
        <v>20</v>
      </c>
      <c r="B26" s="373" t="s">
        <v>489</v>
      </c>
      <c r="C26" s="573">
        <v>0</v>
      </c>
      <c r="D26" s="573">
        <v>10448689.419500001</v>
      </c>
      <c r="E26" s="573">
        <v>197859.59020000001</v>
      </c>
      <c r="F26" s="573"/>
      <c r="G26" s="573"/>
      <c r="H26" s="574">
        <f t="shared" si="0"/>
        <v>10250829.829300001</v>
      </c>
      <c r="I26" s="647"/>
      <c r="J26" s="647"/>
      <c r="K26" s="647"/>
      <c r="L26" s="647"/>
      <c r="M26" s="647"/>
      <c r="N26" s="647"/>
    </row>
    <row r="27" spans="1:14">
      <c r="A27" s="358">
        <v>21</v>
      </c>
      <c r="B27" s="373" t="s">
        <v>415</v>
      </c>
      <c r="C27" s="573"/>
      <c r="D27" s="573"/>
      <c r="E27" s="573"/>
      <c r="F27" s="573"/>
      <c r="G27" s="573"/>
      <c r="H27" s="574">
        <f t="shared" si="0"/>
        <v>0</v>
      </c>
      <c r="I27" s="647"/>
      <c r="J27" s="647"/>
      <c r="K27" s="647"/>
      <c r="L27" s="647"/>
      <c r="M27" s="647"/>
      <c r="N27" s="647"/>
    </row>
    <row r="28" spans="1:14">
      <c r="A28" s="358">
        <v>22</v>
      </c>
      <c r="B28" s="373" t="s">
        <v>416</v>
      </c>
      <c r="C28" s="573">
        <v>0</v>
      </c>
      <c r="D28" s="573">
        <v>21165986.492199998</v>
      </c>
      <c r="E28" s="573">
        <v>310357.4301</v>
      </c>
      <c r="F28" s="573"/>
      <c r="G28" s="573"/>
      <c r="H28" s="574">
        <f t="shared" si="0"/>
        <v>20855629.062099997</v>
      </c>
      <c r="I28" s="647"/>
      <c r="J28" s="647"/>
      <c r="K28" s="647"/>
      <c r="L28" s="647"/>
      <c r="M28" s="647"/>
      <c r="N28" s="647"/>
    </row>
    <row r="29" spans="1:14">
      <c r="A29" s="358">
        <v>23</v>
      </c>
      <c r="B29" s="373" t="s">
        <v>417</v>
      </c>
      <c r="C29" s="573">
        <v>1936750.7879000001</v>
      </c>
      <c r="D29" s="573">
        <v>9057481.4188000001</v>
      </c>
      <c r="E29" s="573">
        <v>266153.08470000001</v>
      </c>
      <c r="F29" s="573"/>
      <c r="G29" s="573"/>
      <c r="H29" s="574">
        <f t="shared" si="0"/>
        <v>10728079.122000001</v>
      </c>
      <c r="I29" s="647"/>
      <c r="J29" s="647"/>
      <c r="K29" s="647"/>
      <c r="L29" s="647"/>
      <c r="M29" s="647"/>
      <c r="N29" s="647"/>
    </row>
    <row r="30" spans="1:14">
      <c r="A30" s="358">
        <v>24</v>
      </c>
      <c r="B30" s="373" t="s">
        <v>488</v>
      </c>
      <c r="C30" s="573">
        <v>10326731.813200001</v>
      </c>
      <c r="D30" s="573">
        <v>3136652.65</v>
      </c>
      <c r="E30" s="573">
        <v>4230737.6546</v>
      </c>
      <c r="F30" s="573"/>
      <c r="G30" s="573"/>
      <c r="H30" s="574">
        <f t="shared" si="0"/>
        <v>9232646.808600001</v>
      </c>
      <c r="I30" s="647"/>
      <c r="J30" s="647"/>
      <c r="K30" s="647"/>
      <c r="L30" s="647"/>
      <c r="M30" s="647"/>
      <c r="N30" s="647"/>
    </row>
    <row r="31" spans="1:14">
      <c r="A31" s="358">
        <v>25</v>
      </c>
      <c r="B31" s="373" t="s">
        <v>418</v>
      </c>
      <c r="C31" s="573">
        <v>0</v>
      </c>
      <c r="D31" s="573">
        <v>506535.46139999997</v>
      </c>
      <c r="E31" s="573">
        <v>0</v>
      </c>
      <c r="F31" s="573"/>
      <c r="G31" s="573"/>
      <c r="H31" s="574">
        <f t="shared" si="0"/>
        <v>506535.46139999997</v>
      </c>
      <c r="I31" s="647"/>
      <c r="J31" s="647"/>
      <c r="K31" s="647"/>
      <c r="L31" s="647"/>
      <c r="M31" s="647"/>
      <c r="N31" s="647"/>
    </row>
    <row r="32" spans="1:14">
      <c r="A32" s="358">
        <v>26</v>
      </c>
      <c r="B32" s="373" t="s">
        <v>485</v>
      </c>
      <c r="C32" s="573">
        <v>842.01829999999995</v>
      </c>
      <c r="D32" s="573">
        <v>15041.7904</v>
      </c>
      <c r="E32" s="573">
        <v>900.06449999999995</v>
      </c>
      <c r="F32" s="573"/>
      <c r="G32" s="573"/>
      <c r="H32" s="574">
        <f t="shared" si="0"/>
        <v>14983.744199999999</v>
      </c>
      <c r="I32" s="647"/>
      <c r="J32" s="647"/>
      <c r="K32" s="647"/>
      <c r="L32" s="647"/>
      <c r="M32" s="647"/>
      <c r="N32" s="647"/>
    </row>
    <row r="33" spans="1:14">
      <c r="A33" s="358">
        <v>27</v>
      </c>
      <c r="B33" s="358" t="s">
        <v>419</v>
      </c>
      <c r="C33" s="573"/>
      <c r="D33" s="573">
        <v>22640727.7892</v>
      </c>
      <c r="E33" s="573"/>
      <c r="F33" s="573"/>
      <c r="G33" s="573"/>
      <c r="H33" s="574">
        <f t="shared" si="0"/>
        <v>22640727.7892</v>
      </c>
      <c r="I33" s="647"/>
      <c r="J33" s="647"/>
      <c r="K33" s="647"/>
      <c r="L33" s="647"/>
      <c r="M33" s="647"/>
      <c r="N33" s="647"/>
    </row>
    <row r="34" spans="1:14">
      <c r="A34" s="358">
        <v>28</v>
      </c>
      <c r="B34" s="362" t="s">
        <v>64</v>
      </c>
      <c r="C34" s="575">
        <f>SUM(C7:C33)</f>
        <v>28941746.238600001</v>
      </c>
      <c r="D34" s="575">
        <f>SUM(D7:D33)</f>
        <v>637779455.37830007</v>
      </c>
      <c r="E34" s="575">
        <f>SUM(E7:E33)</f>
        <v>10419512.5996</v>
      </c>
      <c r="F34" s="575">
        <f>SUM(F7:F33)</f>
        <v>0</v>
      </c>
      <c r="G34" s="575">
        <f>SUM(G7:G33)</f>
        <v>1964293.7948</v>
      </c>
      <c r="H34" s="574">
        <f t="shared" si="0"/>
        <v>656301689.01730013</v>
      </c>
      <c r="I34" s="647"/>
      <c r="J34" s="647"/>
      <c r="K34" s="647"/>
      <c r="L34" s="647"/>
      <c r="M34" s="647"/>
      <c r="N34" s="647"/>
    </row>
    <row r="36" spans="1:14">
      <c r="B36" s="372"/>
      <c r="C36" s="647"/>
      <c r="D36" s="647"/>
      <c r="E36" s="647"/>
      <c r="F36" s="647"/>
      <c r="G36" s="647"/>
      <c r="H36" s="647"/>
    </row>
    <row r="37" spans="1:14">
      <c r="C37" s="647"/>
      <c r="D37" s="647"/>
      <c r="E37" s="647"/>
      <c r="F37" s="647"/>
      <c r="G37" s="647"/>
      <c r="H37" s="647"/>
    </row>
    <row r="38" spans="1:14">
      <c r="C38" s="647"/>
      <c r="D38" s="647"/>
      <c r="E38" s="647"/>
      <c r="F38" s="647"/>
      <c r="G38" s="647"/>
      <c r="H38" s="647"/>
    </row>
    <row r="39" spans="1:14">
      <c r="C39" s="647"/>
      <c r="D39" s="647"/>
      <c r="E39" s="647"/>
      <c r="F39" s="647"/>
      <c r="G39" s="647"/>
      <c r="H39" s="647"/>
    </row>
    <row r="40" spans="1:14">
      <c r="C40" s="647"/>
      <c r="D40" s="647"/>
      <c r="E40" s="647"/>
      <c r="F40" s="647"/>
      <c r="G40" s="647"/>
      <c r="H40" s="647"/>
    </row>
    <row r="41" spans="1:14">
      <c r="C41" s="647"/>
      <c r="D41" s="647"/>
      <c r="E41" s="647"/>
      <c r="F41" s="647"/>
      <c r="G41" s="647"/>
      <c r="H41" s="647"/>
    </row>
    <row r="42" spans="1:14">
      <c r="C42" s="647"/>
      <c r="D42" s="647"/>
      <c r="E42" s="647"/>
      <c r="F42" s="647"/>
      <c r="G42" s="647"/>
      <c r="H42" s="647"/>
    </row>
    <row r="43" spans="1:14">
      <c r="C43" s="647"/>
      <c r="D43" s="647"/>
      <c r="E43" s="647"/>
      <c r="F43" s="647"/>
      <c r="G43" s="647"/>
      <c r="H43" s="647"/>
    </row>
    <row r="44" spans="1:14">
      <c r="C44" s="647"/>
      <c r="D44" s="647"/>
      <c r="E44" s="647"/>
      <c r="F44" s="647"/>
      <c r="G44" s="647"/>
      <c r="H44" s="647"/>
    </row>
    <row r="45" spans="1:14">
      <c r="C45" s="647"/>
      <c r="D45" s="647"/>
      <c r="E45" s="647"/>
      <c r="F45" s="647"/>
      <c r="G45" s="647"/>
      <c r="H45" s="647"/>
    </row>
    <row r="46" spans="1:14">
      <c r="C46" s="647"/>
      <c r="D46" s="647"/>
      <c r="E46" s="647"/>
      <c r="F46" s="647"/>
      <c r="G46" s="647"/>
      <c r="H46" s="647"/>
    </row>
    <row r="47" spans="1:14">
      <c r="C47" s="647"/>
      <c r="D47" s="647"/>
      <c r="E47" s="647"/>
      <c r="F47" s="647"/>
      <c r="G47" s="647"/>
      <c r="H47" s="647"/>
    </row>
    <row r="48" spans="1:14">
      <c r="C48" s="647"/>
      <c r="D48" s="647"/>
      <c r="E48" s="647"/>
      <c r="F48" s="647"/>
      <c r="G48" s="647"/>
      <c r="H48" s="647"/>
    </row>
    <row r="49" spans="3:8">
      <c r="C49" s="647"/>
      <c r="D49" s="647"/>
      <c r="E49" s="647"/>
      <c r="F49" s="647"/>
      <c r="G49" s="647"/>
      <c r="H49" s="647"/>
    </row>
    <row r="50" spans="3:8">
      <c r="C50" s="647"/>
      <c r="D50" s="647"/>
      <c r="E50" s="647"/>
      <c r="F50" s="647"/>
      <c r="G50" s="647"/>
      <c r="H50" s="647"/>
    </row>
    <row r="51" spans="3:8">
      <c r="C51" s="647"/>
      <c r="D51" s="647"/>
      <c r="E51" s="647"/>
      <c r="F51" s="647"/>
      <c r="G51" s="647"/>
      <c r="H51" s="647"/>
    </row>
    <row r="52" spans="3:8">
      <c r="C52" s="647"/>
      <c r="D52" s="647"/>
      <c r="E52" s="647"/>
      <c r="F52" s="647"/>
      <c r="G52" s="647"/>
      <c r="H52" s="647"/>
    </row>
    <row r="53" spans="3:8">
      <c r="C53" s="647"/>
      <c r="D53" s="647"/>
      <c r="E53" s="647"/>
      <c r="F53" s="647"/>
      <c r="G53" s="647"/>
      <c r="H53" s="647"/>
    </row>
    <row r="54" spans="3:8">
      <c r="C54" s="647"/>
      <c r="D54" s="647"/>
      <c r="E54" s="647"/>
      <c r="F54" s="647"/>
      <c r="G54" s="647"/>
      <c r="H54" s="647"/>
    </row>
    <row r="55" spans="3:8">
      <c r="C55" s="647"/>
      <c r="D55" s="647"/>
      <c r="E55" s="647"/>
      <c r="F55" s="647"/>
      <c r="G55" s="647"/>
      <c r="H55" s="647"/>
    </row>
    <row r="56" spans="3:8">
      <c r="C56" s="647"/>
      <c r="D56" s="647"/>
      <c r="E56" s="647"/>
      <c r="F56" s="647"/>
      <c r="G56" s="647"/>
      <c r="H56" s="647"/>
    </row>
    <row r="57" spans="3:8">
      <c r="C57" s="647"/>
      <c r="D57" s="647"/>
      <c r="E57" s="647"/>
      <c r="F57" s="647"/>
      <c r="G57" s="647"/>
      <c r="H57" s="647"/>
    </row>
    <row r="58" spans="3:8">
      <c r="C58" s="647"/>
      <c r="D58" s="647"/>
      <c r="E58" s="647"/>
      <c r="F58" s="647"/>
      <c r="G58" s="647"/>
      <c r="H58" s="647"/>
    </row>
    <row r="59" spans="3:8">
      <c r="C59" s="647"/>
      <c r="D59" s="647"/>
      <c r="E59" s="647"/>
      <c r="F59" s="647"/>
      <c r="G59" s="647"/>
      <c r="H59" s="647"/>
    </row>
    <row r="60" spans="3:8">
      <c r="C60" s="647"/>
      <c r="D60" s="647"/>
      <c r="E60" s="647"/>
      <c r="F60" s="647"/>
      <c r="G60" s="647"/>
      <c r="H60" s="647"/>
    </row>
    <row r="61" spans="3:8">
      <c r="C61" s="647"/>
      <c r="D61" s="647"/>
      <c r="E61" s="647"/>
      <c r="F61" s="647"/>
      <c r="G61" s="647"/>
      <c r="H61" s="647"/>
    </row>
    <row r="62" spans="3:8">
      <c r="C62" s="647"/>
      <c r="D62" s="647"/>
      <c r="E62" s="647"/>
      <c r="F62" s="647"/>
      <c r="G62" s="647"/>
      <c r="H62" s="647"/>
    </row>
    <row r="63" spans="3:8">
      <c r="C63" s="647"/>
      <c r="D63" s="647"/>
      <c r="E63" s="647"/>
      <c r="F63" s="647"/>
      <c r="G63" s="647"/>
      <c r="H63" s="647"/>
    </row>
    <row r="64" spans="3:8">
      <c r="C64" s="572"/>
      <c r="D64" s="572"/>
      <c r="E64" s="572"/>
      <c r="F64" s="572"/>
      <c r="G64" s="572"/>
      <c r="H64" s="572"/>
    </row>
    <row r="65" spans="3:3">
      <c r="C65" s="57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paperSize="9" scale="35" orientation="portrait" horizontalDpi="300" verticalDpi="300" r:id="rId1"/>
  <headerFooter>
    <oddFooter>&amp;C_x000D_&amp;1#&amp;"Aptos"&amp;10&amp;K000000 C4 - EXTERNAL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F30"/>
  <sheetViews>
    <sheetView showGridLines="0" zoomScale="80" zoomScaleNormal="80" workbookViewId="0">
      <selection activeCell="B26" sqref="B26"/>
    </sheetView>
  </sheetViews>
  <sheetFormatPr defaultColWidth="9.21875" defaultRowHeight="12"/>
  <cols>
    <col min="1" max="1" width="11.77734375" style="296" bestFit="1" customWidth="1"/>
    <col min="2" max="2" width="108" style="296" bestFit="1" customWidth="1"/>
    <col min="3" max="3" width="35.5546875" style="296" customWidth="1"/>
    <col min="4" max="4" width="38.44140625" style="296" customWidth="1"/>
    <col min="5" max="16384" width="9.21875" style="296"/>
  </cols>
  <sheetData>
    <row r="1" spans="1:6" ht="13.8">
      <c r="A1" s="294" t="s">
        <v>30</v>
      </c>
      <c r="B1" s="356" t="str">
        <f>'Info '!C2</f>
        <v xml:space="preserve">PASHA Bank Georgia JSC </v>
      </c>
    </row>
    <row r="2" spans="1:6">
      <c r="A2" s="294" t="s">
        <v>31</v>
      </c>
      <c r="B2" s="355">
        <f>'1. key ratios '!B2</f>
        <v>46022</v>
      </c>
    </row>
    <row r="3" spans="1:6">
      <c r="A3" s="295" t="s">
        <v>420</v>
      </c>
    </row>
    <row r="5" spans="1:6">
      <c r="A5" s="812" t="s">
        <v>634</v>
      </c>
      <c r="B5" s="812"/>
      <c r="C5" s="354" t="s">
        <v>437</v>
      </c>
      <c r="D5" s="354" t="s">
        <v>478</v>
      </c>
    </row>
    <row r="6" spans="1:6">
      <c r="A6" s="380">
        <v>1</v>
      </c>
      <c r="B6" s="374" t="s">
        <v>633</v>
      </c>
      <c r="C6" s="571">
        <v>11784926.35153779</v>
      </c>
      <c r="D6" s="571">
        <v>260340.3021</v>
      </c>
      <c r="E6" s="572"/>
      <c r="F6" s="572"/>
    </row>
    <row r="7" spans="1:6">
      <c r="A7" s="378">
        <v>2</v>
      </c>
      <c r="B7" s="374" t="s">
        <v>632</v>
      </c>
      <c r="C7" s="571">
        <f>SUM(C8:C9)</f>
        <v>1150918.6936000001</v>
      </c>
      <c r="D7" s="571">
        <f>SUM(D8:D9)</f>
        <v>483833.89159999997</v>
      </c>
      <c r="E7" s="572"/>
      <c r="F7" s="572"/>
    </row>
    <row r="8" spans="1:6">
      <c r="A8" s="378">
        <v>2.1</v>
      </c>
      <c r="B8" s="379" t="s">
        <v>493</v>
      </c>
      <c r="C8" s="570">
        <v>981442.89950000006</v>
      </c>
      <c r="D8" s="570">
        <v>480553.88569999998</v>
      </c>
      <c r="E8" s="572"/>
      <c r="F8" s="572"/>
    </row>
    <row r="9" spans="1:6">
      <c r="A9" s="378">
        <v>2.2000000000000002</v>
      </c>
      <c r="B9" s="379" t="s">
        <v>491</v>
      </c>
      <c r="C9" s="570">
        <v>169475.7941</v>
      </c>
      <c r="D9" s="570">
        <v>3280.0059000000001</v>
      </c>
      <c r="E9" s="572"/>
      <c r="F9" s="572"/>
    </row>
    <row r="10" spans="1:6">
      <c r="A10" s="380">
        <v>3</v>
      </c>
      <c r="B10" s="374" t="s">
        <v>631</v>
      </c>
      <c r="C10" s="571">
        <f>SUM(C11:C13)</f>
        <v>3418731.2529650098</v>
      </c>
      <c r="D10" s="571">
        <f>SUM(D11:D13)</f>
        <v>108939.8481</v>
      </c>
      <c r="E10" s="572"/>
      <c r="F10" s="572"/>
    </row>
    <row r="11" spans="1:6">
      <c r="A11" s="378">
        <v>3.1</v>
      </c>
      <c r="B11" s="379" t="s">
        <v>422</v>
      </c>
      <c r="C11" s="570">
        <v>0</v>
      </c>
      <c r="D11" s="570"/>
      <c r="E11" s="572"/>
      <c r="F11" s="572"/>
    </row>
    <row r="12" spans="1:6">
      <c r="A12" s="378">
        <v>3.2</v>
      </c>
      <c r="B12" s="379" t="s">
        <v>630</v>
      </c>
      <c r="C12" s="570">
        <v>3041885.3977999999</v>
      </c>
      <c r="D12" s="570">
        <v>86014.013000000006</v>
      </c>
      <c r="E12" s="572"/>
      <c r="F12" s="572"/>
    </row>
    <row r="13" spans="1:6">
      <c r="A13" s="378">
        <v>3.3</v>
      </c>
      <c r="B13" s="379" t="s">
        <v>492</v>
      </c>
      <c r="C13" s="570">
        <v>376845.85516500997</v>
      </c>
      <c r="D13" s="570">
        <v>22925.8351</v>
      </c>
      <c r="E13" s="572"/>
      <c r="F13" s="572"/>
    </row>
    <row r="14" spans="1:6">
      <c r="A14" s="378">
        <v>4</v>
      </c>
      <c r="B14" s="377" t="s">
        <v>629</v>
      </c>
      <c r="C14" s="570">
        <v>-7827.5385999993741</v>
      </c>
      <c r="D14" s="570">
        <v>-49.251600000000003</v>
      </c>
      <c r="E14" s="572"/>
      <c r="F14" s="572"/>
    </row>
    <row r="15" spans="1:6">
      <c r="A15" s="375">
        <v>5</v>
      </c>
      <c r="B15" s="374" t="s">
        <v>628</v>
      </c>
      <c r="C15" s="571">
        <f>C6+C7-C10+C14</f>
        <v>9509286.2535727825</v>
      </c>
      <c r="D15" s="571">
        <f>D6+D7-D10+D14</f>
        <v>635185.09399999992</v>
      </c>
      <c r="E15" s="572"/>
      <c r="F15" s="572"/>
    </row>
    <row r="18" spans="3:4">
      <c r="C18" s="572"/>
      <c r="D18" s="572"/>
    </row>
    <row r="19" spans="3:4">
      <c r="C19" s="572"/>
      <c r="D19" s="572"/>
    </row>
    <row r="20" spans="3:4">
      <c r="C20" s="572"/>
      <c r="D20" s="572"/>
    </row>
    <row r="21" spans="3:4">
      <c r="C21" s="572"/>
      <c r="D21" s="572"/>
    </row>
    <row r="22" spans="3:4">
      <c r="C22" s="572"/>
      <c r="D22" s="572"/>
    </row>
    <row r="23" spans="3:4">
      <c r="C23" s="572"/>
      <c r="D23" s="572"/>
    </row>
    <row r="24" spans="3:4">
      <c r="C24" s="572"/>
      <c r="D24" s="572"/>
    </row>
    <row r="25" spans="3:4">
      <c r="C25" s="572"/>
      <c r="D25" s="572"/>
    </row>
    <row r="26" spans="3:4">
      <c r="C26" s="572"/>
      <c r="D26" s="572"/>
    </row>
    <row r="27" spans="3:4">
      <c r="C27" s="572"/>
      <c r="D27" s="572"/>
    </row>
    <row r="28" spans="3:4">
      <c r="C28" s="572"/>
      <c r="D28" s="572"/>
    </row>
    <row r="29" spans="3:4">
      <c r="C29" s="572"/>
      <c r="D29" s="572"/>
    </row>
    <row r="30" spans="3:4">
      <c r="C30" s="572"/>
      <c r="D30" s="572"/>
    </row>
  </sheetData>
  <mergeCells count="1">
    <mergeCell ref="A5:B5"/>
  </mergeCells>
  <pageMargins left="0.7" right="0.7" top="0.75" bottom="0.75" header="0.3" footer="0.3"/>
  <pageSetup paperSize="9" scale="45" orientation="portrait" horizontalDpi="300" verticalDpi="300" r:id="rId1"/>
  <headerFooter>
    <oddFooter>&amp;C_x000D_&amp;1#&amp;"Aptos"&amp;10&amp;K000000 C4 - EXTERNAL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E33"/>
  <sheetViews>
    <sheetView showGridLines="0" zoomScale="80" zoomScaleNormal="80" workbookViewId="0">
      <selection activeCell="C24" sqref="C24"/>
    </sheetView>
  </sheetViews>
  <sheetFormatPr defaultColWidth="9.21875" defaultRowHeight="12"/>
  <cols>
    <col min="1" max="1" width="11.77734375" style="296" bestFit="1" customWidth="1"/>
    <col min="2" max="2" width="128.88671875" style="296" bestFit="1" customWidth="1"/>
    <col min="3" max="3" width="37" style="296" customWidth="1"/>
    <col min="4" max="4" width="50.5546875" style="296" customWidth="1"/>
    <col min="5" max="16384" width="9.21875" style="296"/>
  </cols>
  <sheetData>
    <row r="1" spans="1:5" ht="13.8">
      <c r="A1" s="294" t="s">
        <v>30</v>
      </c>
      <c r="B1" s="356" t="str">
        <f>'Info '!C2</f>
        <v xml:space="preserve">PASHA Bank Georgia JSC </v>
      </c>
    </row>
    <row r="2" spans="1:5">
      <c r="A2" s="294" t="s">
        <v>31</v>
      </c>
      <c r="B2" s="355">
        <f>'1. key ratios '!B2</f>
        <v>46022</v>
      </c>
    </row>
    <row r="3" spans="1:5">
      <c r="A3" s="295" t="s">
        <v>424</v>
      </c>
    </row>
    <row r="4" spans="1:5">
      <c r="A4" s="295"/>
    </row>
    <row r="5" spans="1:5" ht="15" customHeight="1">
      <c r="A5" s="813" t="s">
        <v>494</v>
      </c>
      <c r="B5" s="814"/>
      <c r="C5" s="817" t="s">
        <v>425</v>
      </c>
      <c r="D5" s="817" t="s">
        <v>426</v>
      </c>
    </row>
    <row r="6" spans="1:5">
      <c r="A6" s="815"/>
      <c r="B6" s="816"/>
      <c r="C6" s="817"/>
      <c r="D6" s="817"/>
    </row>
    <row r="7" spans="1:5">
      <c r="A7" s="347">
        <v>1</v>
      </c>
      <c r="B7" s="347" t="s">
        <v>421</v>
      </c>
      <c r="C7" s="570">
        <v>32029398.4067</v>
      </c>
      <c r="D7" s="381"/>
      <c r="E7" s="572"/>
    </row>
    <row r="8" spans="1:5">
      <c r="A8" s="376">
        <v>2</v>
      </c>
      <c r="B8" s="376" t="s">
        <v>427</v>
      </c>
      <c r="C8" s="570">
        <v>83015.279200000004</v>
      </c>
      <c r="D8" s="381"/>
      <c r="E8" s="572"/>
    </row>
    <row r="9" spans="1:5">
      <c r="A9" s="376">
        <v>3</v>
      </c>
      <c r="B9" s="384" t="s">
        <v>637</v>
      </c>
      <c r="C9" s="570">
        <v>0</v>
      </c>
      <c r="D9" s="381"/>
      <c r="E9" s="572"/>
    </row>
    <row r="10" spans="1:5">
      <c r="A10" s="376">
        <v>4</v>
      </c>
      <c r="B10" s="376" t="s">
        <v>428</v>
      </c>
      <c r="C10" s="571">
        <f>SUM(C11:C17)</f>
        <v>3348977.5672999998</v>
      </c>
      <c r="D10" s="381"/>
      <c r="E10" s="572"/>
    </row>
    <row r="11" spans="1:5">
      <c r="A11" s="376">
        <v>5</v>
      </c>
      <c r="B11" s="383" t="s">
        <v>636</v>
      </c>
      <c r="C11" s="570">
        <v>0</v>
      </c>
      <c r="D11" s="381"/>
      <c r="E11" s="572"/>
    </row>
    <row r="12" spans="1:5">
      <c r="A12" s="376">
        <v>6</v>
      </c>
      <c r="B12" s="383" t="s">
        <v>429</v>
      </c>
      <c r="C12" s="570">
        <v>3325595.8755000001</v>
      </c>
      <c r="D12" s="381"/>
      <c r="E12" s="572"/>
    </row>
    <row r="13" spans="1:5">
      <c r="A13" s="376">
        <v>7</v>
      </c>
      <c r="B13" s="383" t="s">
        <v>432</v>
      </c>
      <c r="C13" s="570">
        <v>0</v>
      </c>
      <c r="D13" s="381"/>
      <c r="E13" s="572"/>
    </row>
    <row r="14" spans="1:5">
      <c r="A14" s="376">
        <v>8</v>
      </c>
      <c r="B14" s="383" t="s">
        <v>430</v>
      </c>
      <c r="C14" s="570">
        <v>0</v>
      </c>
      <c r="D14" s="376"/>
      <c r="E14" s="572"/>
    </row>
    <row r="15" spans="1:5">
      <c r="A15" s="376">
        <v>9</v>
      </c>
      <c r="B15" s="383" t="s">
        <v>431</v>
      </c>
      <c r="C15" s="570"/>
      <c r="D15" s="376"/>
      <c r="E15" s="572"/>
    </row>
    <row r="16" spans="1:5">
      <c r="A16" s="376">
        <v>10</v>
      </c>
      <c r="B16" s="383" t="s">
        <v>433</v>
      </c>
      <c r="C16" s="570"/>
      <c r="D16" s="376"/>
      <c r="E16" s="572"/>
    </row>
    <row r="17" spans="1:5">
      <c r="A17" s="376">
        <v>11</v>
      </c>
      <c r="B17" s="383" t="s">
        <v>635</v>
      </c>
      <c r="C17" s="570">
        <v>23381.691799999833</v>
      </c>
      <c r="D17" s="381"/>
      <c r="E17" s="572"/>
    </row>
    <row r="18" spans="1:5">
      <c r="A18" s="347">
        <v>12</v>
      </c>
      <c r="B18" s="382" t="s">
        <v>423</v>
      </c>
      <c r="C18" s="571">
        <f>C7+C8+C9-C10</f>
        <v>28763436.1186</v>
      </c>
      <c r="D18" s="381"/>
      <c r="E18" s="572"/>
    </row>
    <row r="21" spans="1:5">
      <c r="B21" s="294"/>
      <c r="C21" s="572"/>
    </row>
    <row r="22" spans="1:5">
      <c r="B22" s="294"/>
      <c r="C22" s="572"/>
    </row>
    <row r="23" spans="1:5">
      <c r="B23" s="295"/>
      <c r="C23" s="572"/>
    </row>
    <row r="24" spans="1:5">
      <c r="C24" s="572"/>
    </row>
    <row r="25" spans="1:5">
      <c r="C25" s="572"/>
    </row>
    <row r="26" spans="1:5">
      <c r="C26" s="572"/>
    </row>
    <row r="27" spans="1:5">
      <c r="C27" s="572"/>
    </row>
    <row r="28" spans="1:5">
      <c r="C28" s="572"/>
    </row>
    <row r="29" spans="1:5">
      <c r="C29" s="572"/>
    </row>
    <row r="30" spans="1:5">
      <c r="C30" s="572"/>
    </row>
    <row r="31" spans="1:5">
      <c r="C31" s="572"/>
    </row>
    <row r="32" spans="1:5">
      <c r="C32" s="572"/>
    </row>
    <row r="33" spans="3:3">
      <c r="C33" s="572"/>
    </row>
  </sheetData>
  <mergeCells count="3">
    <mergeCell ref="A5:B6"/>
    <mergeCell ref="C5:C6"/>
    <mergeCell ref="D5:D6"/>
  </mergeCells>
  <pageMargins left="0.7" right="0.7" top="0.75" bottom="0.75" header="0.3" footer="0.3"/>
  <pageSetup paperSize="9" scale="38" orientation="portrait" horizontalDpi="300" verticalDpi="300" r:id="rId1"/>
  <headerFooter>
    <oddFooter>&amp;C_x000D_&amp;1#&amp;"Aptos"&amp;10&amp;K000000 C4 - EXTERNAL CONFIDENTIAL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7"/>
  <sheetViews>
    <sheetView showGridLines="0" zoomScale="80" zoomScaleNormal="80" workbookViewId="0">
      <selection activeCell="D2" sqref="D2"/>
    </sheetView>
  </sheetViews>
  <sheetFormatPr defaultColWidth="9.21875" defaultRowHeight="12"/>
  <cols>
    <col min="1" max="1" width="11.77734375" style="369" bestFit="1" customWidth="1"/>
    <col min="2" max="2" width="63.88671875" style="369" customWidth="1"/>
    <col min="3" max="3" width="17" style="369" customWidth="1"/>
    <col min="4" max="18" width="22.21875" style="369" customWidth="1"/>
    <col min="19" max="19" width="23.21875" style="369" bestFit="1" customWidth="1"/>
    <col min="20" max="26" width="22.21875" style="369" customWidth="1"/>
    <col min="27" max="27" width="23.21875" style="369" bestFit="1" customWidth="1"/>
    <col min="28" max="28" width="20" style="369" customWidth="1"/>
    <col min="29" max="16384" width="9.21875" style="369"/>
  </cols>
  <sheetData>
    <row r="1" spans="1:28" ht="13.8">
      <c r="A1" s="294" t="s">
        <v>30</v>
      </c>
      <c r="B1" s="356" t="str">
        <f>'Info '!C2</f>
        <v xml:space="preserve">PASHA Bank Georgia JSC </v>
      </c>
    </row>
    <row r="2" spans="1:28">
      <c r="A2" s="294" t="s">
        <v>31</v>
      </c>
      <c r="B2" s="355">
        <f>'1. key ratios '!B2</f>
        <v>46022</v>
      </c>
      <c r="C2" s="370"/>
    </row>
    <row r="3" spans="1:28">
      <c r="A3" s="295" t="s">
        <v>434</v>
      </c>
    </row>
    <row r="5" spans="1:28" ht="15" customHeight="1">
      <c r="A5" s="819" t="s">
        <v>649</v>
      </c>
      <c r="B5" s="820"/>
      <c r="C5" s="825" t="s">
        <v>435</v>
      </c>
      <c r="D5" s="826"/>
      <c r="E5" s="826"/>
      <c r="F5" s="826"/>
      <c r="G5" s="826"/>
      <c r="H5" s="826"/>
      <c r="I5" s="826"/>
      <c r="J5" s="826"/>
      <c r="K5" s="826"/>
      <c r="L5" s="826"/>
      <c r="M5" s="826"/>
      <c r="N5" s="826"/>
      <c r="O5" s="826"/>
      <c r="P5" s="826"/>
      <c r="Q5" s="826"/>
      <c r="R5" s="826"/>
      <c r="S5" s="826"/>
      <c r="T5" s="391"/>
      <c r="U5" s="391"/>
      <c r="V5" s="391"/>
      <c r="W5" s="391"/>
      <c r="X5" s="391"/>
      <c r="Y5" s="391"/>
      <c r="Z5" s="391"/>
      <c r="AA5" s="390"/>
      <c r="AB5" s="385"/>
    </row>
    <row r="6" spans="1:28" ht="12" customHeight="1">
      <c r="A6" s="821"/>
      <c r="B6" s="822"/>
      <c r="C6" s="827" t="s">
        <v>64</v>
      </c>
      <c r="D6" s="829" t="s">
        <v>648</v>
      </c>
      <c r="E6" s="829"/>
      <c r="F6" s="829"/>
      <c r="G6" s="829"/>
      <c r="H6" s="829" t="s">
        <v>647</v>
      </c>
      <c r="I6" s="829"/>
      <c r="J6" s="829"/>
      <c r="K6" s="829"/>
      <c r="L6" s="388"/>
      <c r="M6" s="830" t="s">
        <v>646</v>
      </c>
      <c r="N6" s="830"/>
      <c r="O6" s="830"/>
      <c r="P6" s="830"/>
      <c r="Q6" s="830"/>
      <c r="R6" s="830"/>
      <c r="S6" s="810"/>
      <c r="T6" s="389"/>
      <c r="U6" s="818" t="s">
        <v>645</v>
      </c>
      <c r="V6" s="818"/>
      <c r="W6" s="818"/>
      <c r="X6" s="818"/>
      <c r="Y6" s="818"/>
      <c r="Z6" s="818"/>
      <c r="AA6" s="811"/>
      <c r="AB6" s="388"/>
    </row>
    <row r="7" spans="1:28" ht="24">
      <c r="A7" s="823"/>
      <c r="B7" s="824"/>
      <c r="C7" s="828"/>
      <c r="D7" s="387"/>
      <c r="E7" s="366" t="s">
        <v>436</v>
      </c>
      <c r="F7" s="366" t="s">
        <v>643</v>
      </c>
      <c r="G7" s="368" t="s">
        <v>644</v>
      </c>
      <c r="H7" s="370"/>
      <c r="I7" s="366" t="s">
        <v>436</v>
      </c>
      <c r="J7" s="366" t="s">
        <v>643</v>
      </c>
      <c r="K7" s="368" t="s">
        <v>644</v>
      </c>
      <c r="L7" s="386"/>
      <c r="M7" s="366" t="s">
        <v>436</v>
      </c>
      <c r="N7" s="366" t="s">
        <v>643</v>
      </c>
      <c r="O7" s="366" t="s">
        <v>642</v>
      </c>
      <c r="P7" s="366" t="s">
        <v>641</v>
      </c>
      <c r="Q7" s="366" t="s">
        <v>640</v>
      </c>
      <c r="R7" s="366" t="s">
        <v>639</v>
      </c>
      <c r="S7" s="366" t="s">
        <v>638</v>
      </c>
      <c r="T7" s="386"/>
      <c r="U7" s="366" t="s">
        <v>436</v>
      </c>
      <c r="V7" s="366" t="s">
        <v>643</v>
      </c>
      <c r="W7" s="366" t="s">
        <v>642</v>
      </c>
      <c r="X7" s="366" t="s">
        <v>641</v>
      </c>
      <c r="Y7" s="366" t="s">
        <v>640</v>
      </c>
      <c r="Z7" s="366" t="s">
        <v>639</v>
      </c>
      <c r="AA7" s="366" t="s">
        <v>638</v>
      </c>
      <c r="AB7" s="385"/>
    </row>
    <row r="8" spans="1:28" s="667" customFormat="1" ht="13.8" customHeight="1">
      <c r="A8" s="368">
        <v>1</v>
      </c>
      <c r="B8" s="665" t="s">
        <v>437</v>
      </c>
      <c r="C8" s="666">
        <f>SUM(C9:C14)</f>
        <v>432893570.44560003</v>
      </c>
      <c r="D8" s="666">
        <f t="shared" ref="D8:AA8" si="0">SUM(D9:D14)</f>
        <v>402878619.93040001</v>
      </c>
      <c r="E8" s="666">
        <f t="shared" si="0"/>
        <v>0</v>
      </c>
      <c r="F8" s="666">
        <f t="shared" si="0"/>
        <v>0</v>
      </c>
      <c r="G8" s="666">
        <f t="shared" si="0"/>
        <v>0</v>
      </c>
      <c r="H8" s="666">
        <f t="shared" si="0"/>
        <v>1251514.3965999999</v>
      </c>
      <c r="I8" s="666">
        <f t="shared" si="0"/>
        <v>0</v>
      </c>
      <c r="J8" s="666">
        <f t="shared" si="0"/>
        <v>0</v>
      </c>
      <c r="K8" s="666">
        <f t="shared" si="0"/>
        <v>0</v>
      </c>
      <c r="L8" s="666">
        <f t="shared" si="0"/>
        <v>26211495.492399998</v>
      </c>
      <c r="M8" s="666">
        <f t="shared" si="0"/>
        <v>0</v>
      </c>
      <c r="N8" s="666">
        <f t="shared" si="0"/>
        <v>277.93</v>
      </c>
      <c r="O8" s="666">
        <f t="shared" si="0"/>
        <v>438910.72119999997</v>
      </c>
      <c r="P8" s="666">
        <f t="shared" si="0"/>
        <v>2200864.4909000001</v>
      </c>
      <c r="Q8" s="666">
        <f t="shared" si="0"/>
        <v>3567131.7180000003</v>
      </c>
      <c r="R8" s="666">
        <f t="shared" si="0"/>
        <v>11466626.7685</v>
      </c>
      <c r="S8" s="666">
        <f t="shared" si="0"/>
        <v>0</v>
      </c>
      <c r="T8" s="666">
        <f t="shared" si="0"/>
        <v>2551940.6261999998</v>
      </c>
      <c r="U8" s="666">
        <f t="shared" si="0"/>
        <v>0</v>
      </c>
      <c r="V8" s="666">
        <f t="shared" si="0"/>
        <v>0</v>
      </c>
      <c r="W8" s="666">
        <f t="shared" si="0"/>
        <v>0</v>
      </c>
      <c r="X8" s="666">
        <f t="shared" si="0"/>
        <v>0</v>
      </c>
      <c r="Y8" s="666">
        <f t="shared" si="0"/>
        <v>0</v>
      </c>
      <c r="Z8" s="666">
        <f t="shared" si="0"/>
        <v>2551940.6261999998</v>
      </c>
      <c r="AA8" s="666">
        <f t="shared" si="0"/>
        <v>0</v>
      </c>
    </row>
    <row r="9" spans="1:28" s="667" customFormat="1" ht="13.8" customHeight="1">
      <c r="A9" s="668">
        <v>1.1000000000000001</v>
      </c>
      <c r="B9" s="669" t="s">
        <v>438</v>
      </c>
      <c r="C9" s="670"/>
      <c r="D9" s="671"/>
      <c r="E9" s="671"/>
      <c r="F9" s="671"/>
      <c r="G9" s="671"/>
      <c r="H9" s="672"/>
      <c r="I9" s="671"/>
      <c r="J9" s="671"/>
      <c r="K9" s="671"/>
      <c r="L9" s="671"/>
      <c r="M9" s="671"/>
      <c r="N9" s="671"/>
      <c r="O9" s="671"/>
      <c r="P9" s="671"/>
      <c r="Q9" s="671"/>
      <c r="R9" s="671"/>
      <c r="S9" s="671"/>
      <c r="T9" s="671"/>
      <c r="U9" s="671"/>
      <c r="V9" s="671"/>
      <c r="W9" s="671"/>
      <c r="X9" s="671"/>
      <c r="Y9" s="671"/>
      <c r="Z9" s="671"/>
      <c r="AA9" s="671"/>
    </row>
    <row r="10" spans="1:28" s="667" customFormat="1" ht="13.8" customHeight="1">
      <c r="A10" s="668">
        <v>1.2</v>
      </c>
      <c r="B10" s="669" t="s">
        <v>439</v>
      </c>
      <c r="C10" s="675">
        <v>400436.7</v>
      </c>
      <c r="D10" s="671">
        <v>400436.7</v>
      </c>
      <c r="E10" s="671"/>
      <c r="F10" s="671"/>
      <c r="G10" s="671"/>
      <c r="H10" s="672"/>
      <c r="I10" s="671"/>
      <c r="J10" s="671"/>
      <c r="K10" s="671"/>
      <c r="L10" s="671"/>
      <c r="M10" s="671"/>
      <c r="N10" s="671"/>
      <c r="O10" s="671"/>
      <c r="P10" s="671"/>
      <c r="Q10" s="671"/>
      <c r="R10" s="671"/>
      <c r="S10" s="671"/>
      <c r="T10" s="671"/>
      <c r="U10" s="671"/>
      <c r="V10" s="671"/>
      <c r="W10" s="671"/>
      <c r="X10" s="671"/>
      <c r="Y10" s="671"/>
      <c r="Z10" s="671"/>
      <c r="AA10" s="671"/>
    </row>
    <row r="11" spans="1:28" s="667" customFormat="1" ht="13.8" customHeight="1">
      <c r="A11" s="668">
        <v>1.3</v>
      </c>
      <c r="B11" s="669" t="s">
        <v>440</v>
      </c>
      <c r="C11" s="673">
        <v>3009264.92</v>
      </c>
      <c r="D11" s="674">
        <v>3009264.92</v>
      </c>
      <c r="E11" s="672"/>
      <c r="F11" s="672"/>
      <c r="G11" s="672"/>
      <c r="H11" s="674"/>
      <c r="I11" s="672"/>
      <c r="J11" s="672"/>
      <c r="K11" s="672"/>
      <c r="L11" s="672"/>
      <c r="M11" s="672"/>
      <c r="N11" s="672"/>
      <c r="O11" s="672"/>
      <c r="P11" s="672"/>
      <c r="Q11" s="672"/>
      <c r="R11" s="672"/>
      <c r="S11" s="672"/>
      <c r="T11" s="672"/>
      <c r="U11" s="672"/>
      <c r="V11" s="672"/>
      <c r="W11" s="672"/>
      <c r="X11" s="672"/>
      <c r="Y11" s="672"/>
      <c r="Z11" s="672"/>
      <c r="AA11" s="672"/>
    </row>
    <row r="12" spans="1:28" s="667" customFormat="1" ht="13.8" customHeight="1">
      <c r="A12" s="668">
        <v>1.4</v>
      </c>
      <c r="B12" s="669" t="s">
        <v>441</v>
      </c>
      <c r="C12" s="673">
        <v>71019018.314500004</v>
      </c>
      <c r="D12" s="674">
        <v>70857312.314500004</v>
      </c>
      <c r="E12" s="672">
        <v>0</v>
      </c>
      <c r="F12" s="672">
        <v>0</v>
      </c>
      <c r="G12" s="672">
        <v>0</v>
      </c>
      <c r="H12" s="672">
        <v>0</v>
      </c>
      <c r="I12" s="672">
        <v>0</v>
      </c>
      <c r="J12" s="672">
        <v>0</v>
      </c>
      <c r="K12" s="672">
        <v>0</v>
      </c>
      <c r="L12" s="672">
        <v>161706</v>
      </c>
      <c r="M12" s="672">
        <v>0</v>
      </c>
      <c r="N12" s="672">
        <v>0</v>
      </c>
      <c r="O12" s="672">
        <v>0</v>
      </c>
      <c r="P12" s="672">
        <v>0</v>
      </c>
      <c r="Q12" s="672">
        <v>0</v>
      </c>
      <c r="R12" s="672">
        <v>161706</v>
      </c>
      <c r="S12" s="672">
        <v>0</v>
      </c>
      <c r="T12" s="672">
        <v>0</v>
      </c>
      <c r="U12" s="672">
        <v>0</v>
      </c>
      <c r="V12" s="672">
        <v>0</v>
      </c>
      <c r="W12" s="672">
        <v>0</v>
      </c>
      <c r="X12" s="672">
        <v>0</v>
      </c>
      <c r="Y12" s="672">
        <v>0</v>
      </c>
      <c r="Z12" s="672">
        <v>0</v>
      </c>
      <c r="AA12" s="672">
        <v>0</v>
      </c>
    </row>
    <row r="13" spans="1:28" s="667" customFormat="1" ht="13.8" customHeight="1">
      <c r="A13" s="668">
        <v>1.5</v>
      </c>
      <c r="B13" s="669" t="s">
        <v>442</v>
      </c>
      <c r="C13" s="675">
        <v>350287337.43199998</v>
      </c>
      <c r="D13" s="672">
        <v>322403285.19919997</v>
      </c>
      <c r="E13" s="672">
        <v>0</v>
      </c>
      <c r="F13" s="672">
        <v>0</v>
      </c>
      <c r="G13" s="672">
        <v>0</v>
      </c>
      <c r="H13" s="672">
        <v>1251508.0362</v>
      </c>
      <c r="I13" s="672">
        <v>0</v>
      </c>
      <c r="J13" s="672">
        <v>0</v>
      </c>
      <c r="K13" s="672">
        <v>0</v>
      </c>
      <c r="L13" s="672">
        <v>24080603.5704</v>
      </c>
      <c r="M13" s="672">
        <v>0</v>
      </c>
      <c r="N13" s="672">
        <v>0</v>
      </c>
      <c r="O13" s="672">
        <v>438228.11119999998</v>
      </c>
      <c r="P13" s="672">
        <v>2080096.6017</v>
      </c>
      <c r="Q13" s="672">
        <v>3553227.0580000002</v>
      </c>
      <c r="R13" s="672">
        <v>9472604.0840000007</v>
      </c>
      <c r="S13" s="672">
        <v>0</v>
      </c>
      <c r="T13" s="672">
        <v>2551940.6261999998</v>
      </c>
      <c r="U13" s="672">
        <v>0</v>
      </c>
      <c r="V13" s="672">
        <v>0</v>
      </c>
      <c r="W13" s="672">
        <v>0</v>
      </c>
      <c r="X13" s="672">
        <v>0</v>
      </c>
      <c r="Y13" s="672">
        <v>0</v>
      </c>
      <c r="Z13" s="672">
        <v>2551940.6261999998</v>
      </c>
      <c r="AA13" s="672">
        <v>0</v>
      </c>
    </row>
    <row r="14" spans="1:28" s="667" customFormat="1" ht="13.8" customHeight="1">
      <c r="A14" s="668">
        <v>1.6</v>
      </c>
      <c r="B14" s="669" t="s">
        <v>443</v>
      </c>
      <c r="C14" s="675">
        <v>8177513.0790999997</v>
      </c>
      <c r="D14" s="672">
        <v>6208320.7966999998</v>
      </c>
      <c r="E14" s="672">
        <v>0</v>
      </c>
      <c r="F14" s="672">
        <v>0</v>
      </c>
      <c r="G14" s="674">
        <v>0</v>
      </c>
      <c r="H14" s="672">
        <v>6.3604000000000003</v>
      </c>
      <c r="I14" s="672">
        <v>0</v>
      </c>
      <c r="J14" s="672">
        <v>0</v>
      </c>
      <c r="K14" s="672">
        <v>0</v>
      </c>
      <c r="L14" s="672">
        <v>1969185.922</v>
      </c>
      <c r="M14" s="672">
        <v>0</v>
      </c>
      <c r="N14" s="672">
        <v>277.93</v>
      </c>
      <c r="O14" s="672">
        <v>682.61</v>
      </c>
      <c r="P14" s="672">
        <v>120767.88920000001</v>
      </c>
      <c r="Q14" s="672">
        <v>13904.66</v>
      </c>
      <c r="R14" s="672">
        <v>1832316.6845</v>
      </c>
      <c r="S14" s="672">
        <v>0</v>
      </c>
      <c r="T14" s="672">
        <v>0</v>
      </c>
      <c r="U14" s="672">
        <v>0</v>
      </c>
      <c r="V14" s="672">
        <v>0</v>
      </c>
      <c r="W14" s="672">
        <v>0</v>
      </c>
      <c r="X14" s="672">
        <v>0</v>
      </c>
      <c r="Y14" s="672">
        <v>0</v>
      </c>
      <c r="Z14" s="672">
        <v>0</v>
      </c>
      <c r="AA14" s="672">
        <v>0</v>
      </c>
    </row>
    <row r="15" spans="1:28" s="667" customFormat="1" ht="13.8" customHeight="1">
      <c r="A15" s="368">
        <v>2</v>
      </c>
      <c r="B15" s="665" t="s">
        <v>444</v>
      </c>
      <c r="C15" s="666">
        <f>SUM(C16:C21)</f>
        <v>110457118.46000001</v>
      </c>
      <c r="D15" s="666">
        <f t="shared" ref="D15:AA15" si="1">SUM(D16:D21)</f>
        <v>110457118.46000001</v>
      </c>
      <c r="E15" s="666">
        <f t="shared" si="1"/>
        <v>0</v>
      </c>
      <c r="F15" s="666">
        <f t="shared" si="1"/>
        <v>0</v>
      </c>
      <c r="G15" s="666">
        <f t="shared" si="1"/>
        <v>0</v>
      </c>
      <c r="H15" s="666">
        <f t="shared" si="1"/>
        <v>0</v>
      </c>
      <c r="I15" s="666">
        <f t="shared" si="1"/>
        <v>0</v>
      </c>
      <c r="J15" s="666">
        <f t="shared" si="1"/>
        <v>0</v>
      </c>
      <c r="K15" s="666">
        <f t="shared" si="1"/>
        <v>0</v>
      </c>
      <c r="L15" s="666">
        <f t="shared" si="1"/>
        <v>0</v>
      </c>
      <c r="M15" s="666">
        <f t="shared" si="1"/>
        <v>0</v>
      </c>
      <c r="N15" s="666">
        <f t="shared" si="1"/>
        <v>0</v>
      </c>
      <c r="O15" s="666">
        <f t="shared" si="1"/>
        <v>0</v>
      </c>
      <c r="P15" s="666">
        <f t="shared" si="1"/>
        <v>0</v>
      </c>
      <c r="Q15" s="666">
        <f t="shared" si="1"/>
        <v>0</v>
      </c>
      <c r="R15" s="666">
        <f t="shared" si="1"/>
        <v>0</v>
      </c>
      <c r="S15" s="666">
        <f t="shared" si="1"/>
        <v>0</v>
      </c>
      <c r="T15" s="666">
        <f t="shared" si="1"/>
        <v>0</v>
      </c>
      <c r="U15" s="666">
        <f t="shared" si="1"/>
        <v>0</v>
      </c>
      <c r="V15" s="666">
        <f t="shared" si="1"/>
        <v>0</v>
      </c>
      <c r="W15" s="666">
        <f t="shared" si="1"/>
        <v>0</v>
      </c>
      <c r="X15" s="666">
        <f t="shared" si="1"/>
        <v>0</v>
      </c>
      <c r="Y15" s="666">
        <f t="shared" si="1"/>
        <v>0</v>
      </c>
      <c r="Z15" s="666">
        <f t="shared" si="1"/>
        <v>0</v>
      </c>
      <c r="AA15" s="666">
        <f t="shared" si="1"/>
        <v>0</v>
      </c>
    </row>
    <row r="16" spans="1:28" s="667" customFormat="1" ht="13.8" customHeight="1">
      <c r="A16" s="668">
        <v>2.1</v>
      </c>
      <c r="B16" s="669" t="s">
        <v>438</v>
      </c>
      <c r="C16" s="675"/>
      <c r="D16" s="672"/>
      <c r="E16" s="672"/>
      <c r="F16" s="672"/>
      <c r="G16" s="672"/>
      <c r="H16" s="672"/>
      <c r="I16" s="672"/>
      <c r="J16" s="672"/>
      <c r="K16" s="672"/>
      <c r="L16" s="672"/>
      <c r="M16" s="672"/>
      <c r="N16" s="672"/>
      <c r="O16" s="672"/>
      <c r="P16" s="672"/>
      <c r="Q16" s="672"/>
      <c r="R16" s="672"/>
      <c r="S16" s="672"/>
      <c r="T16" s="672"/>
      <c r="U16" s="672"/>
      <c r="V16" s="672"/>
      <c r="W16" s="671"/>
      <c r="X16" s="671"/>
      <c r="Y16" s="671"/>
      <c r="Z16" s="671"/>
      <c r="AA16" s="671"/>
    </row>
    <row r="17" spans="1:27" s="667" customFormat="1" ht="13.8" customHeight="1">
      <c r="A17" s="668">
        <v>2.2000000000000002</v>
      </c>
      <c r="B17" s="669" t="s">
        <v>439</v>
      </c>
      <c r="C17" s="673">
        <v>5469399.9699999997</v>
      </c>
      <c r="D17" s="674">
        <v>5469399.9699999997</v>
      </c>
      <c r="E17" s="672"/>
      <c r="F17" s="672"/>
      <c r="G17" s="672"/>
      <c r="H17" s="672"/>
      <c r="I17" s="672"/>
      <c r="J17" s="672"/>
      <c r="K17" s="672"/>
      <c r="L17" s="672"/>
      <c r="M17" s="672"/>
      <c r="N17" s="672"/>
      <c r="O17" s="672"/>
      <c r="P17" s="672"/>
      <c r="Q17" s="672"/>
      <c r="R17" s="672"/>
      <c r="S17" s="672"/>
      <c r="T17" s="672"/>
      <c r="U17" s="672"/>
      <c r="V17" s="672"/>
      <c r="W17" s="671"/>
      <c r="X17" s="671"/>
      <c r="Y17" s="671"/>
      <c r="Z17" s="671"/>
      <c r="AA17" s="671"/>
    </row>
    <row r="18" spans="1:27" s="667" customFormat="1" ht="13.8" customHeight="1">
      <c r="A18" s="668">
        <v>2.2999999999999998</v>
      </c>
      <c r="B18" s="669" t="s">
        <v>440</v>
      </c>
      <c r="C18" s="673">
        <v>11185433.33</v>
      </c>
      <c r="D18" s="674">
        <v>11185433.33</v>
      </c>
      <c r="E18" s="672">
        <v>0</v>
      </c>
      <c r="F18" s="672">
        <v>0</v>
      </c>
      <c r="G18" s="672">
        <v>0</v>
      </c>
      <c r="H18" s="672">
        <v>0</v>
      </c>
      <c r="I18" s="672">
        <v>0</v>
      </c>
      <c r="J18" s="672">
        <v>0</v>
      </c>
      <c r="K18" s="672">
        <v>0</v>
      </c>
      <c r="L18" s="672">
        <v>0</v>
      </c>
      <c r="M18" s="672">
        <v>0</v>
      </c>
      <c r="N18" s="672">
        <v>0</v>
      </c>
      <c r="O18" s="672">
        <v>0</v>
      </c>
      <c r="P18" s="672">
        <v>0</v>
      </c>
      <c r="Q18" s="672">
        <v>0</v>
      </c>
      <c r="R18" s="672">
        <v>0</v>
      </c>
      <c r="S18" s="672">
        <v>0</v>
      </c>
      <c r="T18" s="672">
        <v>0</v>
      </c>
      <c r="U18" s="672">
        <v>0</v>
      </c>
      <c r="V18" s="672">
        <v>0</v>
      </c>
      <c r="W18" s="671">
        <v>0</v>
      </c>
      <c r="X18" s="671">
        <v>0</v>
      </c>
      <c r="Y18" s="671">
        <v>0</v>
      </c>
      <c r="Z18" s="671">
        <v>0</v>
      </c>
      <c r="AA18" s="671">
        <v>0</v>
      </c>
    </row>
    <row r="19" spans="1:27" s="667" customFormat="1" ht="13.8" customHeight="1">
      <c r="A19" s="668">
        <v>2.4</v>
      </c>
      <c r="B19" s="669" t="s">
        <v>441</v>
      </c>
      <c r="C19" s="673">
        <v>36044531.43</v>
      </c>
      <c r="D19" s="674">
        <v>36044531.43</v>
      </c>
      <c r="E19" s="672">
        <v>0</v>
      </c>
      <c r="F19" s="672">
        <v>0</v>
      </c>
      <c r="G19" s="672">
        <v>0</v>
      </c>
      <c r="H19" s="672">
        <v>0</v>
      </c>
      <c r="I19" s="672">
        <v>0</v>
      </c>
      <c r="J19" s="672">
        <v>0</v>
      </c>
      <c r="K19" s="672">
        <v>0</v>
      </c>
      <c r="L19" s="672">
        <v>0</v>
      </c>
      <c r="M19" s="672">
        <v>0</v>
      </c>
      <c r="N19" s="672">
        <v>0</v>
      </c>
      <c r="O19" s="672">
        <v>0</v>
      </c>
      <c r="P19" s="672">
        <v>0</v>
      </c>
      <c r="Q19" s="672">
        <v>0</v>
      </c>
      <c r="R19" s="672">
        <v>0</v>
      </c>
      <c r="S19" s="672">
        <v>0</v>
      </c>
      <c r="T19" s="672">
        <v>0</v>
      </c>
      <c r="U19" s="672">
        <v>0</v>
      </c>
      <c r="V19" s="672">
        <v>0</v>
      </c>
      <c r="W19" s="671">
        <v>0</v>
      </c>
      <c r="X19" s="671">
        <v>0</v>
      </c>
      <c r="Y19" s="671">
        <v>0</v>
      </c>
      <c r="Z19" s="671">
        <v>0</v>
      </c>
      <c r="AA19" s="671">
        <v>0</v>
      </c>
    </row>
    <row r="20" spans="1:27" s="667" customFormat="1" ht="13.8" customHeight="1">
      <c r="A20" s="668">
        <v>2.5</v>
      </c>
      <c r="B20" s="669" t="s">
        <v>442</v>
      </c>
      <c r="C20" s="673">
        <v>57757753.729999997</v>
      </c>
      <c r="D20" s="674">
        <v>57757753.729999997</v>
      </c>
      <c r="E20" s="672">
        <v>0</v>
      </c>
      <c r="F20" s="672">
        <v>0</v>
      </c>
      <c r="G20" s="672">
        <v>0</v>
      </c>
      <c r="H20" s="672">
        <v>0</v>
      </c>
      <c r="I20" s="672">
        <v>0</v>
      </c>
      <c r="J20" s="672">
        <v>0</v>
      </c>
      <c r="K20" s="672">
        <v>0</v>
      </c>
      <c r="L20" s="672">
        <v>0</v>
      </c>
      <c r="M20" s="672">
        <v>0</v>
      </c>
      <c r="N20" s="672">
        <v>0</v>
      </c>
      <c r="O20" s="672">
        <v>0</v>
      </c>
      <c r="P20" s="672">
        <v>0</v>
      </c>
      <c r="Q20" s="672">
        <v>0</v>
      </c>
      <c r="R20" s="672">
        <v>0</v>
      </c>
      <c r="S20" s="672">
        <v>0</v>
      </c>
      <c r="T20" s="672">
        <v>0</v>
      </c>
      <c r="U20" s="672">
        <v>0</v>
      </c>
      <c r="V20" s="672">
        <v>0</v>
      </c>
      <c r="W20" s="671">
        <v>0</v>
      </c>
      <c r="X20" s="671">
        <v>0</v>
      </c>
      <c r="Y20" s="671">
        <v>0</v>
      </c>
      <c r="Z20" s="671">
        <v>0</v>
      </c>
      <c r="AA20" s="671">
        <v>0</v>
      </c>
    </row>
    <row r="21" spans="1:27" s="667" customFormat="1" ht="13.8" customHeight="1">
      <c r="A21" s="668">
        <v>2.6</v>
      </c>
      <c r="B21" s="669" t="s">
        <v>443</v>
      </c>
      <c r="C21" s="670"/>
      <c r="D21" s="671"/>
      <c r="E21" s="671"/>
      <c r="F21" s="671"/>
      <c r="G21" s="671"/>
      <c r="H21" s="672"/>
      <c r="I21" s="671"/>
      <c r="J21" s="671"/>
      <c r="K21" s="671"/>
      <c r="L21" s="671"/>
      <c r="M21" s="671"/>
      <c r="N21" s="671"/>
      <c r="O21" s="671"/>
      <c r="P21" s="671"/>
      <c r="Q21" s="671"/>
      <c r="R21" s="671"/>
      <c r="S21" s="671"/>
      <c r="T21" s="671"/>
      <c r="U21" s="671"/>
      <c r="V21" s="671"/>
      <c r="W21" s="671"/>
      <c r="X21" s="671"/>
      <c r="Y21" s="671"/>
      <c r="Z21" s="671"/>
      <c r="AA21" s="671"/>
    </row>
    <row r="22" spans="1:27" s="667" customFormat="1" ht="13.8" customHeight="1">
      <c r="A22" s="368">
        <v>3</v>
      </c>
      <c r="B22" s="665" t="s">
        <v>484</v>
      </c>
      <c r="C22" s="666">
        <f>SUM(C23:C28)</f>
        <v>85211232.183899999</v>
      </c>
      <c r="D22" s="666">
        <f>SUM(D23:D28)</f>
        <v>83554582.183899999</v>
      </c>
      <c r="E22" s="676"/>
      <c r="F22" s="676"/>
      <c r="G22" s="676"/>
      <c r="H22" s="666">
        <f>SUM(H23:H28)</f>
        <v>1347550</v>
      </c>
      <c r="I22" s="676"/>
      <c r="J22" s="676"/>
      <c r="K22" s="676"/>
      <c r="L22" s="666">
        <f>SUM(L23:L28)</f>
        <v>309100</v>
      </c>
      <c r="M22" s="676"/>
      <c r="N22" s="676"/>
      <c r="O22" s="676"/>
      <c r="P22" s="676"/>
      <c r="Q22" s="676"/>
      <c r="R22" s="676"/>
      <c r="S22" s="676"/>
      <c r="T22" s="666">
        <f>SUM(T23:T28)</f>
        <v>0</v>
      </c>
      <c r="U22" s="676"/>
      <c r="V22" s="676"/>
      <c r="W22" s="676"/>
      <c r="X22" s="676"/>
      <c r="Y22" s="676"/>
      <c r="Z22" s="676"/>
      <c r="AA22" s="676"/>
    </row>
    <row r="23" spans="1:27" s="667" customFormat="1" ht="13.8" customHeight="1">
      <c r="A23" s="668">
        <v>3.1</v>
      </c>
      <c r="B23" s="669" t="s">
        <v>438</v>
      </c>
      <c r="C23" s="675"/>
      <c r="D23" s="666"/>
      <c r="E23" s="676"/>
      <c r="F23" s="676"/>
      <c r="G23" s="676"/>
      <c r="H23" s="666"/>
      <c r="I23" s="676"/>
      <c r="J23" s="676"/>
      <c r="K23" s="676"/>
      <c r="L23" s="666"/>
      <c r="M23" s="676"/>
      <c r="N23" s="676"/>
      <c r="O23" s="676"/>
      <c r="P23" s="676"/>
      <c r="Q23" s="676"/>
      <c r="R23" s="676"/>
      <c r="S23" s="676"/>
      <c r="T23" s="666"/>
      <c r="U23" s="676"/>
      <c r="V23" s="676"/>
      <c r="W23" s="676"/>
      <c r="X23" s="676"/>
      <c r="Y23" s="676"/>
      <c r="Z23" s="676"/>
      <c r="AA23" s="676"/>
    </row>
    <row r="24" spans="1:27" s="667" customFormat="1" ht="13.8" customHeight="1">
      <c r="A24" s="668">
        <v>3.2</v>
      </c>
      <c r="B24" s="669" t="s">
        <v>439</v>
      </c>
      <c r="C24" s="675"/>
      <c r="D24" s="666"/>
      <c r="E24" s="676"/>
      <c r="F24" s="676"/>
      <c r="G24" s="676"/>
      <c r="H24" s="666"/>
      <c r="I24" s="676"/>
      <c r="J24" s="676"/>
      <c r="K24" s="676"/>
      <c r="L24" s="666"/>
      <c r="M24" s="676"/>
      <c r="N24" s="676"/>
      <c r="O24" s="676"/>
      <c r="P24" s="676"/>
      <c r="Q24" s="676"/>
      <c r="R24" s="676"/>
      <c r="S24" s="676"/>
      <c r="T24" s="666"/>
      <c r="U24" s="676"/>
      <c r="V24" s="676"/>
      <c r="W24" s="676"/>
      <c r="X24" s="676"/>
      <c r="Y24" s="676"/>
      <c r="Z24" s="676"/>
      <c r="AA24" s="676"/>
    </row>
    <row r="25" spans="1:27" s="667" customFormat="1" ht="13.8" customHeight="1">
      <c r="A25" s="668">
        <v>3.3</v>
      </c>
      <c r="B25" s="669" t="s">
        <v>440</v>
      </c>
      <c r="C25" s="675">
        <v>1400000</v>
      </c>
      <c r="D25" s="672">
        <v>1400000</v>
      </c>
      <c r="E25" s="676"/>
      <c r="F25" s="676"/>
      <c r="G25" s="676"/>
      <c r="H25" s="666">
        <v>0</v>
      </c>
      <c r="I25" s="676"/>
      <c r="J25" s="676"/>
      <c r="K25" s="676"/>
      <c r="L25" s="666">
        <v>0</v>
      </c>
      <c r="M25" s="676"/>
      <c r="N25" s="676"/>
      <c r="O25" s="676"/>
      <c r="P25" s="676"/>
      <c r="Q25" s="676"/>
      <c r="R25" s="676"/>
      <c r="S25" s="676"/>
      <c r="T25" s="666">
        <v>0</v>
      </c>
      <c r="U25" s="676"/>
      <c r="V25" s="676"/>
      <c r="W25" s="676"/>
      <c r="X25" s="676"/>
      <c r="Y25" s="676"/>
      <c r="Z25" s="676"/>
      <c r="AA25" s="676"/>
    </row>
    <row r="26" spans="1:27" s="667" customFormat="1" ht="13.8" customHeight="1">
      <c r="A26" s="668">
        <v>3.4</v>
      </c>
      <c r="B26" s="669" t="s">
        <v>441</v>
      </c>
      <c r="C26" s="675">
        <v>2571211.7302999999</v>
      </c>
      <c r="D26" s="672">
        <v>2571211.7302999999</v>
      </c>
      <c r="E26" s="676"/>
      <c r="F26" s="676"/>
      <c r="G26" s="676"/>
      <c r="H26" s="666">
        <v>0</v>
      </c>
      <c r="I26" s="676"/>
      <c r="J26" s="676"/>
      <c r="K26" s="676"/>
      <c r="L26" s="666">
        <v>0</v>
      </c>
      <c r="M26" s="676"/>
      <c r="N26" s="676"/>
      <c r="O26" s="676"/>
      <c r="P26" s="676"/>
      <c r="Q26" s="676"/>
      <c r="R26" s="676"/>
      <c r="S26" s="676"/>
      <c r="T26" s="666">
        <v>0</v>
      </c>
      <c r="U26" s="676"/>
      <c r="V26" s="676"/>
      <c r="W26" s="676"/>
      <c r="X26" s="676"/>
      <c r="Y26" s="676"/>
      <c r="Z26" s="676"/>
      <c r="AA26" s="676"/>
    </row>
    <row r="27" spans="1:27" s="667" customFormat="1" ht="13.8" customHeight="1">
      <c r="A27" s="668">
        <v>3.5</v>
      </c>
      <c r="B27" s="669" t="s">
        <v>442</v>
      </c>
      <c r="C27" s="675">
        <v>78535338.983600006</v>
      </c>
      <c r="D27" s="672">
        <v>76878688.983600006</v>
      </c>
      <c r="E27" s="676"/>
      <c r="F27" s="676"/>
      <c r="G27" s="676"/>
      <c r="H27" s="672">
        <v>1347550</v>
      </c>
      <c r="I27" s="676"/>
      <c r="J27" s="676"/>
      <c r="K27" s="676"/>
      <c r="L27" s="666">
        <v>309100</v>
      </c>
      <c r="M27" s="676"/>
      <c r="N27" s="676"/>
      <c r="O27" s="676"/>
      <c r="P27" s="676"/>
      <c r="Q27" s="676"/>
      <c r="R27" s="676"/>
      <c r="S27" s="676"/>
      <c r="T27" s="666">
        <v>0</v>
      </c>
      <c r="U27" s="676"/>
      <c r="V27" s="676"/>
      <c r="W27" s="676"/>
      <c r="X27" s="676"/>
      <c r="Y27" s="676"/>
      <c r="Z27" s="676"/>
      <c r="AA27" s="676"/>
    </row>
    <row r="28" spans="1:27" s="667" customFormat="1" ht="13.8" customHeight="1">
      <c r="A28" s="668">
        <v>3.6</v>
      </c>
      <c r="B28" s="669" t="s">
        <v>443</v>
      </c>
      <c r="C28" s="675">
        <v>2704681.47</v>
      </c>
      <c r="D28" s="672">
        <v>2704681.47</v>
      </c>
      <c r="E28" s="676"/>
      <c r="F28" s="676"/>
      <c r="G28" s="676"/>
      <c r="H28" s="666">
        <v>0</v>
      </c>
      <c r="I28" s="676"/>
      <c r="J28" s="676"/>
      <c r="K28" s="676"/>
      <c r="L28" s="666">
        <v>0</v>
      </c>
      <c r="M28" s="676"/>
      <c r="N28" s="676"/>
      <c r="O28" s="676"/>
      <c r="P28" s="676"/>
      <c r="Q28" s="676"/>
      <c r="R28" s="676"/>
      <c r="S28" s="676"/>
      <c r="T28" s="666">
        <v>0</v>
      </c>
      <c r="U28" s="676"/>
      <c r="V28" s="676"/>
      <c r="W28" s="676"/>
      <c r="X28" s="676"/>
      <c r="Y28" s="676"/>
      <c r="Z28" s="676"/>
      <c r="AA28" s="676"/>
    </row>
    <row r="30" spans="1:27">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row>
    <row r="31" spans="1:27">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row>
    <row r="32" spans="1:27">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row>
    <row r="33" spans="3:27">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row>
    <row r="34" spans="3:27">
      <c r="C34" s="576"/>
      <c r="D34" s="576"/>
      <c r="E34" s="576"/>
      <c r="F34" s="576"/>
      <c r="G34" s="576"/>
      <c r="H34" s="576"/>
      <c r="I34" s="576"/>
      <c r="J34" s="576"/>
      <c r="K34" s="576"/>
      <c r="L34" s="576"/>
      <c r="M34" s="576"/>
      <c r="N34" s="576"/>
      <c r="O34" s="576"/>
      <c r="P34" s="576"/>
      <c r="Q34" s="576"/>
      <c r="R34" s="576"/>
      <c r="S34" s="576"/>
      <c r="T34" s="576"/>
      <c r="U34" s="576"/>
      <c r="V34" s="576"/>
      <c r="W34" s="576"/>
      <c r="X34" s="576"/>
      <c r="Y34" s="576"/>
      <c r="Z34" s="576"/>
      <c r="AA34" s="576"/>
    </row>
    <row r="35" spans="3:27">
      <c r="C35" s="576"/>
      <c r="D35" s="576"/>
      <c r="E35" s="576"/>
      <c r="F35" s="576"/>
      <c r="G35" s="576"/>
      <c r="H35" s="576"/>
      <c r="I35" s="576"/>
      <c r="J35" s="576"/>
      <c r="K35" s="576"/>
      <c r="L35" s="576"/>
      <c r="M35" s="576"/>
      <c r="N35" s="576"/>
      <c r="O35" s="576"/>
      <c r="P35" s="576"/>
      <c r="Q35" s="576"/>
      <c r="R35" s="576"/>
      <c r="S35" s="576"/>
      <c r="T35" s="576"/>
      <c r="U35" s="576"/>
      <c r="V35" s="576"/>
      <c r="W35" s="576"/>
      <c r="X35" s="576"/>
      <c r="Y35" s="576"/>
      <c r="Z35" s="576"/>
      <c r="AA35" s="576"/>
    </row>
    <row r="36" spans="3:27">
      <c r="C36" s="576"/>
      <c r="D36" s="576"/>
      <c r="E36" s="576"/>
      <c r="F36" s="576"/>
      <c r="G36" s="576"/>
      <c r="H36" s="576"/>
      <c r="I36" s="576"/>
      <c r="J36" s="576"/>
      <c r="K36" s="576"/>
      <c r="L36" s="576"/>
      <c r="M36" s="576"/>
      <c r="N36" s="576"/>
      <c r="O36" s="576"/>
      <c r="P36" s="576"/>
      <c r="Q36" s="576"/>
      <c r="R36" s="576"/>
      <c r="S36" s="576"/>
      <c r="T36" s="576"/>
      <c r="U36" s="576"/>
      <c r="V36" s="576"/>
      <c r="W36" s="576"/>
      <c r="X36" s="576"/>
      <c r="Y36" s="576"/>
      <c r="Z36" s="576"/>
      <c r="AA36" s="576"/>
    </row>
    <row r="37" spans="3:27">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row>
    <row r="38" spans="3:27">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row>
    <row r="39" spans="3:27">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row>
    <row r="40" spans="3:27">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row>
    <row r="41" spans="3:27">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row>
    <row r="42" spans="3:27">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row>
    <row r="43" spans="3:27">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row>
    <row r="44" spans="3:27">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row>
    <row r="45" spans="3:27">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row>
    <row r="46" spans="3:27">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row>
    <row r="47" spans="3:27">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row>
    <row r="48" spans="3:27">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row>
    <row r="49" spans="3:27">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row>
    <row r="50" spans="3:27">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row>
    <row r="51" spans="3:27">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row>
    <row r="52" spans="3:27">
      <c r="C52" s="576"/>
    </row>
    <row r="53" spans="3:27">
      <c r="C53" s="576"/>
    </row>
    <row r="54" spans="3:27">
      <c r="C54" s="576"/>
    </row>
    <row r="55" spans="3:27">
      <c r="C55" s="576"/>
    </row>
    <row r="56" spans="3:27">
      <c r="C56" s="576"/>
    </row>
    <row r="57" spans="3:27">
      <c r="C57" s="576"/>
    </row>
  </sheetData>
  <mergeCells count="7">
    <mergeCell ref="U6:AA6"/>
    <mergeCell ref="A5:B7"/>
    <mergeCell ref="C5:S5"/>
    <mergeCell ref="C6:C7"/>
    <mergeCell ref="D6:G6"/>
    <mergeCell ref="H6:K6"/>
    <mergeCell ref="M6:S6"/>
  </mergeCells>
  <pageMargins left="0.7" right="0.7" top="0.75" bottom="0.75" header="0.3" footer="0.3"/>
  <pageSetup paperSize="9" scale="13" orientation="portrait" horizontalDpi="300" verticalDpi="300" r:id="rId1"/>
  <headerFooter>
    <oddFooter>&amp;C_x000D_&amp;1#&amp;"Aptos"&amp;10&amp;K000000 C4 - EXTERNAL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C45"/>
  <sheetViews>
    <sheetView showGridLines="0" zoomScale="80" zoomScaleNormal="80" workbookViewId="0">
      <selection activeCell="C37" sqref="C37"/>
    </sheetView>
  </sheetViews>
  <sheetFormatPr defaultColWidth="9.21875" defaultRowHeight="12"/>
  <cols>
    <col min="1" max="1" width="14.77734375" style="369" customWidth="1"/>
    <col min="2" max="2" width="90.21875" style="369" bestFit="1" customWidth="1"/>
    <col min="3" max="3" width="20.21875" style="369" customWidth="1"/>
    <col min="4" max="4" width="22.21875" style="369" customWidth="1"/>
    <col min="5" max="7" width="17.109375" style="369" customWidth="1"/>
    <col min="8" max="8" width="22.21875" style="369" customWidth="1"/>
    <col min="9" max="10" width="17.109375" style="369" customWidth="1"/>
    <col min="11" max="27" width="22.21875" style="369" customWidth="1"/>
    <col min="28" max="28" width="10.77734375" style="369" bestFit="1" customWidth="1"/>
    <col min="29" max="29" width="9.5546875" style="369" bestFit="1" customWidth="1"/>
    <col min="30" max="16384" width="9.21875" style="369"/>
  </cols>
  <sheetData>
    <row r="1" spans="1:29" ht="13.8">
      <c r="A1" s="294" t="s">
        <v>30</v>
      </c>
      <c r="B1" s="356" t="str">
        <f>'Info '!C2</f>
        <v xml:space="preserve">PASHA Bank Georgia JSC </v>
      </c>
    </row>
    <row r="2" spans="1:29">
      <c r="A2" s="294" t="s">
        <v>31</v>
      </c>
      <c r="B2" s="355">
        <f>'1. key ratios '!B2</f>
        <v>46022</v>
      </c>
    </row>
    <row r="3" spans="1:29">
      <c r="A3" s="295" t="s">
        <v>446</v>
      </c>
      <c r="C3" s="371"/>
    </row>
    <row r="4" spans="1:29" ht="12.6" thickBot="1">
      <c r="A4" s="295"/>
      <c r="B4" s="371"/>
      <c r="C4" s="371"/>
    </row>
    <row r="5" spans="1:29" ht="13.5" customHeight="1">
      <c r="A5" s="831" t="s">
        <v>652</v>
      </c>
      <c r="B5" s="832"/>
      <c r="C5" s="840" t="s">
        <v>651</v>
      </c>
      <c r="D5" s="841"/>
      <c r="E5" s="841"/>
      <c r="F5" s="841"/>
      <c r="G5" s="841"/>
      <c r="H5" s="841"/>
      <c r="I5" s="841"/>
      <c r="J5" s="841"/>
      <c r="K5" s="841"/>
      <c r="L5" s="841"/>
      <c r="M5" s="841"/>
      <c r="N5" s="841"/>
      <c r="O5" s="841"/>
      <c r="P5" s="841"/>
      <c r="Q5" s="841"/>
      <c r="R5" s="841"/>
      <c r="S5" s="842"/>
      <c r="T5" s="391"/>
      <c r="U5" s="391"/>
      <c r="V5" s="391"/>
      <c r="W5" s="391"/>
      <c r="X5" s="391"/>
      <c r="Y5" s="391"/>
      <c r="Z5" s="391"/>
      <c r="AA5" s="390"/>
    </row>
    <row r="6" spans="1:29" ht="12" customHeight="1">
      <c r="A6" s="833"/>
      <c r="B6" s="834"/>
      <c r="C6" s="837" t="s">
        <v>64</v>
      </c>
      <c r="D6" s="829" t="s">
        <v>648</v>
      </c>
      <c r="E6" s="829"/>
      <c r="F6" s="829"/>
      <c r="G6" s="829"/>
      <c r="H6" s="829" t="s">
        <v>647</v>
      </c>
      <c r="I6" s="829"/>
      <c r="J6" s="829"/>
      <c r="K6" s="829"/>
      <c r="L6" s="388"/>
      <c r="M6" s="830" t="s">
        <v>646</v>
      </c>
      <c r="N6" s="830"/>
      <c r="O6" s="830"/>
      <c r="P6" s="830"/>
      <c r="Q6" s="830"/>
      <c r="R6" s="830"/>
      <c r="S6" s="839"/>
      <c r="T6" s="391"/>
      <c r="U6" s="818" t="s">
        <v>645</v>
      </c>
      <c r="V6" s="818"/>
      <c r="W6" s="818"/>
      <c r="X6" s="818"/>
      <c r="Y6" s="818"/>
      <c r="Z6" s="818"/>
      <c r="AA6" s="811"/>
    </row>
    <row r="7" spans="1:29" ht="24">
      <c r="A7" s="835"/>
      <c r="B7" s="836"/>
      <c r="C7" s="838"/>
      <c r="D7" s="387"/>
      <c r="E7" s="366" t="s">
        <v>436</v>
      </c>
      <c r="F7" s="366" t="s">
        <v>643</v>
      </c>
      <c r="G7" s="368" t="s">
        <v>644</v>
      </c>
      <c r="H7" s="370"/>
      <c r="I7" s="366" t="s">
        <v>436</v>
      </c>
      <c r="J7" s="366" t="s">
        <v>643</v>
      </c>
      <c r="K7" s="368" t="s">
        <v>644</v>
      </c>
      <c r="L7" s="386"/>
      <c r="M7" s="366" t="s">
        <v>436</v>
      </c>
      <c r="N7" s="366" t="s">
        <v>643</v>
      </c>
      <c r="O7" s="366" t="s">
        <v>642</v>
      </c>
      <c r="P7" s="366" t="s">
        <v>641</v>
      </c>
      <c r="Q7" s="366" t="s">
        <v>640</v>
      </c>
      <c r="R7" s="366" t="s">
        <v>639</v>
      </c>
      <c r="S7" s="393" t="s">
        <v>638</v>
      </c>
      <c r="T7" s="392"/>
      <c r="U7" s="366" t="s">
        <v>436</v>
      </c>
      <c r="V7" s="366" t="s">
        <v>643</v>
      </c>
      <c r="W7" s="366" t="s">
        <v>642</v>
      </c>
      <c r="X7" s="366" t="s">
        <v>641</v>
      </c>
      <c r="Y7" s="366" t="s">
        <v>640</v>
      </c>
      <c r="Z7" s="366" t="s">
        <v>639</v>
      </c>
      <c r="AA7" s="366" t="s">
        <v>638</v>
      </c>
    </row>
    <row r="8" spans="1:29" s="667" customFormat="1" ht="22.8" customHeight="1">
      <c r="A8" s="677">
        <v>1</v>
      </c>
      <c r="B8" s="678" t="s">
        <v>437</v>
      </c>
      <c r="C8" s="679">
        <v>429884305.52560002</v>
      </c>
      <c r="D8" s="680">
        <v>399869355.0104</v>
      </c>
      <c r="E8" s="680">
        <v>0</v>
      </c>
      <c r="F8" s="680">
        <v>0</v>
      </c>
      <c r="G8" s="680">
        <v>0</v>
      </c>
      <c r="H8" s="680">
        <v>9120689.6868999992</v>
      </c>
      <c r="I8" s="680">
        <v>0</v>
      </c>
      <c r="J8" s="680">
        <v>0</v>
      </c>
      <c r="K8" s="680">
        <v>6.3604000000000003</v>
      </c>
      <c r="L8" s="680">
        <v>18342320.202100001</v>
      </c>
      <c r="M8" s="680">
        <v>0</v>
      </c>
      <c r="N8" s="680">
        <v>277.93</v>
      </c>
      <c r="O8" s="680">
        <v>438910.72120000003</v>
      </c>
      <c r="P8" s="680">
        <v>2200864.4909000001</v>
      </c>
      <c r="Q8" s="680">
        <v>3567131.7179999999</v>
      </c>
      <c r="R8" s="680">
        <v>11466626.7685</v>
      </c>
      <c r="S8" s="680">
        <v>1236.1483000000001</v>
      </c>
      <c r="T8" s="680">
        <v>2551940.6261999998</v>
      </c>
      <c r="U8" s="680">
        <v>0</v>
      </c>
      <c r="V8" s="680">
        <v>0</v>
      </c>
      <c r="W8" s="680">
        <v>0</v>
      </c>
      <c r="X8" s="680">
        <v>0</v>
      </c>
      <c r="Y8" s="680">
        <v>0</v>
      </c>
      <c r="Z8" s="680">
        <v>2551940.6261999998</v>
      </c>
      <c r="AA8" s="681">
        <v>0</v>
      </c>
      <c r="AB8" s="682"/>
      <c r="AC8" s="682"/>
    </row>
    <row r="9" spans="1:29" s="667" customFormat="1" ht="22.8" customHeight="1">
      <c r="A9" s="683">
        <v>1.1000000000000001</v>
      </c>
      <c r="B9" s="684" t="s">
        <v>447</v>
      </c>
      <c r="C9" s="685">
        <v>410114156.00059998</v>
      </c>
      <c r="D9" s="680">
        <v>380115313.13059998</v>
      </c>
      <c r="E9" s="680">
        <v>0</v>
      </c>
      <c r="F9" s="680">
        <v>0</v>
      </c>
      <c r="G9" s="680">
        <v>0</v>
      </c>
      <c r="H9" s="680">
        <v>9120683.3265000004</v>
      </c>
      <c r="I9" s="680">
        <v>0</v>
      </c>
      <c r="J9" s="680">
        <v>0</v>
      </c>
      <c r="K9" s="680">
        <v>0</v>
      </c>
      <c r="L9" s="680">
        <v>18326218.917300001</v>
      </c>
      <c r="M9" s="680">
        <v>0</v>
      </c>
      <c r="N9" s="680">
        <v>0</v>
      </c>
      <c r="O9" s="680">
        <v>438228.11119999998</v>
      </c>
      <c r="P9" s="680">
        <v>2200864.4909000001</v>
      </c>
      <c r="Q9" s="680">
        <v>3553227.1214999999</v>
      </c>
      <c r="R9" s="680">
        <v>11466626.7685</v>
      </c>
      <c r="S9" s="680">
        <v>0</v>
      </c>
      <c r="T9" s="680">
        <v>2551940.6261999998</v>
      </c>
      <c r="U9" s="680">
        <v>0</v>
      </c>
      <c r="V9" s="680">
        <v>0</v>
      </c>
      <c r="W9" s="680">
        <v>0</v>
      </c>
      <c r="X9" s="680">
        <v>0</v>
      </c>
      <c r="Y9" s="680">
        <v>0</v>
      </c>
      <c r="Z9" s="680">
        <v>2551940.6261999998</v>
      </c>
      <c r="AA9" s="681">
        <v>0</v>
      </c>
      <c r="AB9" s="682"/>
      <c r="AC9" s="682"/>
    </row>
    <row r="10" spans="1:29" s="667" customFormat="1" ht="22.8" customHeight="1">
      <c r="A10" s="683" t="s">
        <v>14</v>
      </c>
      <c r="B10" s="684" t="s">
        <v>448</v>
      </c>
      <c r="C10" s="685">
        <v>282970773.92500001</v>
      </c>
      <c r="D10" s="680">
        <v>253133637.05500001</v>
      </c>
      <c r="E10" s="680">
        <v>0</v>
      </c>
      <c r="F10" s="680">
        <v>0</v>
      </c>
      <c r="G10" s="680">
        <v>0</v>
      </c>
      <c r="H10" s="680">
        <v>9120683.3265000004</v>
      </c>
      <c r="I10" s="680">
        <v>0</v>
      </c>
      <c r="J10" s="680">
        <v>0</v>
      </c>
      <c r="K10" s="680">
        <v>0</v>
      </c>
      <c r="L10" s="680">
        <v>18164512.917300001</v>
      </c>
      <c r="M10" s="680">
        <v>0</v>
      </c>
      <c r="N10" s="680">
        <v>0</v>
      </c>
      <c r="O10" s="680">
        <v>438228.11119999998</v>
      </c>
      <c r="P10" s="680">
        <v>2200864.4909000001</v>
      </c>
      <c r="Q10" s="680">
        <v>3553227.1214999999</v>
      </c>
      <c r="R10" s="680">
        <v>11304920.7685</v>
      </c>
      <c r="S10" s="680">
        <v>0</v>
      </c>
      <c r="T10" s="680">
        <v>2551940.6261999998</v>
      </c>
      <c r="U10" s="680">
        <v>0</v>
      </c>
      <c r="V10" s="680">
        <v>0</v>
      </c>
      <c r="W10" s="680">
        <v>0</v>
      </c>
      <c r="X10" s="680">
        <v>0</v>
      </c>
      <c r="Y10" s="680">
        <v>0</v>
      </c>
      <c r="Z10" s="680">
        <v>2551940.6261999998</v>
      </c>
      <c r="AA10" s="681">
        <v>0</v>
      </c>
      <c r="AB10" s="682"/>
      <c r="AC10" s="682"/>
    </row>
    <row r="11" spans="1:29" s="667" customFormat="1" ht="22.8" customHeight="1">
      <c r="A11" s="686" t="s">
        <v>449</v>
      </c>
      <c r="B11" s="687" t="s">
        <v>450</v>
      </c>
      <c r="C11" s="685">
        <v>142802755.56380001</v>
      </c>
      <c r="D11" s="680">
        <v>133775987.3241</v>
      </c>
      <c r="E11" s="680">
        <v>0</v>
      </c>
      <c r="F11" s="680">
        <v>0</v>
      </c>
      <c r="G11" s="680">
        <v>0</v>
      </c>
      <c r="H11" s="680">
        <v>312928.51909999998</v>
      </c>
      <c r="I11" s="680">
        <v>0</v>
      </c>
      <c r="J11" s="680">
        <v>0</v>
      </c>
      <c r="K11" s="680">
        <v>0</v>
      </c>
      <c r="L11" s="680">
        <v>8713839.7205999997</v>
      </c>
      <c r="M11" s="680">
        <v>0</v>
      </c>
      <c r="N11" s="680">
        <v>0</v>
      </c>
      <c r="O11" s="680">
        <v>438228.11119999998</v>
      </c>
      <c r="P11" s="680">
        <v>2200864.4909000001</v>
      </c>
      <c r="Q11" s="680">
        <v>3553227.1214999999</v>
      </c>
      <c r="R11" s="680">
        <v>1852954.827</v>
      </c>
      <c r="S11" s="680">
        <v>0</v>
      </c>
      <c r="T11" s="680">
        <v>0</v>
      </c>
      <c r="U11" s="680">
        <v>0</v>
      </c>
      <c r="V11" s="680">
        <v>0</v>
      </c>
      <c r="W11" s="680">
        <v>0</v>
      </c>
      <c r="X11" s="680">
        <v>0</v>
      </c>
      <c r="Y11" s="680">
        <v>0</v>
      </c>
      <c r="Z11" s="680">
        <v>0</v>
      </c>
      <c r="AA11" s="681">
        <v>0</v>
      </c>
      <c r="AB11" s="682"/>
      <c r="AC11" s="682"/>
    </row>
    <row r="12" spans="1:29" s="667" customFormat="1" ht="22.8" customHeight="1">
      <c r="A12" s="686" t="s">
        <v>451</v>
      </c>
      <c r="B12" s="687" t="s">
        <v>452</v>
      </c>
      <c r="C12" s="685">
        <v>22354842.732299998</v>
      </c>
      <c r="D12" s="680">
        <v>17183314.782299999</v>
      </c>
      <c r="E12" s="680">
        <v>0</v>
      </c>
      <c r="F12" s="680">
        <v>0</v>
      </c>
      <c r="G12" s="680">
        <v>0</v>
      </c>
      <c r="H12" s="680">
        <v>0</v>
      </c>
      <c r="I12" s="680">
        <v>0</v>
      </c>
      <c r="J12" s="680">
        <v>0</v>
      </c>
      <c r="K12" s="680">
        <v>0</v>
      </c>
      <c r="L12" s="680">
        <v>5171527.95</v>
      </c>
      <c r="M12" s="680">
        <v>0</v>
      </c>
      <c r="N12" s="680">
        <v>0</v>
      </c>
      <c r="O12" s="680">
        <v>0</v>
      </c>
      <c r="P12" s="680">
        <v>0</v>
      </c>
      <c r="Q12" s="680">
        <v>0</v>
      </c>
      <c r="R12" s="680">
        <v>5171527.95</v>
      </c>
      <c r="S12" s="680">
        <v>0</v>
      </c>
      <c r="T12" s="680">
        <v>0</v>
      </c>
      <c r="U12" s="680">
        <v>0</v>
      </c>
      <c r="V12" s="680">
        <v>0</v>
      </c>
      <c r="W12" s="680">
        <v>0</v>
      </c>
      <c r="X12" s="680">
        <v>0</v>
      </c>
      <c r="Y12" s="680">
        <v>0</v>
      </c>
      <c r="Z12" s="680">
        <v>0</v>
      </c>
      <c r="AA12" s="681">
        <v>0</v>
      </c>
      <c r="AB12" s="682"/>
      <c r="AC12" s="682"/>
    </row>
    <row r="13" spans="1:29" s="667" customFormat="1" ht="22.8" customHeight="1">
      <c r="A13" s="686" t="s">
        <v>453</v>
      </c>
      <c r="B13" s="687" t="s">
        <v>454</v>
      </c>
      <c r="C13" s="685">
        <v>64915398.0013</v>
      </c>
      <c r="D13" s="680">
        <v>56901530.4723</v>
      </c>
      <c r="E13" s="680">
        <v>0</v>
      </c>
      <c r="F13" s="680">
        <v>0</v>
      </c>
      <c r="G13" s="680">
        <v>0</v>
      </c>
      <c r="H13" s="680">
        <v>7869340.4999000002</v>
      </c>
      <c r="I13" s="680">
        <v>0</v>
      </c>
      <c r="J13" s="680">
        <v>0</v>
      </c>
      <c r="K13" s="680">
        <v>0</v>
      </c>
      <c r="L13" s="680">
        <v>144527.02910000001</v>
      </c>
      <c r="M13" s="680">
        <v>0</v>
      </c>
      <c r="N13" s="680">
        <v>0</v>
      </c>
      <c r="O13" s="680">
        <v>0</v>
      </c>
      <c r="P13" s="680">
        <v>0</v>
      </c>
      <c r="Q13" s="680">
        <v>0</v>
      </c>
      <c r="R13" s="680">
        <v>144527.02910000001</v>
      </c>
      <c r="S13" s="680">
        <v>0</v>
      </c>
      <c r="T13" s="680">
        <v>0</v>
      </c>
      <c r="U13" s="680">
        <v>0</v>
      </c>
      <c r="V13" s="680">
        <v>0</v>
      </c>
      <c r="W13" s="680">
        <v>0</v>
      </c>
      <c r="X13" s="680">
        <v>0</v>
      </c>
      <c r="Y13" s="680">
        <v>0</v>
      </c>
      <c r="Z13" s="680">
        <v>0</v>
      </c>
      <c r="AA13" s="681">
        <v>0</v>
      </c>
      <c r="AB13" s="682"/>
      <c r="AC13" s="682"/>
    </row>
    <row r="14" spans="1:29" s="667" customFormat="1" ht="22.8" customHeight="1">
      <c r="A14" s="686" t="s">
        <v>455</v>
      </c>
      <c r="B14" s="687" t="s">
        <v>456</v>
      </c>
      <c r="C14" s="685">
        <v>53239021.705200002</v>
      </c>
      <c r="D14" s="680">
        <v>45606606.842299998</v>
      </c>
      <c r="E14" s="680">
        <v>0</v>
      </c>
      <c r="F14" s="680">
        <v>0</v>
      </c>
      <c r="G14" s="680">
        <v>0</v>
      </c>
      <c r="H14" s="680">
        <v>941128.59660000005</v>
      </c>
      <c r="I14" s="680">
        <v>0</v>
      </c>
      <c r="J14" s="680">
        <v>0</v>
      </c>
      <c r="K14" s="680">
        <v>0</v>
      </c>
      <c r="L14" s="680">
        <v>4139345.6401</v>
      </c>
      <c r="M14" s="680">
        <v>0</v>
      </c>
      <c r="N14" s="680">
        <v>0</v>
      </c>
      <c r="O14" s="680">
        <v>0</v>
      </c>
      <c r="P14" s="680">
        <v>0</v>
      </c>
      <c r="Q14" s="680">
        <v>0</v>
      </c>
      <c r="R14" s="680">
        <v>4139345.6401</v>
      </c>
      <c r="S14" s="680">
        <v>0</v>
      </c>
      <c r="T14" s="680">
        <v>2551940.6261999998</v>
      </c>
      <c r="U14" s="680">
        <v>0</v>
      </c>
      <c r="V14" s="680">
        <v>0</v>
      </c>
      <c r="W14" s="680">
        <v>0</v>
      </c>
      <c r="X14" s="680">
        <v>0</v>
      </c>
      <c r="Y14" s="680">
        <v>0</v>
      </c>
      <c r="Z14" s="680">
        <v>2551940.6261999998</v>
      </c>
      <c r="AA14" s="681">
        <v>0</v>
      </c>
      <c r="AB14" s="682"/>
      <c r="AC14" s="682"/>
    </row>
    <row r="15" spans="1:29" s="667" customFormat="1" ht="22.8" customHeight="1">
      <c r="A15" s="686">
        <v>1.2</v>
      </c>
      <c r="B15" s="687" t="s">
        <v>650</v>
      </c>
      <c r="C15" s="685">
        <v>9214116.6206</v>
      </c>
      <c r="D15" s="680">
        <v>2274537.7579000001</v>
      </c>
      <c r="E15" s="680">
        <v>0</v>
      </c>
      <c r="F15" s="680">
        <v>0</v>
      </c>
      <c r="G15" s="680">
        <v>0</v>
      </c>
      <c r="H15" s="680">
        <v>196314.8082</v>
      </c>
      <c r="I15" s="680">
        <v>0</v>
      </c>
      <c r="J15" s="680">
        <v>0</v>
      </c>
      <c r="K15" s="680">
        <v>0</v>
      </c>
      <c r="L15" s="680">
        <v>5574328.5760000004</v>
      </c>
      <c r="M15" s="680">
        <v>0</v>
      </c>
      <c r="N15" s="680">
        <v>0</v>
      </c>
      <c r="O15" s="680">
        <v>42718.423799999997</v>
      </c>
      <c r="P15" s="680">
        <v>218198.83960000001</v>
      </c>
      <c r="Q15" s="680">
        <v>317149.10550000001</v>
      </c>
      <c r="R15" s="680">
        <v>1862450.1413</v>
      </c>
      <c r="S15" s="680">
        <v>0</v>
      </c>
      <c r="T15" s="680">
        <v>1168935.4785</v>
      </c>
      <c r="U15" s="680">
        <v>0</v>
      </c>
      <c r="V15" s="680">
        <v>0</v>
      </c>
      <c r="W15" s="680">
        <v>0</v>
      </c>
      <c r="X15" s="680">
        <v>0</v>
      </c>
      <c r="Y15" s="680">
        <v>0</v>
      </c>
      <c r="Z15" s="680">
        <v>1168935.4785</v>
      </c>
      <c r="AA15" s="681">
        <v>0</v>
      </c>
      <c r="AB15" s="682"/>
      <c r="AC15" s="682"/>
    </row>
    <row r="16" spans="1:29" s="667" customFormat="1" ht="22.8" customHeight="1">
      <c r="A16" s="683">
        <v>1.3</v>
      </c>
      <c r="B16" s="687" t="s">
        <v>495</v>
      </c>
      <c r="C16" s="688"/>
      <c r="D16" s="689"/>
      <c r="E16" s="689"/>
      <c r="F16" s="689"/>
      <c r="G16" s="689"/>
      <c r="H16" s="689"/>
      <c r="I16" s="689"/>
      <c r="J16" s="689"/>
      <c r="K16" s="689"/>
      <c r="L16" s="689"/>
      <c r="M16" s="689"/>
      <c r="N16" s="689"/>
      <c r="O16" s="689"/>
      <c r="P16" s="689"/>
      <c r="Q16" s="689"/>
      <c r="R16" s="689"/>
      <c r="S16" s="689"/>
      <c r="T16" s="689"/>
      <c r="U16" s="689"/>
      <c r="V16" s="689"/>
      <c r="W16" s="689"/>
      <c r="X16" s="689"/>
      <c r="Y16" s="689"/>
      <c r="Z16" s="689"/>
      <c r="AA16" s="690"/>
      <c r="AB16" s="682"/>
      <c r="AC16" s="682"/>
    </row>
    <row r="17" spans="1:29" s="667" customFormat="1" ht="22.8" customHeight="1">
      <c r="A17" s="691" t="s">
        <v>457</v>
      </c>
      <c r="B17" s="692" t="s">
        <v>458</v>
      </c>
      <c r="C17" s="693">
        <v>260348549.82679999</v>
      </c>
      <c r="D17" s="680">
        <v>233365755.31690001</v>
      </c>
      <c r="E17" s="680">
        <v>0</v>
      </c>
      <c r="F17" s="680">
        <v>0</v>
      </c>
      <c r="G17" s="680">
        <v>0</v>
      </c>
      <c r="H17" s="680">
        <v>8769797.1157000009</v>
      </c>
      <c r="I17" s="680">
        <v>0</v>
      </c>
      <c r="J17" s="680">
        <v>0</v>
      </c>
      <c r="K17" s="680">
        <v>0</v>
      </c>
      <c r="L17" s="680">
        <v>15910794.095100001</v>
      </c>
      <c r="M17" s="680">
        <v>0</v>
      </c>
      <c r="N17" s="680">
        <v>0</v>
      </c>
      <c r="O17" s="680">
        <v>427184.23820000002</v>
      </c>
      <c r="P17" s="680">
        <v>2181988.3966000001</v>
      </c>
      <c r="Q17" s="680">
        <v>3171491.0548</v>
      </c>
      <c r="R17" s="680">
        <v>9473585.4055000003</v>
      </c>
      <c r="S17" s="680">
        <v>0</v>
      </c>
      <c r="T17" s="680">
        <v>2302203.2990999999</v>
      </c>
      <c r="U17" s="680">
        <v>0</v>
      </c>
      <c r="V17" s="680">
        <v>0</v>
      </c>
      <c r="W17" s="680">
        <v>0</v>
      </c>
      <c r="X17" s="680">
        <v>0</v>
      </c>
      <c r="Y17" s="680">
        <v>0</v>
      </c>
      <c r="Z17" s="680">
        <v>2302203.2990999999</v>
      </c>
      <c r="AA17" s="681">
        <v>0</v>
      </c>
      <c r="AB17" s="682"/>
      <c r="AC17" s="682"/>
    </row>
    <row r="18" spans="1:29" s="667" customFormat="1" ht="22.8" customHeight="1">
      <c r="A18" s="691" t="s">
        <v>459</v>
      </c>
      <c r="B18" s="692" t="s">
        <v>460</v>
      </c>
      <c r="C18" s="693">
        <v>252265325.02309999</v>
      </c>
      <c r="D18" s="680">
        <v>225282533.20269999</v>
      </c>
      <c r="E18" s="680">
        <v>0</v>
      </c>
      <c r="F18" s="680">
        <v>0</v>
      </c>
      <c r="G18" s="680">
        <v>0</v>
      </c>
      <c r="H18" s="680">
        <v>8769797.1157000009</v>
      </c>
      <c r="I18" s="680">
        <v>0</v>
      </c>
      <c r="J18" s="680">
        <v>0</v>
      </c>
      <c r="K18" s="680">
        <v>0</v>
      </c>
      <c r="L18" s="680">
        <v>15910794.095100001</v>
      </c>
      <c r="M18" s="680">
        <v>0</v>
      </c>
      <c r="N18" s="680">
        <v>0</v>
      </c>
      <c r="O18" s="680">
        <v>427184.23820000002</v>
      </c>
      <c r="P18" s="680">
        <v>2181988.3966000001</v>
      </c>
      <c r="Q18" s="680">
        <v>3171491.0548</v>
      </c>
      <c r="R18" s="680">
        <v>9473585.4055000003</v>
      </c>
      <c r="S18" s="680">
        <v>0</v>
      </c>
      <c r="T18" s="680">
        <v>2302200.6096000001</v>
      </c>
      <c r="U18" s="680">
        <v>0</v>
      </c>
      <c r="V18" s="680">
        <v>0</v>
      </c>
      <c r="W18" s="680">
        <v>0</v>
      </c>
      <c r="X18" s="680">
        <v>0</v>
      </c>
      <c r="Y18" s="680">
        <v>0</v>
      </c>
      <c r="Z18" s="680">
        <v>2302200.6096000001</v>
      </c>
      <c r="AA18" s="681">
        <v>0</v>
      </c>
      <c r="AB18" s="682"/>
      <c r="AC18" s="682"/>
    </row>
    <row r="19" spans="1:29" s="667" customFormat="1" ht="22.8" customHeight="1">
      <c r="A19" s="691" t="s">
        <v>461</v>
      </c>
      <c r="B19" s="692" t="s">
        <v>462</v>
      </c>
      <c r="C19" s="694">
        <v>362898131.40509999</v>
      </c>
      <c r="D19" s="680">
        <v>344357561.15469998</v>
      </c>
      <c r="E19" s="680">
        <v>0</v>
      </c>
      <c r="F19" s="680">
        <v>0</v>
      </c>
      <c r="G19" s="680">
        <v>0</v>
      </c>
      <c r="H19" s="680">
        <v>2131583.0287000001</v>
      </c>
      <c r="I19" s="680">
        <v>0</v>
      </c>
      <c r="J19" s="680">
        <v>0</v>
      </c>
      <c r="K19" s="680">
        <v>0</v>
      </c>
      <c r="L19" s="680">
        <v>16408987.2217</v>
      </c>
      <c r="M19" s="680">
        <v>0</v>
      </c>
      <c r="N19" s="680">
        <v>0</v>
      </c>
      <c r="O19" s="680">
        <v>564349.14280000003</v>
      </c>
      <c r="P19" s="680">
        <v>2960347.1231999998</v>
      </c>
      <c r="Q19" s="680">
        <v>7093875.318</v>
      </c>
      <c r="R19" s="680">
        <v>3653381.7077000001</v>
      </c>
      <c r="S19" s="680">
        <v>0</v>
      </c>
      <c r="T19" s="680">
        <v>0</v>
      </c>
      <c r="U19" s="680">
        <v>0</v>
      </c>
      <c r="V19" s="680">
        <v>0</v>
      </c>
      <c r="W19" s="680">
        <v>0</v>
      </c>
      <c r="X19" s="680">
        <v>0</v>
      </c>
      <c r="Y19" s="680">
        <v>0</v>
      </c>
      <c r="Z19" s="680">
        <v>0</v>
      </c>
      <c r="AA19" s="681">
        <v>0</v>
      </c>
      <c r="AB19" s="682"/>
      <c r="AC19" s="682"/>
    </row>
    <row r="20" spans="1:29" s="667" customFormat="1" ht="22.8" customHeight="1">
      <c r="A20" s="691" t="s">
        <v>463</v>
      </c>
      <c r="B20" s="692" t="s">
        <v>460</v>
      </c>
      <c r="C20" s="694">
        <v>343699041.33459997</v>
      </c>
      <c r="D20" s="680">
        <v>325838415.49190003</v>
      </c>
      <c r="E20" s="680">
        <v>0</v>
      </c>
      <c r="F20" s="680">
        <v>0</v>
      </c>
      <c r="G20" s="680">
        <v>0</v>
      </c>
      <c r="H20" s="680">
        <v>1673580.4295000001</v>
      </c>
      <c r="I20" s="680">
        <v>0</v>
      </c>
      <c r="J20" s="680">
        <v>0</v>
      </c>
      <c r="K20" s="680">
        <v>0</v>
      </c>
      <c r="L20" s="680">
        <v>16187045.4132</v>
      </c>
      <c r="M20" s="680">
        <v>0</v>
      </c>
      <c r="N20" s="680">
        <v>0</v>
      </c>
      <c r="O20" s="680">
        <v>564349.08880000003</v>
      </c>
      <c r="P20" s="680">
        <v>2805225.4149000002</v>
      </c>
      <c r="Q20" s="680">
        <v>7027055.2718000002</v>
      </c>
      <c r="R20" s="680">
        <v>3653381.7077000001</v>
      </c>
      <c r="S20" s="680">
        <v>0</v>
      </c>
      <c r="T20" s="680">
        <v>0</v>
      </c>
      <c r="U20" s="680">
        <v>0</v>
      </c>
      <c r="V20" s="680">
        <v>0</v>
      </c>
      <c r="W20" s="680">
        <v>0</v>
      </c>
      <c r="X20" s="680">
        <v>0</v>
      </c>
      <c r="Y20" s="680">
        <v>0</v>
      </c>
      <c r="Z20" s="680">
        <v>0</v>
      </c>
      <c r="AA20" s="681">
        <v>0</v>
      </c>
      <c r="AB20" s="682"/>
      <c r="AC20" s="682"/>
    </row>
    <row r="21" spans="1:29" s="667" customFormat="1" ht="22.8" customHeight="1">
      <c r="A21" s="695">
        <v>1.4</v>
      </c>
      <c r="B21" s="692" t="s">
        <v>464</v>
      </c>
      <c r="C21" s="694"/>
      <c r="D21" s="680"/>
      <c r="E21" s="680"/>
      <c r="F21" s="680"/>
      <c r="G21" s="680"/>
      <c r="H21" s="680"/>
      <c r="I21" s="680"/>
      <c r="J21" s="680"/>
      <c r="K21" s="680"/>
      <c r="L21" s="680"/>
      <c r="M21" s="680"/>
      <c r="N21" s="680"/>
      <c r="O21" s="680"/>
      <c r="P21" s="680"/>
      <c r="Q21" s="680"/>
      <c r="R21" s="680"/>
      <c r="S21" s="680"/>
      <c r="T21" s="680"/>
      <c r="U21" s="680"/>
      <c r="V21" s="680"/>
      <c r="W21" s="680"/>
      <c r="X21" s="680"/>
      <c r="Y21" s="680"/>
      <c r="Z21" s="680"/>
      <c r="AA21" s="681"/>
      <c r="AB21" s="682"/>
      <c r="AC21" s="682"/>
    </row>
    <row r="22" spans="1:29" s="667" customFormat="1" ht="22.8" customHeight="1" thickBot="1">
      <c r="A22" s="696">
        <v>1.5</v>
      </c>
      <c r="B22" s="697" t="s">
        <v>465</v>
      </c>
      <c r="C22" s="698"/>
      <c r="D22" s="699"/>
      <c r="E22" s="699"/>
      <c r="F22" s="699"/>
      <c r="G22" s="699"/>
      <c r="H22" s="699"/>
      <c r="I22" s="699"/>
      <c r="J22" s="699"/>
      <c r="K22" s="699"/>
      <c r="L22" s="699"/>
      <c r="M22" s="699"/>
      <c r="N22" s="699"/>
      <c r="O22" s="699"/>
      <c r="P22" s="699"/>
      <c r="Q22" s="699"/>
      <c r="R22" s="699"/>
      <c r="S22" s="699"/>
      <c r="T22" s="699"/>
      <c r="U22" s="699"/>
      <c r="V22" s="699"/>
      <c r="W22" s="699"/>
      <c r="X22" s="699"/>
      <c r="Y22" s="699"/>
      <c r="Z22" s="699"/>
      <c r="AA22" s="700"/>
      <c r="AB22" s="682"/>
      <c r="AC22" s="682"/>
    </row>
    <row r="24" spans="1:29">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row>
    <row r="25" spans="1:29">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row>
    <row r="26" spans="1:29">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row>
    <row r="27" spans="1:29">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row>
    <row r="28" spans="1:29">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row>
    <row r="29" spans="1:29">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row>
    <row r="30" spans="1:29">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row>
    <row r="31" spans="1:29">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row>
    <row r="32" spans="1:29">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row>
    <row r="33" spans="3:27">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row>
    <row r="34" spans="3:27">
      <c r="C34" s="576"/>
      <c r="D34" s="576"/>
      <c r="E34" s="576"/>
      <c r="F34" s="576"/>
      <c r="G34" s="576"/>
      <c r="H34" s="576"/>
      <c r="I34" s="576"/>
      <c r="J34" s="576"/>
      <c r="K34" s="576"/>
      <c r="L34" s="576"/>
      <c r="M34" s="576"/>
      <c r="N34" s="576"/>
      <c r="O34" s="576"/>
      <c r="P34" s="576"/>
      <c r="Q34" s="576"/>
      <c r="R34" s="576"/>
      <c r="S34" s="576"/>
      <c r="T34" s="576"/>
      <c r="U34" s="576"/>
      <c r="V34" s="576"/>
      <c r="W34" s="576"/>
      <c r="X34" s="576"/>
      <c r="Y34" s="576"/>
      <c r="Z34" s="576"/>
      <c r="AA34" s="576"/>
    </row>
    <row r="35" spans="3:27">
      <c r="C35" s="576"/>
      <c r="D35" s="576"/>
      <c r="E35" s="576"/>
      <c r="F35" s="576"/>
      <c r="G35" s="576"/>
      <c r="H35" s="576"/>
      <c r="I35" s="576"/>
      <c r="J35" s="576"/>
      <c r="K35" s="576"/>
      <c r="L35" s="576"/>
      <c r="M35" s="576"/>
      <c r="N35" s="576"/>
      <c r="O35" s="576"/>
      <c r="P35" s="576"/>
      <c r="Q35" s="576"/>
      <c r="R35" s="576"/>
      <c r="S35" s="576"/>
      <c r="T35" s="576"/>
      <c r="U35" s="576"/>
      <c r="V35" s="576"/>
      <c r="W35" s="576"/>
      <c r="X35" s="576"/>
      <c r="Y35" s="576"/>
      <c r="Z35" s="576"/>
      <c r="AA35" s="576"/>
    </row>
    <row r="36" spans="3:27">
      <c r="C36" s="576"/>
      <c r="D36" s="576"/>
      <c r="E36" s="576"/>
      <c r="F36" s="576"/>
      <c r="G36" s="576"/>
      <c r="H36" s="576"/>
      <c r="I36" s="576"/>
      <c r="J36" s="576"/>
      <c r="K36" s="576"/>
      <c r="L36" s="576"/>
      <c r="M36" s="576"/>
      <c r="N36" s="576"/>
      <c r="O36" s="576"/>
      <c r="P36" s="576"/>
      <c r="Q36" s="576"/>
      <c r="R36" s="576"/>
      <c r="S36" s="576"/>
      <c r="T36" s="576"/>
      <c r="U36" s="576"/>
      <c r="V36" s="576"/>
      <c r="W36" s="576"/>
      <c r="X36" s="576"/>
      <c r="Y36" s="576"/>
      <c r="Z36" s="576"/>
      <c r="AA36" s="576"/>
    </row>
    <row r="37" spans="3:27">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row>
    <row r="38" spans="3:27">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row>
    <row r="39" spans="3:27">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row>
    <row r="40" spans="3:27">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row>
    <row r="41" spans="3:27">
      <c r="C41" s="576"/>
    </row>
    <row r="42" spans="3:27">
      <c r="C42" s="576"/>
    </row>
    <row r="43" spans="3:27">
      <c r="C43" s="576"/>
    </row>
    <row r="44" spans="3:27">
      <c r="C44" s="576"/>
    </row>
    <row r="45" spans="3:27">
      <c r="C45" s="576"/>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paperSize="9" scale="13" orientation="portrait" horizontalDpi="300" verticalDpi="300" r:id="rId1"/>
  <headerFooter>
    <oddFooter>&amp;C_x000D_&amp;1#&amp;"Aptos"&amp;10&amp;K000000 C4 - EXTERNAL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72"/>
  <sheetViews>
    <sheetView topLeftCell="A48" zoomScale="80" zoomScaleNormal="80" workbookViewId="0">
      <selection activeCell="M14" sqref="M14"/>
    </sheetView>
  </sheetViews>
  <sheetFormatPr defaultColWidth="8.77734375" defaultRowHeight="13.8"/>
  <cols>
    <col min="1" max="1" width="8.77734375" style="455"/>
    <col min="2" max="2" width="69.21875" style="456" customWidth="1"/>
    <col min="3" max="3" width="14.77734375" style="444" bestFit="1" customWidth="1"/>
    <col min="4" max="4" width="14.44140625" style="444" customWidth="1"/>
    <col min="5" max="5" width="14.77734375" style="444" bestFit="1" customWidth="1"/>
    <col min="6" max="6" width="14.33203125" style="444" customWidth="1"/>
    <col min="7" max="8" width="14.77734375" style="444" bestFit="1" customWidth="1"/>
    <col min="9" max="16384" width="8.77734375" style="444"/>
  </cols>
  <sheetData>
    <row r="1" spans="1:14">
      <c r="A1" s="126" t="s">
        <v>30</v>
      </c>
      <c r="B1" s="443" t="str">
        <f>'Info '!C2</f>
        <v xml:space="preserve">PASHA Bank Georgia JSC </v>
      </c>
      <c r="C1" s="443"/>
    </row>
    <row r="2" spans="1:14">
      <c r="A2" s="126" t="s">
        <v>31</v>
      </c>
      <c r="B2" s="445">
        <f>'1. key ratios '!B2</f>
        <v>46022</v>
      </c>
      <c r="C2" s="443"/>
    </row>
    <row r="3" spans="1:14">
      <c r="A3" s="126"/>
      <c r="B3" s="443"/>
      <c r="C3" s="443"/>
    </row>
    <row r="4" spans="1:14" ht="21" customHeight="1">
      <c r="A4" s="735" t="s">
        <v>6</v>
      </c>
      <c r="B4" s="736" t="s">
        <v>521</v>
      </c>
      <c r="C4" s="738" t="s">
        <v>522</v>
      </c>
      <c r="D4" s="738"/>
      <c r="E4" s="738"/>
      <c r="F4" s="738" t="s">
        <v>523</v>
      </c>
      <c r="G4" s="738"/>
      <c r="H4" s="739"/>
    </row>
    <row r="5" spans="1:14" ht="21" customHeight="1">
      <c r="A5" s="735"/>
      <c r="B5" s="737"/>
      <c r="C5" s="446" t="s">
        <v>32</v>
      </c>
      <c r="D5" s="446" t="s">
        <v>33</v>
      </c>
      <c r="E5" s="446" t="s">
        <v>34</v>
      </c>
      <c r="F5" s="446" t="s">
        <v>32</v>
      </c>
      <c r="G5" s="446" t="s">
        <v>33</v>
      </c>
      <c r="H5" s="446" t="s">
        <v>34</v>
      </c>
    </row>
    <row r="6" spans="1:14" ht="26.55" customHeight="1">
      <c r="A6" s="735"/>
      <c r="B6" s="447" t="s">
        <v>524</v>
      </c>
      <c r="C6" s="740"/>
      <c r="D6" s="741"/>
      <c r="E6" s="741"/>
      <c r="F6" s="741"/>
      <c r="G6" s="741"/>
      <c r="H6" s="742"/>
    </row>
    <row r="7" spans="1:14" ht="22.95" customHeight="1">
      <c r="A7" s="448">
        <v>1</v>
      </c>
      <c r="B7" s="593" t="s">
        <v>525</v>
      </c>
      <c r="C7" s="513">
        <f>SUM(C8:C10)</f>
        <v>12770685.0966</v>
      </c>
      <c r="D7" s="513">
        <f>SUM(D8:D10)</f>
        <v>89607599.5141</v>
      </c>
      <c r="E7" s="514">
        <f>C7+D7</f>
        <v>102378284.6107</v>
      </c>
      <c r="F7" s="513">
        <f>SUM(F8:F10)</f>
        <v>27132533.979800001</v>
      </c>
      <c r="G7" s="513">
        <f>SUM(G8:G10)</f>
        <v>169334006.14130002</v>
      </c>
      <c r="H7" s="514">
        <f>F7+G7</f>
        <v>196466540.12110001</v>
      </c>
      <c r="I7" s="517"/>
      <c r="J7" s="517"/>
      <c r="K7" s="517"/>
      <c r="L7" s="517"/>
      <c r="M7" s="517"/>
      <c r="N7" s="517"/>
    </row>
    <row r="8" spans="1:14">
      <c r="A8" s="448">
        <v>1.1000000000000001</v>
      </c>
      <c r="B8" s="592" t="s">
        <v>526</v>
      </c>
      <c r="C8" s="513">
        <v>285431.09999999998</v>
      </c>
      <c r="D8" s="513">
        <v>2096299.8615000001</v>
      </c>
      <c r="E8" s="514">
        <f t="shared" ref="E8:E36" si="0">C8+D8</f>
        <v>2381730.9615000002</v>
      </c>
      <c r="F8" s="513">
        <v>505138.35</v>
      </c>
      <c r="G8" s="513">
        <v>2451680.287</v>
      </c>
      <c r="H8" s="514">
        <f t="shared" ref="H8:H36" si="1">F8+G8</f>
        <v>2956818.6370000001</v>
      </c>
      <c r="I8" s="517"/>
      <c r="J8" s="517"/>
      <c r="K8" s="517"/>
      <c r="L8" s="517"/>
      <c r="M8" s="517"/>
      <c r="N8" s="517"/>
    </row>
    <row r="9" spans="1:14">
      <c r="A9" s="448">
        <v>1.2</v>
      </c>
      <c r="B9" s="592" t="s">
        <v>527</v>
      </c>
      <c r="C9" s="513">
        <v>11091644.640000001</v>
      </c>
      <c r="D9" s="513">
        <v>36670418.049199998</v>
      </c>
      <c r="E9" s="514">
        <f t="shared" si="0"/>
        <v>47762062.689199999</v>
      </c>
      <c r="F9" s="513">
        <v>26347582.9016</v>
      </c>
      <c r="G9" s="513">
        <v>76076690.770600006</v>
      </c>
      <c r="H9" s="514">
        <f t="shared" si="1"/>
        <v>102424273.67220001</v>
      </c>
      <c r="I9" s="517"/>
      <c r="J9" s="517"/>
      <c r="K9" s="517"/>
      <c r="L9" s="517"/>
      <c r="M9" s="517"/>
      <c r="N9" s="517"/>
    </row>
    <row r="10" spans="1:14">
      <c r="A10" s="448">
        <v>1.3</v>
      </c>
      <c r="B10" s="592" t="s">
        <v>528</v>
      </c>
      <c r="C10" s="513">
        <v>1393609.3566000001</v>
      </c>
      <c r="D10" s="513">
        <v>50840881.603399999</v>
      </c>
      <c r="E10" s="514">
        <f t="shared" si="0"/>
        <v>52234490.960000001</v>
      </c>
      <c r="F10" s="513">
        <v>279812.72820000001</v>
      </c>
      <c r="G10" s="513">
        <v>90805635.083700016</v>
      </c>
      <c r="H10" s="514">
        <f t="shared" si="1"/>
        <v>91085447.81190002</v>
      </c>
      <c r="I10" s="517"/>
      <c r="J10" s="517"/>
      <c r="K10" s="517"/>
      <c r="L10" s="517"/>
      <c r="M10" s="517"/>
      <c r="N10" s="517"/>
    </row>
    <row r="11" spans="1:14">
      <c r="A11" s="448">
        <v>2</v>
      </c>
      <c r="B11" s="590" t="s">
        <v>529</v>
      </c>
      <c r="C11" s="513">
        <v>1647959.4818000002</v>
      </c>
      <c r="D11" s="513">
        <v>0</v>
      </c>
      <c r="E11" s="514">
        <f t="shared" si="0"/>
        <v>1647959.4818000002</v>
      </c>
      <c r="F11" s="513">
        <v>396465.22320000001</v>
      </c>
      <c r="G11" s="513"/>
      <c r="H11" s="514">
        <f t="shared" si="1"/>
        <v>396465.22320000001</v>
      </c>
      <c r="I11" s="517"/>
      <c r="J11" s="517"/>
      <c r="K11" s="517"/>
      <c r="L11" s="517"/>
      <c r="M11" s="517"/>
      <c r="N11" s="517"/>
    </row>
    <row r="12" spans="1:14">
      <c r="A12" s="448">
        <v>2.1</v>
      </c>
      <c r="B12" s="591" t="s">
        <v>530</v>
      </c>
      <c r="C12" s="513">
        <v>1647959.4818000002</v>
      </c>
      <c r="D12" s="513"/>
      <c r="E12" s="514">
        <f t="shared" si="0"/>
        <v>1647959.4818000002</v>
      </c>
      <c r="F12" s="513">
        <v>396465.22320000001</v>
      </c>
      <c r="G12" s="513"/>
      <c r="H12" s="514">
        <f t="shared" si="1"/>
        <v>396465.22320000001</v>
      </c>
      <c r="I12" s="517"/>
      <c r="J12" s="517"/>
      <c r="K12" s="517"/>
      <c r="L12" s="517"/>
      <c r="M12" s="517"/>
      <c r="N12" s="517"/>
    </row>
    <row r="13" spans="1:14" ht="26.55" customHeight="1">
      <c r="A13" s="448">
        <v>3</v>
      </c>
      <c r="B13" s="594" t="s">
        <v>531</v>
      </c>
      <c r="C13" s="513"/>
      <c r="D13" s="513"/>
      <c r="E13" s="514">
        <f t="shared" si="0"/>
        <v>0</v>
      </c>
      <c r="F13" s="513"/>
      <c r="G13" s="513"/>
      <c r="H13" s="514">
        <f t="shared" si="1"/>
        <v>0</v>
      </c>
      <c r="I13" s="517"/>
      <c r="J13" s="517"/>
      <c r="K13" s="517"/>
      <c r="L13" s="517"/>
      <c r="M13" s="517"/>
      <c r="N13" s="517"/>
    </row>
    <row r="14" spans="1:14" ht="26.55" customHeight="1">
      <c r="A14" s="448">
        <v>4</v>
      </c>
      <c r="B14" s="585" t="s">
        <v>532</v>
      </c>
      <c r="C14" s="513"/>
      <c r="D14" s="513"/>
      <c r="E14" s="514">
        <f t="shared" si="0"/>
        <v>0</v>
      </c>
      <c r="F14" s="513"/>
      <c r="G14" s="513"/>
      <c r="H14" s="514">
        <f t="shared" si="1"/>
        <v>0</v>
      </c>
      <c r="I14" s="517"/>
      <c r="J14" s="517"/>
      <c r="K14" s="517"/>
      <c r="L14" s="517"/>
      <c r="M14" s="517"/>
      <c r="N14" s="517"/>
    </row>
    <row r="15" spans="1:14" ht="24.45" customHeight="1">
      <c r="A15" s="448">
        <v>5</v>
      </c>
      <c r="B15" s="595" t="s">
        <v>533</v>
      </c>
      <c r="C15" s="515">
        <f>SUM(C16:C18)</f>
        <v>0</v>
      </c>
      <c r="D15" s="515">
        <f>SUM(D16:D18)</f>
        <v>0</v>
      </c>
      <c r="E15" s="516">
        <f t="shared" si="0"/>
        <v>0</v>
      </c>
      <c r="F15" s="515">
        <f>SUM(F16:F18)</f>
        <v>0</v>
      </c>
      <c r="G15" s="515">
        <f>SUM(G16:G18)</f>
        <v>0</v>
      </c>
      <c r="H15" s="516">
        <f t="shared" si="1"/>
        <v>0</v>
      </c>
      <c r="I15" s="517"/>
      <c r="J15" s="517"/>
      <c r="K15" s="517"/>
      <c r="L15" s="517"/>
      <c r="M15" s="517"/>
      <c r="N15" s="517"/>
    </row>
    <row r="16" spans="1:14">
      <c r="A16" s="448">
        <v>5.0999999999999996</v>
      </c>
      <c r="B16" s="596" t="s">
        <v>534</v>
      </c>
      <c r="C16" s="513"/>
      <c r="D16" s="513"/>
      <c r="E16" s="514">
        <f t="shared" si="0"/>
        <v>0</v>
      </c>
      <c r="F16" s="513"/>
      <c r="G16" s="513"/>
      <c r="H16" s="514">
        <f t="shared" si="1"/>
        <v>0</v>
      </c>
      <c r="I16" s="517"/>
      <c r="J16" s="517"/>
      <c r="K16" s="517"/>
      <c r="L16" s="517"/>
      <c r="M16" s="517"/>
      <c r="N16" s="517"/>
    </row>
    <row r="17" spans="1:14">
      <c r="A17" s="448">
        <v>5.2</v>
      </c>
      <c r="B17" s="596" t="s">
        <v>535</v>
      </c>
      <c r="C17" s="513"/>
      <c r="D17" s="513"/>
      <c r="E17" s="514">
        <f t="shared" si="0"/>
        <v>0</v>
      </c>
      <c r="F17" s="513"/>
      <c r="G17" s="513"/>
      <c r="H17" s="514">
        <f t="shared" si="1"/>
        <v>0</v>
      </c>
      <c r="I17" s="517"/>
      <c r="J17" s="517"/>
      <c r="K17" s="517"/>
      <c r="L17" s="517"/>
      <c r="M17" s="517"/>
      <c r="N17" s="517"/>
    </row>
    <row r="18" spans="1:14">
      <c r="A18" s="448">
        <v>5.3</v>
      </c>
      <c r="B18" s="588" t="s">
        <v>536</v>
      </c>
      <c r="C18" s="513"/>
      <c r="D18" s="513"/>
      <c r="E18" s="514">
        <f t="shared" si="0"/>
        <v>0</v>
      </c>
      <c r="F18" s="513"/>
      <c r="G18" s="513"/>
      <c r="H18" s="514">
        <f t="shared" si="1"/>
        <v>0</v>
      </c>
      <c r="I18" s="517"/>
      <c r="J18" s="517"/>
      <c r="K18" s="517"/>
      <c r="L18" s="517"/>
      <c r="M18" s="517"/>
      <c r="N18" s="517"/>
    </row>
    <row r="19" spans="1:14">
      <c r="A19" s="448">
        <v>6</v>
      </c>
      <c r="B19" s="594" t="s">
        <v>537</v>
      </c>
      <c r="C19" s="513">
        <f>SUM(C20:C21)</f>
        <v>239553722.87900001</v>
      </c>
      <c r="D19" s="513">
        <f>SUM(D20:D21)</f>
        <v>293538826.1917001</v>
      </c>
      <c r="E19" s="514">
        <f t="shared" si="0"/>
        <v>533092549.07070011</v>
      </c>
      <c r="F19" s="513">
        <f>SUM(F20:F21)</f>
        <v>256726172.63420004</v>
      </c>
      <c r="G19" s="513">
        <f>SUM(G20:G21)</f>
        <v>224812467.50749996</v>
      </c>
      <c r="H19" s="514">
        <f t="shared" si="1"/>
        <v>481538640.14170003</v>
      </c>
      <c r="I19" s="517"/>
      <c r="J19" s="517"/>
      <c r="K19" s="517"/>
      <c r="L19" s="517"/>
      <c r="M19" s="517"/>
      <c r="N19" s="517"/>
    </row>
    <row r="20" spans="1:14">
      <c r="A20" s="448">
        <v>6.1</v>
      </c>
      <c r="B20" s="596" t="s">
        <v>535</v>
      </c>
      <c r="C20" s="513">
        <v>106981504.3972</v>
      </c>
      <c r="D20" s="513">
        <v>2726760.4815000002</v>
      </c>
      <c r="E20" s="514">
        <f t="shared" si="0"/>
        <v>109708264.8787</v>
      </c>
      <c r="F20" s="513">
        <v>75362165.134300008</v>
      </c>
      <c r="G20" s="513">
        <v>5684817.6825999999</v>
      </c>
      <c r="H20" s="514">
        <f t="shared" si="1"/>
        <v>81046982.816900015</v>
      </c>
      <c r="I20" s="517"/>
      <c r="J20" s="517"/>
      <c r="K20" s="517"/>
      <c r="L20" s="517"/>
      <c r="M20" s="517"/>
      <c r="N20" s="517"/>
    </row>
    <row r="21" spans="1:14">
      <c r="A21" s="448">
        <v>6.2</v>
      </c>
      <c r="B21" s="588" t="s">
        <v>536</v>
      </c>
      <c r="C21" s="513">
        <v>132572218.48179999</v>
      </c>
      <c r="D21" s="513">
        <v>290812065.71020007</v>
      </c>
      <c r="E21" s="514">
        <f t="shared" si="0"/>
        <v>423384284.19200003</v>
      </c>
      <c r="F21" s="513">
        <v>181364007.49990001</v>
      </c>
      <c r="G21" s="513">
        <v>219127649.82489997</v>
      </c>
      <c r="H21" s="514">
        <f t="shared" si="1"/>
        <v>400491657.32480001</v>
      </c>
      <c r="I21" s="517"/>
      <c r="J21" s="517"/>
      <c r="K21" s="517"/>
      <c r="L21" s="517"/>
      <c r="M21" s="517"/>
      <c r="N21" s="517"/>
    </row>
    <row r="22" spans="1:14">
      <c r="A22" s="448">
        <v>7</v>
      </c>
      <c r="B22" s="590" t="s">
        <v>538</v>
      </c>
      <c r="C22" s="513"/>
      <c r="D22" s="513"/>
      <c r="E22" s="514">
        <f t="shared" si="0"/>
        <v>0</v>
      </c>
      <c r="F22" s="513"/>
      <c r="G22" s="513"/>
      <c r="H22" s="514">
        <f t="shared" si="1"/>
        <v>0</v>
      </c>
      <c r="I22" s="517"/>
      <c r="J22" s="517"/>
      <c r="K22" s="517"/>
      <c r="L22" s="517"/>
      <c r="M22" s="517"/>
      <c r="N22" s="517"/>
    </row>
    <row r="23" spans="1:14">
      <c r="A23" s="448">
        <v>8</v>
      </c>
      <c r="B23" s="590" t="s">
        <v>539</v>
      </c>
      <c r="C23" s="513"/>
      <c r="D23" s="513"/>
      <c r="E23" s="514">
        <f t="shared" si="0"/>
        <v>0</v>
      </c>
      <c r="F23" s="513"/>
      <c r="G23" s="513"/>
      <c r="H23" s="514">
        <f t="shared" si="1"/>
        <v>0</v>
      </c>
      <c r="I23" s="517"/>
      <c r="J23" s="517"/>
      <c r="K23" s="517"/>
      <c r="L23" s="517"/>
      <c r="M23" s="517"/>
      <c r="N23" s="517"/>
    </row>
    <row r="24" spans="1:14">
      <c r="A24" s="448">
        <v>9</v>
      </c>
      <c r="B24" s="585" t="s">
        <v>540</v>
      </c>
      <c r="C24" s="513">
        <f>SUM(C25:C26)</f>
        <v>4935218.43</v>
      </c>
      <c r="D24" s="513">
        <f>SUM(D25:D26)</f>
        <v>0</v>
      </c>
      <c r="E24" s="514">
        <f t="shared" si="0"/>
        <v>4935218.43</v>
      </c>
      <c r="F24" s="513">
        <f>SUM(F25:F26)</f>
        <v>2631330.8199999998</v>
      </c>
      <c r="G24" s="513">
        <f>SUM(G25:G26)</f>
        <v>0</v>
      </c>
      <c r="H24" s="514">
        <f t="shared" si="1"/>
        <v>2631330.8199999998</v>
      </c>
      <c r="I24" s="517"/>
      <c r="J24" s="517"/>
      <c r="K24" s="517"/>
      <c r="L24" s="517"/>
      <c r="M24" s="517"/>
      <c r="N24" s="517"/>
    </row>
    <row r="25" spans="1:14">
      <c r="A25" s="448">
        <v>9.1</v>
      </c>
      <c r="B25" s="596" t="s">
        <v>541</v>
      </c>
      <c r="C25" s="513">
        <v>4935218.43</v>
      </c>
      <c r="D25" s="513"/>
      <c r="E25" s="514">
        <f t="shared" si="0"/>
        <v>4935218.43</v>
      </c>
      <c r="F25" s="513">
        <v>2631330.8199999998</v>
      </c>
      <c r="G25" s="513"/>
      <c r="H25" s="514">
        <f t="shared" si="1"/>
        <v>2631330.8199999998</v>
      </c>
      <c r="I25" s="517"/>
      <c r="J25" s="517"/>
      <c r="K25" s="517"/>
      <c r="L25" s="517"/>
      <c r="M25" s="517"/>
      <c r="N25" s="517"/>
    </row>
    <row r="26" spans="1:14">
      <c r="A26" s="448">
        <v>9.1999999999999993</v>
      </c>
      <c r="B26" s="596" t="s">
        <v>542</v>
      </c>
      <c r="C26" s="513"/>
      <c r="D26" s="513"/>
      <c r="E26" s="514">
        <f t="shared" si="0"/>
        <v>0</v>
      </c>
      <c r="F26" s="513"/>
      <c r="G26" s="513"/>
      <c r="H26" s="514">
        <f t="shared" si="1"/>
        <v>0</v>
      </c>
      <c r="I26" s="517"/>
      <c r="J26" s="517"/>
      <c r="K26" s="517"/>
      <c r="L26" s="517"/>
      <c r="M26" s="517"/>
      <c r="N26" s="517"/>
    </row>
    <row r="27" spans="1:14">
      <c r="A27" s="448">
        <v>10</v>
      </c>
      <c r="B27" s="585" t="s">
        <v>543</v>
      </c>
      <c r="C27" s="513">
        <f>SUM(C28:C29)</f>
        <v>2884313.11</v>
      </c>
      <c r="D27" s="513">
        <f>SUM(D28:D29)</f>
        <v>0</v>
      </c>
      <c r="E27" s="514">
        <f t="shared" si="0"/>
        <v>2884313.11</v>
      </c>
      <c r="F27" s="513">
        <f>SUM(F28:F29)</f>
        <v>3356353.85</v>
      </c>
      <c r="G27" s="513">
        <f>SUM(G28:G29)</f>
        <v>0</v>
      </c>
      <c r="H27" s="514">
        <f t="shared" si="1"/>
        <v>3356353.85</v>
      </c>
      <c r="I27" s="517"/>
      <c r="J27" s="517"/>
      <c r="K27" s="517"/>
      <c r="L27" s="517"/>
      <c r="M27" s="517"/>
      <c r="N27" s="517"/>
    </row>
    <row r="28" spans="1:14">
      <c r="A28" s="448">
        <v>10.1</v>
      </c>
      <c r="B28" s="596" t="s">
        <v>544</v>
      </c>
      <c r="C28" s="513"/>
      <c r="D28" s="513"/>
      <c r="E28" s="514">
        <f t="shared" si="0"/>
        <v>0</v>
      </c>
      <c r="F28" s="513"/>
      <c r="G28" s="513"/>
      <c r="H28" s="514">
        <f t="shared" si="1"/>
        <v>0</v>
      </c>
      <c r="I28" s="517"/>
      <c r="J28" s="517"/>
      <c r="K28" s="517"/>
      <c r="L28" s="517"/>
      <c r="M28" s="517"/>
      <c r="N28" s="517"/>
    </row>
    <row r="29" spans="1:14">
      <c r="A29" s="448">
        <v>10.199999999999999</v>
      </c>
      <c r="B29" s="596" t="s">
        <v>545</v>
      </c>
      <c r="C29" s="513">
        <v>2884313.11</v>
      </c>
      <c r="D29" s="513"/>
      <c r="E29" s="514">
        <f t="shared" si="0"/>
        <v>2884313.11</v>
      </c>
      <c r="F29" s="513">
        <v>3356353.85</v>
      </c>
      <c r="G29" s="513"/>
      <c r="H29" s="514">
        <f t="shared" si="1"/>
        <v>3356353.85</v>
      </c>
      <c r="I29" s="517"/>
      <c r="J29" s="517"/>
      <c r="K29" s="517"/>
      <c r="L29" s="517"/>
      <c r="M29" s="517"/>
      <c r="N29" s="517"/>
    </row>
    <row r="30" spans="1:14">
      <c r="A30" s="448">
        <v>11</v>
      </c>
      <c r="B30" s="585" t="s">
        <v>546</v>
      </c>
      <c r="C30" s="513">
        <f>SUM(C31:C32)</f>
        <v>2476359.34</v>
      </c>
      <c r="D30" s="513">
        <f>SUM(D31:D32)</f>
        <v>0</v>
      </c>
      <c r="E30" s="514">
        <f t="shared" si="0"/>
        <v>2476359.34</v>
      </c>
      <c r="F30" s="513">
        <f>SUM(F31:F32)</f>
        <v>0</v>
      </c>
      <c r="G30" s="513">
        <f>SUM(G31:G32)</f>
        <v>0</v>
      </c>
      <c r="H30" s="514">
        <f t="shared" si="1"/>
        <v>0</v>
      </c>
      <c r="I30" s="517"/>
      <c r="J30" s="517"/>
      <c r="K30" s="517"/>
      <c r="L30" s="517"/>
      <c r="M30" s="517"/>
      <c r="N30" s="517"/>
    </row>
    <row r="31" spans="1:14">
      <c r="A31" s="448">
        <v>11.1</v>
      </c>
      <c r="B31" s="596" t="s">
        <v>547</v>
      </c>
      <c r="C31" s="513"/>
      <c r="D31" s="513"/>
      <c r="E31" s="514">
        <f t="shared" si="0"/>
        <v>0</v>
      </c>
      <c r="F31" s="513"/>
      <c r="G31" s="513"/>
      <c r="H31" s="514">
        <f t="shared" si="1"/>
        <v>0</v>
      </c>
      <c r="I31" s="517"/>
      <c r="J31" s="517"/>
      <c r="K31" s="517"/>
      <c r="L31" s="517"/>
      <c r="M31" s="517"/>
      <c r="N31" s="517"/>
    </row>
    <row r="32" spans="1:14">
      <c r="A32" s="448">
        <v>11.2</v>
      </c>
      <c r="B32" s="596" t="s">
        <v>548</v>
      </c>
      <c r="C32" s="513">
        <v>2476359.34</v>
      </c>
      <c r="D32" s="513"/>
      <c r="E32" s="514">
        <f t="shared" si="0"/>
        <v>2476359.34</v>
      </c>
      <c r="F32" s="513"/>
      <c r="G32" s="513"/>
      <c r="H32" s="514">
        <f t="shared" si="1"/>
        <v>0</v>
      </c>
      <c r="I32" s="517"/>
      <c r="J32" s="517"/>
      <c r="K32" s="517"/>
      <c r="L32" s="517"/>
      <c r="M32" s="517"/>
      <c r="N32" s="517"/>
    </row>
    <row r="33" spans="1:14">
      <c r="A33" s="448">
        <v>13</v>
      </c>
      <c r="B33" s="585" t="s">
        <v>549</v>
      </c>
      <c r="C33" s="513">
        <v>13598740.465100002</v>
      </c>
      <c r="D33" s="513">
        <v>648937.01929999993</v>
      </c>
      <c r="E33" s="514">
        <f t="shared" si="0"/>
        <v>14247677.484400002</v>
      </c>
      <c r="F33" s="513">
        <v>20977662.340999998</v>
      </c>
      <c r="G33" s="513">
        <v>570905.84390000009</v>
      </c>
      <c r="H33" s="514">
        <f t="shared" si="1"/>
        <v>21548568.184899997</v>
      </c>
      <c r="I33" s="517"/>
      <c r="J33" s="517"/>
      <c r="K33" s="517"/>
      <c r="L33" s="517"/>
      <c r="M33" s="517"/>
      <c r="N33" s="517"/>
    </row>
    <row r="34" spans="1:14">
      <c r="A34" s="448">
        <v>13.1</v>
      </c>
      <c r="B34" s="597" t="s">
        <v>550</v>
      </c>
      <c r="C34" s="513">
        <v>11874297.84</v>
      </c>
      <c r="D34" s="513"/>
      <c r="E34" s="514">
        <f t="shared" si="0"/>
        <v>11874297.84</v>
      </c>
      <c r="F34" s="513">
        <v>19368269.06577599</v>
      </c>
      <c r="G34" s="513"/>
      <c r="H34" s="514">
        <f t="shared" si="1"/>
        <v>19368269.06577599</v>
      </c>
      <c r="I34" s="517"/>
      <c r="J34" s="517"/>
      <c r="K34" s="517"/>
      <c r="L34" s="517"/>
      <c r="M34" s="517"/>
      <c r="N34" s="517"/>
    </row>
    <row r="35" spans="1:14">
      <c r="A35" s="448">
        <v>13.2</v>
      </c>
      <c r="B35" s="597" t="s">
        <v>551</v>
      </c>
      <c r="C35" s="513"/>
      <c r="D35" s="513"/>
      <c r="E35" s="514">
        <f t="shared" si="0"/>
        <v>0</v>
      </c>
      <c r="F35" s="513"/>
      <c r="G35" s="513"/>
      <c r="H35" s="514">
        <f t="shared" si="1"/>
        <v>0</v>
      </c>
      <c r="I35" s="517"/>
      <c r="J35" s="517"/>
      <c r="K35" s="517"/>
      <c r="L35" s="517"/>
      <c r="M35" s="517"/>
      <c r="N35" s="517"/>
    </row>
    <row r="36" spans="1:14">
      <c r="A36" s="448">
        <v>14</v>
      </c>
      <c r="B36" s="585" t="s">
        <v>552</v>
      </c>
      <c r="C36" s="513">
        <f>SUM(C7,C11,C13,C14,C15,C19,C22,C23,C24,C27,C30,C33)</f>
        <v>277866998.80250007</v>
      </c>
      <c r="D36" s="513">
        <f>SUM(D7,D11,D13,D14,D15,D19,D22,D23,D24,D27,D30,D33)</f>
        <v>383795362.7251001</v>
      </c>
      <c r="E36" s="514">
        <f t="shared" si="0"/>
        <v>661662361.52760017</v>
      </c>
      <c r="F36" s="513">
        <f>SUM(F7,F11,F13,F14,F15,F19,F22,F23,F24,F27,F30,F33)</f>
        <v>311220518.84820008</v>
      </c>
      <c r="G36" s="513">
        <f>SUM(G7,G11,G13,G14,G15,G19,G22,G23,G24,G27,G30,G33)</f>
        <v>394717379.49270004</v>
      </c>
      <c r="H36" s="514">
        <f t="shared" si="1"/>
        <v>705937898.34090018</v>
      </c>
      <c r="I36" s="517"/>
      <c r="J36" s="517"/>
      <c r="K36" s="517"/>
      <c r="L36" s="517"/>
      <c r="M36" s="517"/>
      <c r="N36" s="517"/>
    </row>
    <row r="37" spans="1:14" ht="22.5" customHeight="1">
      <c r="A37" s="448"/>
      <c r="B37" s="449" t="s">
        <v>553</v>
      </c>
      <c r="C37" s="743"/>
      <c r="D37" s="744"/>
      <c r="E37" s="744"/>
      <c r="F37" s="744"/>
      <c r="G37" s="744"/>
      <c r="H37" s="745"/>
      <c r="I37" s="517"/>
      <c r="J37" s="517"/>
      <c r="K37" s="517"/>
      <c r="L37" s="517"/>
      <c r="M37" s="517"/>
      <c r="N37" s="517"/>
    </row>
    <row r="38" spans="1:14" ht="14.4">
      <c r="A38" s="448">
        <v>15</v>
      </c>
      <c r="B38" s="590" t="s">
        <v>554</v>
      </c>
      <c r="C38" s="510">
        <f>C39</f>
        <v>46220.3727</v>
      </c>
      <c r="D38" s="641">
        <f>D39</f>
        <v>0</v>
      </c>
      <c r="E38" s="511">
        <f>C38+D38</f>
        <v>46220.3727</v>
      </c>
      <c r="F38" s="641">
        <f>F39</f>
        <v>426945.60820000002</v>
      </c>
      <c r="G38" s="641">
        <f>G39</f>
        <v>0</v>
      </c>
      <c r="H38" s="511">
        <f>F38+G38</f>
        <v>426945.60820000002</v>
      </c>
      <c r="I38" s="517"/>
      <c r="J38" s="517"/>
      <c r="K38" s="517"/>
      <c r="L38" s="517"/>
      <c r="M38" s="517"/>
      <c r="N38" s="517"/>
    </row>
    <row r="39" spans="1:14">
      <c r="A39" s="450">
        <v>15.1</v>
      </c>
      <c r="B39" s="591" t="s">
        <v>530</v>
      </c>
      <c r="C39" s="510">
        <v>46220.3727</v>
      </c>
      <c r="D39" s="510"/>
      <c r="E39" s="511">
        <f t="shared" ref="E39:E53" si="2">C39+D39</f>
        <v>46220.3727</v>
      </c>
      <c r="F39" s="510">
        <v>426945.60820000002</v>
      </c>
      <c r="G39" s="510"/>
      <c r="H39" s="511">
        <f t="shared" ref="H39:H53" si="3">F39+G39</f>
        <v>426945.60820000002</v>
      </c>
      <c r="I39" s="517"/>
      <c r="J39" s="517"/>
      <c r="K39" s="517"/>
      <c r="L39" s="517"/>
      <c r="M39" s="517"/>
      <c r="N39" s="517"/>
    </row>
    <row r="40" spans="1:14" ht="24" customHeight="1">
      <c r="A40" s="450">
        <v>16</v>
      </c>
      <c r="B40" s="590" t="s">
        <v>555</v>
      </c>
      <c r="C40" s="510"/>
      <c r="D40" s="510"/>
      <c r="E40" s="511">
        <f t="shared" si="2"/>
        <v>0</v>
      </c>
      <c r="F40" s="510"/>
      <c r="G40" s="510"/>
      <c r="H40" s="511">
        <f t="shared" si="3"/>
        <v>0</v>
      </c>
      <c r="I40" s="517"/>
      <c r="J40" s="517"/>
      <c r="K40" s="517"/>
      <c r="L40" s="517"/>
      <c r="M40" s="517"/>
      <c r="N40" s="517"/>
    </row>
    <row r="41" spans="1:14">
      <c r="A41" s="450">
        <v>17</v>
      </c>
      <c r="B41" s="590" t="s">
        <v>556</v>
      </c>
      <c r="C41" s="510">
        <f>SUM(C42:C45)</f>
        <v>244981063.87</v>
      </c>
      <c r="D41" s="510">
        <f>SUM(D42:D45)</f>
        <v>230801866.24160001</v>
      </c>
      <c r="E41" s="511">
        <f t="shared" si="2"/>
        <v>475782930.11160004</v>
      </c>
      <c r="F41" s="510">
        <f>SUM(F42:F45)</f>
        <v>157423620.97999999</v>
      </c>
      <c r="G41" s="510">
        <f>SUM(G42:G45)</f>
        <v>386318959.47099996</v>
      </c>
      <c r="H41" s="511">
        <f t="shared" si="3"/>
        <v>543742580.45099998</v>
      </c>
      <c r="I41" s="517"/>
      <c r="J41" s="517"/>
      <c r="K41" s="517"/>
      <c r="L41" s="517"/>
      <c r="M41" s="517"/>
      <c r="N41" s="517"/>
    </row>
    <row r="42" spans="1:14">
      <c r="A42" s="450">
        <v>17.100000000000001</v>
      </c>
      <c r="B42" s="586" t="s">
        <v>557</v>
      </c>
      <c r="C42" s="510">
        <v>234981063.87</v>
      </c>
      <c r="D42" s="510">
        <v>194821785.01289999</v>
      </c>
      <c r="E42" s="511">
        <f t="shared" si="2"/>
        <v>429802848.8829</v>
      </c>
      <c r="F42" s="510">
        <v>137399757.97</v>
      </c>
      <c r="G42" s="510">
        <v>378273702.48329997</v>
      </c>
      <c r="H42" s="511">
        <f t="shared" si="3"/>
        <v>515673460.4533</v>
      </c>
      <c r="I42" s="517"/>
      <c r="J42" s="517"/>
      <c r="K42" s="517"/>
      <c r="L42" s="517"/>
      <c r="M42" s="517"/>
      <c r="N42" s="517"/>
    </row>
    <row r="43" spans="1:14">
      <c r="A43" s="450">
        <v>17.2</v>
      </c>
      <c r="B43" s="592" t="s">
        <v>558</v>
      </c>
      <c r="C43" s="510">
        <v>10000000</v>
      </c>
      <c r="D43" s="510">
        <v>31961803.739399999</v>
      </c>
      <c r="E43" s="511">
        <f t="shared" si="2"/>
        <v>41961803.739399999</v>
      </c>
      <c r="F43" s="510">
        <v>20023863.010000002</v>
      </c>
      <c r="G43" s="510">
        <v>7290332.7620999999</v>
      </c>
      <c r="H43" s="511">
        <f t="shared" si="3"/>
        <v>27314195.772100002</v>
      </c>
      <c r="I43" s="517"/>
      <c r="J43" s="517"/>
      <c r="K43" s="517"/>
      <c r="L43" s="517"/>
      <c r="M43" s="517"/>
      <c r="N43" s="517"/>
    </row>
    <row r="44" spans="1:14">
      <c r="A44" s="450">
        <v>17.3</v>
      </c>
      <c r="B44" s="586" t="s">
        <v>559</v>
      </c>
      <c r="C44" s="510"/>
      <c r="D44" s="510"/>
      <c r="E44" s="511">
        <f t="shared" si="2"/>
        <v>0</v>
      </c>
      <c r="F44" s="510"/>
      <c r="G44" s="510"/>
      <c r="H44" s="511">
        <f t="shared" si="3"/>
        <v>0</v>
      </c>
      <c r="I44" s="517"/>
      <c r="J44" s="517"/>
      <c r="K44" s="517"/>
      <c r="L44" s="517"/>
      <c r="M44" s="517"/>
      <c r="N44" s="517"/>
    </row>
    <row r="45" spans="1:14">
      <c r="A45" s="450">
        <v>17.399999999999999</v>
      </c>
      <c r="B45" s="586" t="s">
        <v>560</v>
      </c>
      <c r="C45" s="510">
        <v>0</v>
      </c>
      <c r="D45" s="510">
        <v>4018277.4893</v>
      </c>
      <c r="E45" s="511">
        <f t="shared" si="2"/>
        <v>4018277.4893</v>
      </c>
      <c r="F45" s="510">
        <v>0</v>
      </c>
      <c r="G45" s="510">
        <v>754924.22560000001</v>
      </c>
      <c r="H45" s="511">
        <f t="shared" si="3"/>
        <v>754924.22560000001</v>
      </c>
      <c r="I45" s="517"/>
      <c r="J45" s="517"/>
      <c r="K45" s="517"/>
      <c r="L45" s="517"/>
      <c r="M45" s="517"/>
      <c r="N45" s="517"/>
    </row>
    <row r="46" spans="1:14">
      <c r="A46" s="450">
        <v>18</v>
      </c>
      <c r="B46" s="585" t="s">
        <v>561</v>
      </c>
      <c r="C46" s="510">
        <v>58619.047900000005</v>
      </c>
      <c r="D46" s="510">
        <v>385965.23269999999</v>
      </c>
      <c r="E46" s="511">
        <f t="shared" si="2"/>
        <v>444584.2806</v>
      </c>
      <c r="F46" s="510">
        <v>272390.70130000002</v>
      </c>
      <c r="G46" s="510">
        <v>260697.96770000001</v>
      </c>
      <c r="H46" s="511">
        <f t="shared" si="3"/>
        <v>533088.66899999999</v>
      </c>
      <c r="I46" s="517"/>
      <c r="J46" s="517"/>
      <c r="K46" s="517"/>
      <c r="L46" s="517"/>
      <c r="M46" s="517"/>
      <c r="N46" s="517"/>
    </row>
    <row r="47" spans="1:14">
      <c r="A47" s="450">
        <v>19</v>
      </c>
      <c r="B47" s="585" t="s">
        <v>562</v>
      </c>
      <c r="C47" s="510">
        <f>SUM(C48:C49)</f>
        <v>0</v>
      </c>
      <c r="D47" s="510">
        <f>SUM(D48:D49)</f>
        <v>0</v>
      </c>
      <c r="E47" s="511">
        <f t="shared" si="2"/>
        <v>0</v>
      </c>
      <c r="F47" s="510">
        <f>SUM(F48:F49)</f>
        <v>0</v>
      </c>
      <c r="G47" s="510">
        <f>SUM(G48:G49)</f>
        <v>0</v>
      </c>
      <c r="H47" s="511">
        <f t="shared" si="3"/>
        <v>0</v>
      </c>
      <c r="I47" s="517"/>
      <c r="J47" s="517"/>
      <c r="K47" s="517"/>
      <c r="L47" s="517"/>
      <c r="M47" s="517"/>
      <c r="N47" s="517"/>
    </row>
    <row r="48" spans="1:14">
      <c r="A48" s="450">
        <v>19.100000000000001</v>
      </c>
      <c r="B48" s="589" t="s">
        <v>563</v>
      </c>
      <c r="C48" s="510"/>
      <c r="D48" s="510"/>
      <c r="E48" s="511">
        <f t="shared" si="2"/>
        <v>0</v>
      </c>
      <c r="F48" s="510"/>
      <c r="G48" s="510"/>
      <c r="H48" s="511">
        <f t="shared" si="3"/>
        <v>0</v>
      </c>
      <c r="I48" s="517"/>
      <c r="J48" s="517"/>
      <c r="K48" s="517"/>
      <c r="L48" s="517"/>
      <c r="M48" s="517"/>
      <c r="N48" s="517"/>
    </row>
    <row r="49" spans="1:14">
      <c r="A49" s="450">
        <v>19.2</v>
      </c>
      <c r="B49" s="589" t="s">
        <v>564</v>
      </c>
      <c r="C49" s="510"/>
      <c r="D49" s="510"/>
      <c r="E49" s="511">
        <f t="shared" si="2"/>
        <v>0</v>
      </c>
      <c r="F49" s="510"/>
      <c r="G49" s="510"/>
      <c r="H49" s="511">
        <f t="shared" si="3"/>
        <v>0</v>
      </c>
      <c r="I49" s="517"/>
      <c r="J49" s="517"/>
      <c r="K49" s="517"/>
      <c r="L49" s="517"/>
      <c r="M49" s="517"/>
      <c r="N49" s="517"/>
    </row>
    <row r="50" spans="1:14">
      <c r="A50" s="450">
        <v>20</v>
      </c>
      <c r="B50" s="463" t="s">
        <v>565</v>
      </c>
      <c r="C50" s="510">
        <v>0</v>
      </c>
      <c r="D50" s="510">
        <v>32381000.377999999</v>
      </c>
      <c r="E50" s="511">
        <f t="shared" si="2"/>
        <v>32381000.377999999</v>
      </c>
      <c r="F50" s="510">
        <v>0</v>
      </c>
      <c r="G50" s="510">
        <v>33530510.464699998</v>
      </c>
      <c r="H50" s="511">
        <f t="shared" si="3"/>
        <v>33530510.464699998</v>
      </c>
      <c r="I50" s="517"/>
      <c r="J50" s="517"/>
      <c r="K50" s="517"/>
      <c r="L50" s="517"/>
      <c r="M50" s="517"/>
      <c r="N50" s="517"/>
    </row>
    <row r="51" spans="1:14">
      <c r="A51" s="450">
        <v>21</v>
      </c>
      <c r="B51" s="590" t="s">
        <v>566</v>
      </c>
      <c r="C51" s="510">
        <v>6635817.9700000007</v>
      </c>
      <c r="D51" s="510">
        <v>6372192.1937000006</v>
      </c>
      <c r="E51" s="511">
        <f t="shared" si="2"/>
        <v>13008010.163700001</v>
      </c>
      <c r="F51" s="510">
        <v>5135442.6100000003</v>
      </c>
      <c r="G51" s="510">
        <v>2965602.3385999999</v>
      </c>
      <c r="H51" s="511">
        <f t="shared" si="3"/>
        <v>8101044.9485999998</v>
      </c>
      <c r="I51" s="517"/>
      <c r="J51" s="517"/>
      <c r="K51" s="517"/>
      <c r="L51" s="517"/>
      <c r="M51" s="517"/>
      <c r="N51" s="517"/>
    </row>
    <row r="52" spans="1:14">
      <c r="A52" s="450">
        <v>21.1</v>
      </c>
      <c r="B52" s="592" t="s">
        <v>567</v>
      </c>
      <c r="C52" s="510"/>
      <c r="D52" s="510"/>
      <c r="E52" s="511">
        <f t="shared" si="2"/>
        <v>0</v>
      </c>
      <c r="F52" s="510"/>
      <c r="G52" s="510"/>
      <c r="H52" s="511">
        <f t="shared" si="3"/>
        <v>0</v>
      </c>
      <c r="I52" s="517"/>
      <c r="J52" s="517"/>
      <c r="K52" s="517"/>
      <c r="L52" s="517"/>
      <c r="M52" s="517"/>
      <c r="N52" s="517"/>
    </row>
    <row r="53" spans="1:14">
      <c r="A53" s="450">
        <v>22</v>
      </c>
      <c r="B53" s="451" t="s">
        <v>568</v>
      </c>
      <c r="C53" s="510">
        <f>SUM(C38,C40,C41,C46,C47,C50,C51)</f>
        <v>251721721.2606</v>
      </c>
      <c r="D53" s="510">
        <f>SUM(D38,D40,D41,D46,D47,D50,D51)</f>
        <v>269941024.046</v>
      </c>
      <c r="E53" s="511">
        <f t="shared" si="2"/>
        <v>521662745.30659997</v>
      </c>
      <c r="F53" s="510">
        <f>SUM(F38,F40,F41,F46,F47,F50,F51)</f>
        <v>163258399.89950001</v>
      </c>
      <c r="G53" s="510">
        <f>SUM(G38,G40,G41,G46,G47,G50,G51)</f>
        <v>423075770.24199992</v>
      </c>
      <c r="H53" s="511">
        <f t="shared" si="3"/>
        <v>586334170.1415</v>
      </c>
      <c r="I53" s="517"/>
      <c r="J53" s="517"/>
      <c r="K53" s="517"/>
      <c r="L53" s="517"/>
      <c r="M53" s="517"/>
      <c r="N53" s="517"/>
    </row>
    <row r="54" spans="1:14" ht="24" customHeight="1">
      <c r="A54" s="450"/>
      <c r="B54" s="452" t="s">
        <v>569</v>
      </c>
      <c r="C54" s="732"/>
      <c r="D54" s="733"/>
      <c r="E54" s="733"/>
      <c r="F54" s="733"/>
      <c r="G54" s="733"/>
      <c r="H54" s="734"/>
      <c r="I54" s="517"/>
      <c r="J54" s="517"/>
      <c r="K54" s="517"/>
      <c r="L54" s="517"/>
      <c r="M54" s="517"/>
      <c r="N54" s="517"/>
    </row>
    <row r="55" spans="1:14">
      <c r="A55" s="450">
        <v>23</v>
      </c>
      <c r="B55" s="463" t="s">
        <v>710</v>
      </c>
      <c r="C55" s="510">
        <v>136800000</v>
      </c>
      <c r="D55" s="510"/>
      <c r="E55" s="511">
        <f>C55+D55</f>
        <v>136800000</v>
      </c>
      <c r="F55" s="510">
        <v>136800000</v>
      </c>
      <c r="G55" s="510"/>
      <c r="H55" s="511">
        <f>F55+G55</f>
        <v>136800000</v>
      </c>
      <c r="I55" s="517"/>
      <c r="J55" s="517"/>
      <c r="K55" s="517"/>
      <c r="L55" s="517"/>
      <c r="M55" s="517"/>
      <c r="N55" s="517"/>
    </row>
    <row r="56" spans="1:14">
      <c r="A56" s="450">
        <v>24</v>
      </c>
      <c r="B56" s="463" t="s">
        <v>571</v>
      </c>
      <c r="C56" s="510"/>
      <c r="D56" s="510"/>
      <c r="E56" s="511">
        <f t="shared" ref="E56:E69" si="4">C56+D56</f>
        <v>0</v>
      </c>
      <c r="F56" s="510"/>
      <c r="G56" s="510"/>
      <c r="H56" s="511">
        <f t="shared" ref="H56:H69" si="5">F56+G56</f>
        <v>0</v>
      </c>
      <c r="I56" s="517"/>
      <c r="J56" s="517"/>
      <c r="K56" s="517"/>
      <c r="L56" s="517"/>
      <c r="M56" s="517"/>
      <c r="N56" s="517"/>
    </row>
    <row r="57" spans="1:14">
      <c r="A57" s="450">
        <v>25</v>
      </c>
      <c r="B57" s="585" t="s">
        <v>572</v>
      </c>
      <c r="C57" s="510"/>
      <c r="D57" s="510"/>
      <c r="E57" s="511">
        <f t="shared" si="4"/>
        <v>0</v>
      </c>
      <c r="F57" s="510"/>
      <c r="G57" s="510"/>
      <c r="H57" s="511">
        <f t="shared" si="5"/>
        <v>0</v>
      </c>
      <c r="I57" s="517"/>
      <c r="J57" s="517"/>
      <c r="K57" s="517"/>
      <c r="L57" s="517"/>
      <c r="M57" s="517"/>
      <c r="N57" s="517"/>
    </row>
    <row r="58" spans="1:14">
      <c r="A58" s="450">
        <v>26</v>
      </c>
      <c r="B58" s="585" t="s">
        <v>573</v>
      </c>
      <c r="C58" s="510"/>
      <c r="D58" s="510"/>
      <c r="E58" s="511">
        <f t="shared" si="4"/>
        <v>0</v>
      </c>
      <c r="F58" s="510"/>
      <c r="G58" s="510"/>
      <c r="H58" s="511">
        <f t="shared" si="5"/>
        <v>0</v>
      </c>
      <c r="I58" s="517"/>
      <c r="J58" s="517"/>
      <c r="K58" s="517"/>
      <c r="L58" s="517"/>
      <c r="M58" s="517"/>
      <c r="N58" s="517"/>
    </row>
    <row r="59" spans="1:14" ht="14.4">
      <c r="A59" s="450">
        <v>27</v>
      </c>
      <c r="B59" s="585" t="s">
        <v>574</v>
      </c>
      <c r="C59" s="510">
        <f>SUM(C60:C61)</f>
        <v>1154910.5</v>
      </c>
      <c r="D59" s="510">
        <f>SUM(D60:D61)</f>
        <v>13475500</v>
      </c>
      <c r="E59" s="511">
        <f t="shared" si="4"/>
        <v>14630410.5</v>
      </c>
      <c r="F59" s="512">
        <f>SUM(F60:F61)</f>
        <v>1154910.5</v>
      </c>
      <c r="G59" s="512">
        <f>SUM(G60:G61)</f>
        <v>0</v>
      </c>
      <c r="H59" s="511">
        <f t="shared" si="5"/>
        <v>1154910.5</v>
      </c>
      <c r="I59" s="517"/>
      <c r="J59" s="517"/>
      <c r="K59" s="517"/>
      <c r="L59" s="517"/>
      <c r="M59" s="517"/>
      <c r="N59" s="517"/>
    </row>
    <row r="60" spans="1:14">
      <c r="A60" s="450">
        <v>27.1</v>
      </c>
      <c r="B60" s="586" t="s">
        <v>575</v>
      </c>
      <c r="C60" s="510">
        <v>1154910.5</v>
      </c>
      <c r="D60" s="510">
        <v>0</v>
      </c>
      <c r="E60" s="511">
        <f t="shared" si="4"/>
        <v>1154910.5</v>
      </c>
      <c r="F60" s="510">
        <v>1154910.5</v>
      </c>
      <c r="G60" s="510"/>
      <c r="H60" s="511">
        <f t="shared" si="5"/>
        <v>1154910.5</v>
      </c>
      <c r="I60" s="517"/>
      <c r="J60" s="517"/>
      <c r="K60" s="517"/>
      <c r="L60" s="517"/>
      <c r="M60" s="517"/>
      <c r="N60" s="517"/>
    </row>
    <row r="61" spans="1:14">
      <c r="A61" s="450">
        <v>27.2</v>
      </c>
      <c r="B61" s="586" t="s">
        <v>576</v>
      </c>
      <c r="C61" s="510"/>
      <c r="D61" s="510">
        <v>13475500</v>
      </c>
      <c r="E61" s="511">
        <f t="shared" si="4"/>
        <v>13475500</v>
      </c>
      <c r="F61" s="510"/>
      <c r="G61" s="510"/>
      <c r="H61" s="511">
        <f t="shared" si="5"/>
        <v>0</v>
      </c>
      <c r="I61" s="517"/>
      <c r="J61" s="517"/>
      <c r="K61" s="517"/>
      <c r="L61" s="517"/>
      <c r="M61" s="517"/>
      <c r="N61" s="517"/>
    </row>
    <row r="62" spans="1:14">
      <c r="A62" s="450">
        <v>28</v>
      </c>
      <c r="B62" s="587" t="s">
        <v>577</v>
      </c>
      <c r="C62" s="510"/>
      <c r="D62" s="510"/>
      <c r="E62" s="511">
        <f t="shared" si="4"/>
        <v>0</v>
      </c>
      <c r="F62" s="510"/>
      <c r="G62" s="510"/>
      <c r="H62" s="511">
        <f t="shared" si="5"/>
        <v>0</v>
      </c>
      <c r="I62" s="517"/>
      <c r="J62" s="517"/>
      <c r="K62" s="517"/>
      <c r="L62" s="517"/>
      <c r="M62" s="517"/>
      <c r="N62" s="517"/>
    </row>
    <row r="63" spans="1:14">
      <c r="A63" s="450">
        <v>29</v>
      </c>
      <c r="B63" s="585" t="s">
        <v>578</v>
      </c>
      <c r="C63" s="510">
        <f>SUM(C64:C66)</f>
        <v>0</v>
      </c>
      <c r="D63" s="510">
        <f>SUM(D64:D66)</f>
        <v>0</v>
      </c>
      <c r="E63" s="511">
        <f t="shared" si="4"/>
        <v>0</v>
      </c>
      <c r="F63" s="510">
        <f>SUM(F64:F66)</f>
        <v>0</v>
      </c>
      <c r="G63" s="510">
        <f>SUM(G64:G66)</f>
        <v>0</v>
      </c>
      <c r="H63" s="511">
        <f t="shared" si="5"/>
        <v>0</v>
      </c>
      <c r="I63" s="517"/>
      <c r="J63" s="517"/>
      <c r="K63" s="517"/>
      <c r="L63" s="517"/>
      <c r="M63" s="517"/>
      <c r="N63" s="517"/>
    </row>
    <row r="64" spans="1:14">
      <c r="A64" s="450">
        <v>29.1</v>
      </c>
      <c r="B64" s="588" t="s">
        <v>579</v>
      </c>
      <c r="C64" s="510"/>
      <c r="D64" s="510"/>
      <c r="E64" s="511">
        <f t="shared" si="4"/>
        <v>0</v>
      </c>
      <c r="F64" s="510"/>
      <c r="G64" s="510"/>
      <c r="H64" s="511">
        <f t="shared" si="5"/>
        <v>0</v>
      </c>
      <c r="I64" s="517"/>
      <c r="J64" s="517"/>
      <c r="K64" s="517"/>
      <c r="L64" s="517"/>
      <c r="M64" s="517"/>
      <c r="N64" s="517"/>
    </row>
    <row r="65" spans="1:14" ht="25.05" customHeight="1">
      <c r="A65" s="450">
        <v>29.2</v>
      </c>
      <c r="B65" s="589" t="s">
        <v>580</v>
      </c>
      <c r="C65" s="510"/>
      <c r="D65" s="510"/>
      <c r="E65" s="511">
        <f t="shared" si="4"/>
        <v>0</v>
      </c>
      <c r="F65" s="510"/>
      <c r="G65" s="510"/>
      <c r="H65" s="511">
        <f t="shared" si="5"/>
        <v>0</v>
      </c>
      <c r="I65" s="517"/>
      <c r="J65" s="517"/>
      <c r="K65" s="517"/>
      <c r="L65" s="517"/>
      <c r="M65" s="517"/>
      <c r="N65" s="517"/>
    </row>
    <row r="66" spans="1:14" ht="22.5" customHeight="1">
      <c r="A66" s="450">
        <v>29.3</v>
      </c>
      <c r="B66" s="589" t="s">
        <v>581</v>
      </c>
      <c r="C66" s="510"/>
      <c r="D66" s="510"/>
      <c r="E66" s="511">
        <f t="shared" si="4"/>
        <v>0</v>
      </c>
      <c r="F66" s="510"/>
      <c r="G66" s="510"/>
      <c r="H66" s="511">
        <f t="shared" si="5"/>
        <v>0</v>
      </c>
      <c r="I66" s="517"/>
      <c r="J66" s="517"/>
      <c r="K66" s="517"/>
      <c r="L66" s="517"/>
      <c r="M66" s="517"/>
      <c r="N66" s="517"/>
    </row>
    <row r="67" spans="1:14">
      <c r="A67" s="450">
        <v>30</v>
      </c>
      <c r="B67" s="585" t="s">
        <v>582</v>
      </c>
      <c r="C67" s="510">
        <v>-11430794.279999999</v>
      </c>
      <c r="D67" s="510"/>
      <c r="E67" s="511">
        <f t="shared" si="4"/>
        <v>-11430794.279999999</v>
      </c>
      <c r="F67" s="510">
        <v>-18351182.620000001</v>
      </c>
      <c r="G67" s="510"/>
      <c r="H67" s="511">
        <f t="shared" si="5"/>
        <v>-18351182.620000001</v>
      </c>
      <c r="I67" s="517"/>
      <c r="J67" s="517"/>
      <c r="K67" s="517"/>
      <c r="L67" s="517"/>
      <c r="M67" s="517"/>
      <c r="N67" s="517"/>
    </row>
    <row r="68" spans="1:14">
      <c r="A68" s="450">
        <v>31</v>
      </c>
      <c r="B68" s="453" t="s">
        <v>780</v>
      </c>
      <c r="C68" s="510">
        <f>SUM(C55,C56,C57,C58,C59,C62,C63,C67)</f>
        <v>126524116.22</v>
      </c>
      <c r="D68" s="510">
        <f>SUM(D55,D56,D57,D58,D59,D62,D63,D67)</f>
        <v>13475500</v>
      </c>
      <c r="E68" s="511">
        <f t="shared" si="4"/>
        <v>139999616.22</v>
      </c>
      <c r="F68" s="510">
        <f>SUM(F55,F56,F57,F58,F59,F62,F63,F67)</f>
        <v>119603727.88</v>
      </c>
      <c r="G68" s="510">
        <f>SUM(G55,G56,G57,G58,G59,G62,G63,G67)</f>
        <v>0</v>
      </c>
      <c r="H68" s="511">
        <f t="shared" si="5"/>
        <v>119603727.88</v>
      </c>
      <c r="I68" s="517"/>
      <c r="J68" s="517"/>
      <c r="K68" s="517"/>
      <c r="L68" s="517"/>
      <c r="M68" s="517"/>
      <c r="N68" s="517"/>
    </row>
    <row r="69" spans="1:14">
      <c r="A69" s="450">
        <v>32</v>
      </c>
      <c r="B69" s="454" t="s">
        <v>584</v>
      </c>
      <c r="C69" s="510">
        <f>SUM(C53,C68)</f>
        <v>378245837.4806</v>
      </c>
      <c r="D69" s="510">
        <f>SUM(D53,D68)</f>
        <v>283416524.046</v>
      </c>
      <c r="E69" s="511">
        <f t="shared" si="4"/>
        <v>661662361.5266</v>
      </c>
      <c r="F69" s="510">
        <f>SUM(F53,F68)</f>
        <v>282862127.77950001</v>
      </c>
      <c r="G69" s="510">
        <f>SUM(G53,G68)</f>
        <v>423075770.24199992</v>
      </c>
      <c r="H69" s="511">
        <f t="shared" si="5"/>
        <v>705937898.02149987</v>
      </c>
      <c r="I69" s="517"/>
      <c r="J69" s="517"/>
      <c r="K69" s="517"/>
      <c r="L69" s="517"/>
      <c r="M69" s="517"/>
      <c r="N69" s="517"/>
    </row>
    <row r="72" spans="1:14">
      <c r="B72" s="619" t="s">
        <v>781</v>
      </c>
    </row>
  </sheetData>
  <mergeCells count="7">
    <mergeCell ref="C54:H54"/>
    <mergeCell ref="A4:A6"/>
    <mergeCell ref="B4:B5"/>
    <mergeCell ref="C4:E4"/>
    <mergeCell ref="F4:H4"/>
    <mergeCell ref="C6:H6"/>
    <mergeCell ref="C37:H37"/>
  </mergeCells>
  <pageMargins left="0.7" right="0.7" top="0.75" bottom="0.75" header="0.3" footer="0.3"/>
  <pageSetup paperSize="9" scale="52" orientation="portrait" horizontalDpi="300" verticalDpi="300" r:id="rId1"/>
  <headerFooter>
    <oddFooter>&amp;C_x000D_&amp;1#&amp;"Aptos"&amp;10&amp;K000000 C4 - EXTERNAL CONFIDENTIAL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N71"/>
  <sheetViews>
    <sheetView showGridLines="0" topLeftCell="A10" zoomScale="80" zoomScaleNormal="80" workbookViewId="0">
      <selection activeCell="C37" sqref="C37"/>
    </sheetView>
  </sheetViews>
  <sheetFormatPr defaultColWidth="9.21875" defaultRowHeight="12"/>
  <cols>
    <col min="1" max="1" width="11.77734375" style="369" bestFit="1" customWidth="1"/>
    <col min="2" max="2" width="93.44140625" style="369" customWidth="1"/>
    <col min="3" max="3" width="16.33203125" style="369" customWidth="1"/>
    <col min="4" max="5" width="16.109375" style="369" customWidth="1"/>
    <col min="6" max="6" width="16.109375" style="385" customWidth="1"/>
    <col min="7" max="7" width="25.21875" style="385" customWidth="1"/>
    <col min="8" max="8" width="16.109375" style="369" customWidth="1"/>
    <col min="9" max="11" width="16.109375" style="385" customWidth="1"/>
    <col min="12" max="12" width="26.21875" style="385" customWidth="1"/>
    <col min="13" max="16384" width="9.21875" style="369"/>
  </cols>
  <sheetData>
    <row r="1" spans="1:14" ht="13.8">
      <c r="A1" s="294" t="s">
        <v>30</v>
      </c>
      <c r="B1" s="356" t="str">
        <f>'Info '!C2</f>
        <v xml:space="preserve">PASHA Bank Georgia JSC </v>
      </c>
      <c r="F1" s="369"/>
      <c r="G1" s="369"/>
      <c r="I1" s="369"/>
      <c r="J1" s="369"/>
      <c r="K1" s="369"/>
      <c r="L1" s="369"/>
    </row>
    <row r="2" spans="1:14">
      <c r="A2" s="294" t="s">
        <v>31</v>
      </c>
      <c r="B2" s="355">
        <f>'1. key ratios '!B2</f>
        <v>46022</v>
      </c>
      <c r="F2" s="369"/>
      <c r="G2" s="369"/>
      <c r="I2" s="369"/>
      <c r="J2" s="369"/>
      <c r="K2" s="369"/>
      <c r="L2" s="369"/>
    </row>
    <row r="3" spans="1:14">
      <c r="A3" s="295" t="s">
        <v>466</v>
      </c>
      <c r="F3" s="369"/>
      <c r="G3" s="369"/>
      <c r="I3" s="369"/>
      <c r="J3" s="369"/>
      <c r="K3" s="369"/>
      <c r="L3" s="369"/>
    </row>
    <row r="4" spans="1:14">
      <c r="F4" s="369"/>
      <c r="G4" s="369"/>
      <c r="I4" s="369"/>
      <c r="J4" s="369"/>
      <c r="K4" s="369"/>
      <c r="L4" s="369"/>
    </row>
    <row r="5" spans="1:14" ht="37.5" customHeight="1">
      <c r="A5" s="797" t="s">
        <v>483</v>
      </c>
      <c r="B5" s="798"/>
      <c r="C5" s="843" t="s">
        <v>467</v>
      </c>
      <c r="D5" s="844"/>
      <c r="E5" s="844"/>
      <c r="F5" s="844"/>
      <c r="G5" s="844"/>
      <c r="H5" s="843" t="s">
        <v>627</v>
      </c>
      <c r="I5" s="845"/>
      <c r="J5" s="845"/>
      <c r="K5" s="845"/>
      <c r="L5" s="846"/>
    </row>
    <row r="6" spans="1:14" ht="39.450000000000003" customHeight="1">
      <c r="A6" s="801"/>
      <c r="B6" s="802"/>
      <c r="C6" s="297"/>
      <c r="D6" s="367" t="s">
        <v>648</v>
      </c>
      <c r="E6" s="367" t="s">
        <v>647</v>
      </c>
      <c r="F6" s="367" t="s">
        <v>646</v>
      </c>
      <c r="G6" s="367" t="s">
        <v>645</v>
      </c>
      <c r="H6" s="386"/>
      <c r="I6" s="367" t="s">
        <v>648</v>
      </c>
      <c r="J6" s="367" t="s">
        <v>647</v>
      </c>
      <c r="K6" s="367" t="s">
        <v>646</v>
      </c>
      <c r="L6" s="367" t="s">
        <v>645</v>
      </c>
    </row>
    <row r="7" spans="1:14" ht="23.4">
      <c r="A7" s="358">
        <v>1</v>
      </c>
      <c r="B7" s="373" t="s">
        <v>486</v>
      </c>
      <c r="C7" s="579">
        <v>400436.7</v>
      </c>
      <c r="D7" s="577">
        <v>400436.7</v>
      </c>
      <c r="E7" s="577">
        <v>0</v>
      </c>
      <c r="F7" s="580">
        <v>0</v>
      </c>
      <c r="G7" s="580">
        <v>0</v>
      </c>
      <c r="H7" s="577">
        <v>852.58389999999997</v>
      </c>
      <c r="I7" s="580">
        <v>852.58389999999997</v>
      </c>
      <c r="J7" s="580">
        <v>0</v>
      </c>
      <c r="K7" s="580">
        <v>0</v>
      </c>
      <c r="L7" s="580">
        <v>0</v>
      </c>
      <c r="M7" s="578"/>
      <c r="N7" s="578"/>
    </row>
    <row r="8" spans="1:14">
      <c r="A8" s="358">
        <v>2</v>
      </c>
      <c r="B8" s="373" t="s">
        <v>399</v>
      </c>
      <c r="C8" s="579">
        <v>71105261.874500006</v>
      </c>
      <c r="D8" s="577">
        <v>70928690.674500003</v>
      </c>
      <c r="E8" s="577">
        <v>0</v>
      </c>
      <c r="F8" s="581">
        <v>176571.2</v>
      </c>
      <c r="G8" s="581">
        <v>0</v>
      </c>
      <c r="H8" s="577">
        <v>503298.22240000003</v>
      </c>
      <c r="I8" s="581">
        <v>329190.54450000002</v>
      </c>
      <c r="J8" s="581">
        <v>0</v>
      </c>
      <c r="K8" s="581">
        <v>174107.67790000001</v>
      </c>
      <c r="L8" s="581">
        <v>0</v>
      </c>
      <c r="M8" s="578"/>
      <c r="N8" s="578"/>
    </row>
    <row r="9" spans="1:14">
      <c r="A9" s="358">
        <v>3</v>
      </c>
      <c r="B9" s="373" t="s">
        <v>400</v>
      </c>
      <c r="C9" s="579"/>
      <c r="D9" s="577"/>
      <c r="E9" s="577"/>
      <c r="F9" s="582"/>
      <c r="G9" s="582"/>
      <c r="H9" s="577"/>
      <c r="I9" s="582"/>
      <c r="J9" s="582"/>
      <c r="K9" s="582"/>
      <c r="L9" s="582"/>
      <c r="M9" s="578"/>
      <c r="N9" s="578"/>
    </row>
    <row r="10" spans="1:14">
      <c r="A10" s="358">
        <v>4</v>
      </c>
      <c r="B10" s="373" t="s">
        <v>487</v>
      </c>
      <c r="C10" s="579">
        <v>43064515.291000001</v>
      </c>
      <c r="D10" s="577">
        <v>41448464.174699999</v>
      </c>
      <c r="E10" s="577">
        <v>0</v>
      </c>
      <c r="F10" s="582">
        <v>1616051.1163000001</v>
      </c>
      <c r="G10" s="582">
        <v>0</v>
      </c>
      <c r="H10" s="577">
        <v>465455.47389999998</v>
      </c>
      <c r="I10" s="582">
        <v>324965.15019999997</v>
      </c>
      <c r="J10" s="582">
        <v>0</v>
      </c>
      <c r="K10" s="582">
        <v>140490.32370000001</v>
      </c>
      <c r="L10" s="582">
        <v>0</v>
      </c>
      <c r="M10" s="578"/>
      <c r="N10" s="578"/>
    </row>
    <row r="11" spans="1:14">
      <c r="A11" s="358">
        <v>5</v>
      </c>
      <c r="B11" s="373" t="s">
        <v>401</v>
      </c>
      <c r="C11" s="579">
        <v>62196376.005000003</v>
      </c>
      <c r="D11" s="577">
        <v>60443333.345899999</v>
      </c>
      <c r="E11" s="577">
        <v>312928.51909999998</v>
      </c>
      <c r="F11" s="582">
        <v>1440114.14</v>
      </c>
      <c r="G11" s="582">
        <v>0</v>
      </c>
      <c r="H11" s="577">
        <v>280417.65419999999</v>
      </c>
      <c r="I11" s="582">
        <v>123449.52310000001</v>
      </c>
      <c r="J11" s="582">
        <v>13395.694100000001</v>
      </c>
      <c r="K11" s="582">
        <v>143572.43700000001</v>
      </c>
      <c r="L11" s="582">
        <v>0</v>
      </c>
      <c r="M11" s="578"/>
      <c r="N11" s="578"/>
    </row>
    <row r="12" spans="1:14">
      <c r="A12" s="358">
        <v>6</v>
      </c>
      <c r="B12" s="373" t="s">
        <v>402</v>
      </c>
      <c r="C12" s="579">
        <v>6979029.6734999996</v>
      </c>
      <c r="D12" s="577">
        <v>6979029.6734999996</v>
      </c>
      <c r="E12" s="577">
        <v>0</v>
      </c>
      <c r="F12" s="582">
        <v>0</v>
      </c>
      <c r="G12" s="582">
        <v>0</v>
      </c>
      <c r="H12" s="577">
        <v>47370.6466</v>
      </c>
      <c r="I12" s="582">
        <v>47370.6466</v>
      </c>
      <c r="J12" s="582">
        <v>0</v>
      </c>
      <c r="K12" s="582">
        <v>0</v>
      </c>
      <c r="L12" s="582">
        <v>0</v>
      </c>
      <c r="M12" s="578"/>
      <c r="N12" s="578"/>
    </row>
    <row r="13" spans="1:14">
      <c r="A13" s="358">
        <v>7</v>
      </c>
      <c r="B13" s="373" t="s">
        <v>403</v>
      </c>
      <c r="C13" s="579">
        <v>15543462.9892</v>
      </c>
      <c r="D13" s="577">
        <v>15543462.9892</v>
      </c>
      <c r="E13" s="577">
        <v>0</v>
      </c>
      <c r="F13" s="582">
        <v>0</v>
      </c>
      <c r="G13" s="582">
        <v>0</v>
      </c>
      <c r="H13" s="577">
        <v>204466.03899999999</v>
      </c>
      <c r="I13" s="582">
        <v>204466.03899999999</v>
      </c>
      <c r="J13" s="582">
        <v>0</v>
      </c>
      <c r="K13" s="582">
        <v>0</v>
      </c>
      <c r="L13" s="582">
        <v>0</v>
      </c>
      <c r="M13" s="578"/>
      <c r="N13" s="578"/>
    </row>
    <row r="14" spans="1:14">
      <c r="A14" s="358">
        <v>8</v>
      </c>
      <c r="B14" s="373" t="s">
        <v>404</v>
      </c>
      <c r="C14" s="579">
        <v>4712736.9078000002</v>
      </c>
      <c r="D14" s="577">
        <v>3673332.173</v>
      </c>
      <c r="E14" s="577">
        <v>0</v>
      </c>
      <c r="F14" s="582">
        <v>1039404.7348</v>
      </c>
      <c r="G14" s="582">
        <v>0</v>
      </c>
      <c r="H14" s="577">
        <v>161347.4926</v>
      </c>
      <c r="I14" s="582">
        <v>59770.09</v>
      </c>
      <c r="J14" s="582">
        <v>0</v>
      </c>
      <c r="K14" s="582">
        <v>101577.4026</v>
      </c>
      <c r="L14" s="582">
        <v>0</v>
      </c>
      <c r="M14" s="578"/>
      <c r="N14" s="578"/>
    </row>
    <row r="15" spans="1:14">
      <c r="A15" s="358">
        <v>9</v>
      </c>
      <c r="B15" s="373" t="s">
        <v>405</v>
      </c>
      <c r="C15" s="579">
        <v>5683884.5937999999</v>
      </c>
      <c r="D15" s="577">
        <v>5683884.5937999999</v>
      </c>
      <c r="E15" s="577">
        <v>0</v>
      </c>
      <c r="F15" s="582">
        <v>0</v>
      </c>
      <c r="G15" s="582">
        <v>0</v>
      </c>
      <c r="H15" s="577">
        <v>2235.5344</v>
      </c>
      <c r="I15" s="582">
        <v>2235.5344</v>
      </c>
      <c r="J15" s="582">
        <v>0</v>
      </c>
      <c r="K15" s="582">
        <v>0</v>
      </c>
      <c r="L15" s="582">
        <v>0</v>
      </c>
      <c r="M15" s="578"/>
      <c r="N15" s="578"/>
    </row>
    <row r="16" spans="1:14">
      <c r="A16" s="358">
        <v>10</v>
      </c>
      <c r="B16" s="373" t="s">
        <v>406</v>
      </c>
      <c r="C16" s="579">
        <v>1211673.8673</v>
      </c>
      <c r="D16" s="577">
        <v>1211673.8673</v>
      </c>
      <c r="E16" s="577">
        <v>0</v>
      </c>
      <c r="F16" s="582">
        <v>0</v>
      </c>
      <c r="G16" s="582">
        <v>0</v>
      </c>
      <c r="H16" s="577">
        <v>2071.1271000000002</v>
      </c>
      <c r="I16" s="582">
        <v>2071.1271000000002</v>
      </c>
      <c r="J16" s="582">
        <v>0</v>
      </c>
      <c r="K16" s="582">
        <v>0</v>
      </c>
      <c r="L16" s="582">
        <v>0</v>
      </c>
      <c r="M16" s="578"/>
      <c r="N16" s="578"/>
    </row>
    <row r="17" spans="1:14">
      <c r="A17" s="358">
        <v>11</v>
      </c>
      <c r="B17" s="373" t="s">
        <v>407</v>
      </c>
      <c r="C17" s="579"/>
      <c r="D17" s="577"/>
      <c r="E17" s="577"/>
      <c r="F17" s="582"/>
      <c r="G17" s="582"/>
      <c r="H17" s="577"/>
      <c r="I17" s="582"/>
      <c r="J17" s="582"/>
      <c r="K17" s="582"/>
      <c r="L17" s="582"/>
      <c r="M17" s="578"/>
      <c r="N17" s="578"/>
    </row>
    <row r="18" spans="1:14">
      <c r="A18" s="358">
        <v>12</v>
      </c>
      <c r="B18" s="373" t="s">
        <v>408</v>
      </c>
      <c r="C18" s="579">
        <v>17200310.688099999</v>
      </c>
      <c r="D18" s="577">
        <v>17199671.008099999</v>
      </c>
      <c r="E18" s="577">
        <v>0</v>
      </c>
      <c r="F18" s="582">
        <v>639.67999999999995</v>
      </c>
      <c r="G18" s="582">
        <v>0</v>
      </c>
      <c r="H18" s="577">
        <v>117041.2264</v>
      </c>
      <c r="I18" s="582">
        <v>116401.54640000001</v>
      </c>
      <c r="J18" s="582">
        <v>0</v>
      </c>
      <c r="K18" s="582">
        <v>639.67999999999995</v>
      </c>
      <c r="L18" s="582">
        <v>0</v>
      </c>
      <c r="M18" s="578"/>
      <c r="N18" s="578"/>
    </row>
    <row r="19" spans="1:14">
      <c r="A19" s="358">
        <v>13</v>
      </c>
      <c r="B19" s="373" t="s">
        <v>409</v>
      </c>
      <c r="C19" s="579">
        <v>438228.11119999998</v>
      </c>
      <c r="D19" s="577">
        <v>0</v>
      </c>
      <c r="E19" s="577">
        <v>0</v>
      </c>
      <c r="F19" s="582">
        <v>438228.11119999998</v>
      </c>
      <c r="G19" s="582">
        <v>0</v>
      </c>
      <c r="H19" s="577">
        <v>42718.423799999997</v>
      </c>
      <c r="I19" s="582">
        <v>0</v>
      </c>
      <c r="J19" s="582">
        <v>0</v>
      </c>
      <c r="K19" s="582">
        <v>42718.423799999997</v>
      </c>
      <c r="L19" s="582">
        <v>0</v>
      </c>
      <c r="M19" s="578"/>
      <c r="N19" s="578"/>
    </row>
    <row r="20" spans="1:14">
      <c r="A20" s="358">
        <v>14</v>
      </c>
      <c r="B20" s="373" t="s">
        <v>410</v>
      </c>
      <c r="C20" s="579">
        <v>8405881.3513999991</v>
      </c>
      <c r="D20" s="577">
        <v>5121866.6632000003</v>
      </c>
      <c r="E20" s="577">
        <v>938579.51710000006</v>
      </c>
      <c r="F20" s="582">
        <v>2345435.1710999999</v>
      </c>
      <c r="G20" s="582">
        <v>0</v>
      </c>
      <c r="H20" s="577">
        <v>405472.3664</v>
      </c>
      <c r="I20" s="582">
        <v>5226.8517000000002</v>
      </c>
      <c r="J20" s="582">
        <v>182919.11410000001</v>
      </c>
      <c r="K20" s="582">
        <v>217326.40059999999</v>
      </c>
      <c r="L20" s="582">
        <v>0</v>
      </c>
      <c r="M20" s="578"/>
      <c r="N20" s="578"/>
    </row>
    <row r="21" spans="1:14">
      <c r="A21" s="358">
        <v>15</v>
      </c>
      <c r="B21" s="373" t="s">
        <v>411</v>
      </c>
      <c r="C21" s="579">
        <v>24544214.490699999</v>
      </c>
      <c r="D21" s="577">
        <v>15091251.594799999</v>
      </c>
      <c r="E21" s="577">
        <v>0</v>
      </c>
      <c r="F21" s="582">
        <v>9452962.8958999999</v>
      </c>
      <c r="G21" s="582">
        <v>0</v>
      </c>
      <c r="H21" s="577">
        <v>1585158.7261999999</v>
      </c>
      <c r="I21" s="582">
        <v>62779.449399999998</v>
      </c>
      <c r="J21" s="582">
        <v>0</v>
      </c>
      <c r="K21" s="582">
        <v>1522379.2768000001</v>
      </c>
      <c r="L21" s="582">
        <v>0</v>
      </c>
      <c r="M21" s="578"/>
      <c r="N21" s="578"/>
    </row>
    <row r="22" spans="1:14">
      <c r="A22" s="358">
        <v>16</v>
      </c>
      <c r="B22" s="373" t="s">
        <v>412</v>
      </c>
      <c r="C22" s="579"/>
      <c r="D22" s="577"/>
      <c r="E22" s="577"/>
      <c r="F22" s="582"/>
      <c r="G22" s="582"/>
      <c r="H22" s="577"/>
      <c r="I22" s="582"/>
      <c r="J22" s="582"/>
      <c r="K22" s="582"/>
      <c r="L22" s="582"/>
      <c r="M22" s="578"/>
      <c r="N22" s="578"/>
    </row>
    <row r="23" spans="1:14">
      <c r="A23" s="358">
        <v>17</v>
      </c>
      <c r="B23" s="373" t="s">
        <v>490</v>
      </c>
      <c r="C23" s="579">
        <v>8612744.4695999995</v>
      </c>
      <c r="D23" s="577">
        <v>8612744.4695999995</v>
      </c>
      <c r="E23" s="577">
        <v>0</v>
      </c>
      <c r="F23" s="582">
        <v>0</v>
      </c>
      <c r="G23" s="582">
        <v>0</v>
      </c>
      <c r="H23" s="577">
        <v>71520.724900000001</v>
      </c>
      <c r="I23" s="582">
        <v>71520.724900000001</v>
      </c>
      <c r="J23" s="582">
        <v>0</v>
      </c>
      <c r="K23" s="582">
        <v>0</v>
      </c>
      <c r="L23" s="582">
        <v>0</v>
      </c>
      <c r="M23" s="578"/>
      <c r="N23" s="578"/>
    </row>
    <row r="24" spans="1:14">
      <c r="A24" s="358">
        <v>18</v>
      </c>
      <c r="B24" s="373" t="s">
        <v>413</v>
      </c>
      <c r="C24" s="579">
        <v>108226269.8616</v>
      </c>
      <c r="D24" s="577">
        <v>108226269.8616</v>
      </c>
      <c r="E24" s="577">
        <v>0</v>
      </c>
      <c r="F24" s="582">
        <v>0</v>
      </c>
      <c r="G24" s="582">
        <v>0</v>
      </c>
      <c r="H24" s="577">
        <v>649283.38289999997</v>
      </c>
      <c r="I24" s="582">
        <v>649283.38289999997</v>
      </c>
      <c r="J24" s="582">
        <v>0</v>
      </c>
      <c r="K24" s="582">
        <v>0</v>
      </c>
      <c r="L24" s="582">
        <v>0</v>
      </c>
      <c r="M24" s="578"/>
      <c r="N24" s="578"/>
    </row>
    <row r="25" spans="1:14">
      <c r="A25" s="358">
        <v>19</v>
      </c>
      <c r="B25" s="373" t="s">
        <v>414</v>
      </c>
      <c r="C25" s="579"/>
      <c r="D25" s="577"/>
      <c r="E25" s="577"/>
      <c r="F25" s="582"/>
      <c r="G25" s="582"/>
      <c r="H25" s="577"/>
      <c r="I25" s="582"/>
      <c r="J25" s="582"/>
      <c r="K25" s="582"/>
      <c r="L25" s="582"/>
      <c r="M25" s="578"/>
      <c r="N25" s="578"/>
    </row>
    <row r="26" spans="1:14">
      <c r="A26" s="358">
        <v>20</v>
      </c>
      <c r="B26" s="373" t="s">
        <v>489</v>
      </c>
      <c r="C26" s="579">
        <v>10448689.419500001</v>
      </c>
      <c r="D26" s="577">
        <v>10448689.419500001</v>
      </c>
      <c r="E26" s="577">
        <v>0</v>
      </c>
      <c r="F26" s="582">
        <v>0</v>
      </c>
      <c r="G26" s="582">
        <v>0</v>
      </c>
      <c r="H26" s="577">
        <v>197859.59020000001</v>
      </c>
      <c r="I26" s="582">
        <v>197859.59020000001</v>
      </c>
      <c r="J26" s="582">
        <v>0</v>
      </c>
      <c r="K26" s="582">
        <v>0</v>
      </c>
      <c r="L26" s="582">
        <v>0</v>
      </c>
      <c r="M26" s="578"/>
      <c r="N26" s="578"/>
    </row>
    <row r="27" spans="1:14">
      <c r="A27" s="358">
        <v>21</v>
      </c>
      <c r="B27" s="373" t="s">
        <v>415</v>
      </c>
      <c r="C27" s="579"/>
      <c r="D27" s="577"/>
      <c r="E27" s="577"/>
      <c r="F27" s="582"/>
      <c r="G27" s="582"/>
      <c r="H27" s="577"/>
      <c r="I27" s="582"/>
      <c r="J27" s="582"/>
      <c r="K27" s="582"/>
      <c r="L27" s="582"/>
      <c r="M27" s="578"/>
      <c r="N27" s="578"/>
    </row>
    <row r="28" spans="1:14">
      <c r="A28" s="358">
        <v>22</v>
      </c>
      <c r="B28" s="373" t="s">
        <v>416</v>
      </c>
      <c r="C28" s="579">
        <v>16165415.382200001</v>
      </c>
      <c r="D28" s="577">
        <v>16165415.382200001</v>
      </c>
      <c r="E28" s="577">
        <v>0</v>
      </c>
      <c r="F28" s="582">
        <v>0</v>
      </c>
      <c r="G28" s="582">
        <v>0</v>
      </c>
      <c r="H28" s="577">
        <v>273725.6642</v>
      </c>
      <c r="I28" s="582">
        <v>273725.6642</v>
      </c>
      <c r="J28" s="582">
        <v>0</v>
      </c>
      <c r="K28" s="582">
        <v>0</v>
      </c>
      <c r="L28" s="582">
        <v>0</v>
      </c>
      <c r="M28" s="578"/>
      <c r="N28" s="578"/>
    </row>
    <row r="29" spans="1:14">
      <c r="A29" s="358">
        <v>23</v>
      </c>
      <c r="B29" s="373" t="s">
        <v>417</v>
      </c>
      <c r="C29" s="579">
        <v>10971704.210100001</v>
      </c>
      <c r="D29" s="577">
        <v>9040003.4222999997</v>
      </c>
      <c r="E29" s="577">
        <v>0</v>
      </c>
      <c r="F29" s="582">
        <v>1931700.7878</v>
      </c>
      <c r="G29" s="582">
        <v>0</v>
      </c>
      <c r="H29" s="577">
        <v>261167.81969999999</v>
      </c>
      <c r="I29" s="582">
        <v>45122.409200000002</v>
      </c>
      <c r="J29" s="582">
        <v>0</v>
      </c>
      <c r="K29" s="582">
        <v>216045.4105</v>
      </c>
      <c r="L29" s="582">
        <v>0</v>
      </c>
      <c r="M29" s="578"/>
      <c r="N29" s="578"/>
    </row>
    <row r="30" spans="1:14">
      <c r="A30" s="358">
        <v>24</v>
      </c>
      <c r="B30" s="373" t="s">
        <v>488</v>
      </c>
      <c r="C30" s="579">
        <v>13458384.463199999</v>
      </c>
      <c r="D30" s="577">
        <v>3136652.65</v>
      </c>
      <c r="E30" s="577">
        <v>0</v>
      </c>
      <c r="F30" s="582">
        <v>7769791.1869999999</v>
      </c>
      <c r="G30" s="582">
        <v>2551940.6261999998</v>
      </c>
      <c r="H30" s="577">
        <v>4226146.1546</v>
      </c>
      <c r="I30" s="582">
        <v>28697.775099999999</v>
      </c>
      <c r="J30" s="582">
        <v>0</v>
      </c>
      <c r="K30" s="582">
        <v>3028512.9010000001</v>
      </c>
      <c r="L30" s="582">
        <v>1168935.4785</v>
      </c>
      <c r="M30" s="578"/>
      <c r="N30" s="578"/>
    </row>
    <row r="31" spans="1:14">
      <c r="A31" s="358">
        <v>25</v>
      </c>
      <c r="B31" s="373" t="s">
        <v>418</v>
      </c>
      <c r="C31" s="579">
        <v>499446.91720000003</v>
      </c>
      <c r="D31" s="577">
        <v>499446.91720000003</v>
      </c>
      <c r="E31" s="577">
        <v>0</v>
      </c>
      <c r="F31" s="582">
        <v>0</v>
      </c>
      <c r="G31" s="582">
        <v>0</v>
      </c>
      <c r="H31" s="577">
        <v>0</v>
      </c>
      <c r="I31" s="582">
        <v>0</v>
      </c>
      <c r="J31" s="582">
        <v>0</v>
      </c>
      <c r="K31" s="582">
        <v>0</v>
      </c>
      <c r="L31" s="582">
        <v>0</v>
      </c>
      <c r="M31" s="578"/>
      <c r="N31" s="578"/>
    </row>
    <row r="32" spans="1:14">
      <c r="A32" s="358">
        <v>26</v>
      </c>
      <c r="B32" s="373" t="s">
        <v>485</v>
      </c>
      <c r="C32" s="579">
        <v>15638.2587</v>
      </c>
      <c r="D32" s="577">
        <v>15035.43</v>
      </c>
      <c r="E32" s="577">
        <v>6.3604000000000003</v>
      </c>
      <c r="F32" s="582">
        <v>596.4683</v>
      </c>
      <c r="G32" s="582">
        <v>0</v>
      </c>
      <c r="H32" s="577">
        <v>671.60360000000003</v>
      </c>
      <c r="I32" s="582">
        <v>397.41640000000001</v>
      </c>
      <c r="J32" s="582">
        <v>3.3E-3</v>
      </c>
      <c r="K32" s="582">
        <v>274.18389999999999</v>
      </c>
      <c r="L32" s="582">
        <v>0</v>
      </c>
      <c r="M32" s="578"/>
      <c r="N32" s="578"/>
    </row>
    <row r="33" spans="1:14">
      <c r="A33" s="358">
        <v>27</v>
      </c>
      <c r="B33" s="395" t="s">
        <v>64</v>
      </c>
      <c r="C33" s="583">
        <f>SUM(C7:C32)</f>
        <v>429884305.52560002</v>
      </c>
      <c r="D33" s="583">
        <f t="shared" ref="D33:L33" si="0">SUM(D7:D32)</f>
        <v>399869355.0104</v>
      </c>
      <c r="E33" s="583">
        <f t="shared" si="0"/>
        <v>1251514.3965999999</v>
      </c>
      <c r="F33" s="583">
        <f t="shared" si="0"/>
        <v>26211495.492399998</v>
      </c>
      <c r="G33" s="583">
        <f t="shared" si="0"/>
        <v>2551940.6261999998</v>
      </c>
      <c r="H33" s="583">
        <f t="shared" si="0"/>
        <v>9498280.4569999985</v>
      </c>
      <c r="I33" s="583">
        <f t="shared" si="0"/>
        <v>2545386.0492000002</v>
      </c>
      <c r="J33" s="583">
        <f t="shared" si="0"/>
        <v>196314.81150000001</v>
      </c>
      <c r="K33" s="583">
        <f t="shared" si="0"/>
        <v>5587644.1178000001</v>
      </c>
      <c r="L33" s="583">
        <f t="shared" si="0"/>
        <v>1168935.4785</v>
      </c>
      <c r="M33" s="578"/>
      <c r="N33" s="578"/>
    </row>
    <row r="35" spans="1:14">
      <c r="B35" s="394"/>
      <c r="C35" s="648"/>
      <c r="D35" s="648"/>
      <c r="E35" s="648"/>
      <c r="F35" s="648"/>
      <c r="G35" s="648"/>
      <c r="H35" s="648"/>
      <c r="I35" s="648"/>
      <c r="J35" s="648"/>
      <c r="K35" s="648"/>
      <c r="L35" s="648"/>
    </row>
    <row r="36" spans="1:14">
      <c r="C36" s="648"/>
      <c r="D36" s="648"/>
      <c r="E36" s="648"/>
      <c r="F36" s="648"/>
      <c r="G36" s="648"/>
      <c r="H36" s="648"/>
      <c r="I36" s="648"/>
      <c r="J36" s="648"/>
      <c r="K36" s="648"/>
      <c r="L36" s="648"/>
    </row>
    <row r="37" spans="1:14">
      <c r="C37" s="648"/>
      <c r="D37" s="648"/>
      <c r="E37" s="648"/>
      <c r="F37" s="648"/>
      <c r="G37" s="648"/>
      <c r="H37" s="648"/>
      <c r="I37" s="648"/>
      <c r="J37" s="648"/>
      <c r="K37" s="648"/>
      <c r="L37" s="648"/>
    </row>
    <row r="38" spans="1:14">
      <c r="C38" s="648"/>
      <c r="D38" s="648"/>
      <c r="E38" s="648"/>
      <c r="F38" s="648"/>
      <c r="G38" s="648"/>
      <c r="H38" s="648"/>
      <c r="I38" s="648"/>
      <c r="J38" s="648"/>
      <c r="K38" s="648"/>
      <c r="L38" s="648"/>
    </row>
    <row r="39" spans="1:14">
      <c r="C39" s="648"/>
      <c r="D39" s="648"/>
      <c r="E39" s="648"/>
      <c r="F39" s="648"/>
      <c r="G39" s="648"/>
      <c r="H39" s="648"/>
      <c r="I39" s="648"/>
      <c r="J39" s="648"/>
      <c r="K39" s="648"/>
      <c r="L39" s="648"/>
    </row>
    <row r="40" spans="1:14">
      <c r="C40" s="648"/>
      <c r="D40" s="648"/>
      <c r="E40" s="648"/>
      <c r="F40" s="648"/>
      <c r="G40" s="648"/>
      <c r="H40" s="648"/>
      <c r="I40" s="648"/>
      <c r="J40" s="648"/>
      <c r="K40" s="648"/>
      <c r="L40" s="648"/>
    </row>
    <row r="41" spans="1:14">
      <c r="C41" s="648"/>
      <c r="D41" s="648"/>
      <c r="E41" s="648"/>
      <c r="F41" s="648"/>
      <c r="G41" s="648"/>
      <c r="H41" s="648"/>
      <c r="I41" s="648"/>
      <c r="J41" s="648"/>
      <c r="K41" s="648"/>
      <c r="L41" s="648"/>
    </row>
    <row r="42" spans="1:14">
      <c r="C42" s="648"/>
      <c r="D42" s="648"/>
      <c r="E42" s="648"/>
      <c r="F42" s="648"/>
      <c r="G42" s="648"/>
      <c r="H42" s="648"/>
      <c r="I42" s="648"/>
      <c r="J42" s="648"/>
      <c r="K42" s="648"/>
      <c r="L42" s="648"/>
    </row>
    <row r="43" spans="1:14">
      <c r="C43" s="648"/>
      <c r="D43" s="648"/>
      <c r="E43" s="648"/>
      <c r="F43" s="648"/>
      <c r="G43" s="648"/>
      <c r="H43" s="648"/>
      <c r="I43" s="648"/>
      <c r="J43" s="648"/>
      <c r="K43" s="648"/>
      <c r="L43" s="648"/>
    </row>
    <row r="44" spans="1:14">
      <c r="C44" s="648"/>
      <c r="D44" s="648"/>
      <c r="E44" s="648"/>
      <c r="F44" s="648"/>
      <c r="G44" s="648"/>
      <c r="H44" s="648"/>
      <c r="I44" s="648"/>
      <c r="J44" s="648"/>
      <c r="K44" s="648"/>
      <c r="L44" s="648"/>
    </row>
    <row r="45" spans="1:14">
      <c r="C45" s="648"/>
      <c r="D45" s="648"/>
      <c r="E45" s="648"/>
      <c r="F45" s="648"/>
      <c r="G45" s="648"/>
      <c r="H45" s="648"/>
      <c r="I45" s="648"/>
      <c r="J45" s="648"/>
      <c r="K45" s="648"/>
      <c r="L45" s="648"/>
    </row>
    <row r="46" spans="1:14">
      <c r="C46" s="648"/>
      <c r="D46" s="648"/>
      <c r="E46" s="648"/>
      <c r="F46" s="648"/>
      <c r="G46" s="648"/>
      <c r="H46" s="648"/>
      <c r="I46" s="648"/>
      <c r="J46" s="648"/>
      <c r="K46" s="648"/>
      <c r="L46" s="648"/>
    </row>
    <row r="47" spans="1:14">
      <c r="C47" s="648"/>
      <c r="D47" s="648"/>
      <c r="E47" s="648"/>
      <c r="F47" s="648"/>
      <c r="G47" s="648"/>
      <c r="H47" s="648"/>
      <c r="I47" s="648"/>
      <c r="J47" s="648"/>
      <c r="K47" s="648"/>
      <c r="L47" s="648"/>
    </row>
    <row r="48" spans="1:14">
      <c r="C48" s="648"/>
      <c r="D48" s="648"/>
      <c r="E48" s="648"/>
      <c r="F48" s="648"/>
      <c r="G48" s="648"/>
      <c r="H48" s="648"/>
      <c r="I48" s="648"/>
      <c r="J48" s="648"/>
      <c r="K48" s="648"/>
      <c r="L48" s="648"/>
    </row>
    <row r="49" spans="3:12">
      <c r="C49" s="648"/>
      <c r="D49" s="648"/>
      <c r="E49" s="648"/>
      <c r="F49" s="648"/>
      <c r="G49" s="648"/>
      <c r="H49" s="648"/>
      <c r="I49" s="648"/>
      <c r="J49" s="648"/>
      <c r="K49" s="648"/>
      <c r="L49" s="648"/>
    </row>
    <row r="50" spans="3:12">
      <c r="C50" s="648"/>
      <c r="D50" s="648"/>
      <c r="E50" s="648"/>
      <c r="F50" s="648"/>
      <c r="G50" s="648"/>
      <c r="H50" s="648"/>
      <c r="I50" s="648"/>
      <c r="J50" s="648"/>
      <c r="K50" s="648"/>
      <c r="L50" s="648"/>
    </row>
    <row r="51" spans="3:12">
      <c r="C51" s="648"/>
      <c r="D51" s="648"/>
      <c r="E51" s="648"/>
      <c r="F51" s="648"/>
      <c r="G51" s="648"/>
      <c r="H51" s="648"/>
      <c r="I51" s="648"/>
      <c r="J51" s="648"/>
      <c r="K51" s="648"/>
      <c r="L51" s="648"/>
    </row>
    <row r="52" spans="3:12">
      <c r="C52" s="648"/>
      <c r="D52" s="648"/>
      <c r="E52" s="648"/>
      <c r="F52" s="648"/>
      <c r="G52" s="648"/>
      <c r="H52" s="648"/>
      <c r="I52" s="648"/>
      <c r="J52" s="648"/>
      <c r="K52" s="648"/>
      <c r="L52" s="648"/>
    </row>
    <row r="53" spans="3:12">
      <c r="C53" s="648"/>
      <c r="D53" s="648"/>
      <c r="E53" s="648"/>
      <c r="F53" s="648"/>
      <c r="G53" s="648"/>
      <c r="H53" s="648"/>
      <c r="I53" s="648"/>
      <c r="J53" s="648"/>
      <c r="K53" s="648"/>
      <c r="L53" s="648"/>
    </row>
    <row r="54" spans="3:12">
      <c r="C54" s="648"/>
      <c r="D54" s="648"/>
      <c r="E54" s="648"/>
      <c r="F54" s="648"/>
      <c r="G54" s="648"/>
      <c r="H54" s="648"/>
      <c r="I54" s="648"/>
      <c r="J54" s="648"/>
      <c r="K54" s="648"/>
      <c r="L54" s="648"/>
    </row>
    <row r="55" spans="3:12">
      <c r="C55" s="648"/>
      <c r="D55" s="648"/>
      <c r="E55" s="648"/>
      <c r="F55" s="648"/>
      <c r="G55" s="648"/>
      <c r="H55" s="648"/>
      <c r="I55" s="648"/>
      <c r="J55" s="648"/>
      <c r="K55" s="648"/>
      <c r="L55" s="648"/>
    </row>
    <row r="56" spans="3:12">
      <c r="C56" s="648"/>
      <c r="D56" s="648"/>
      <c r="E56" s="648"/>
      <c r="F56" s="648"/>
      <c r="G56" s="648"/>
      <c r="H56" s="648"/>
      <c r="I56" s="648"/>
      <c r="J56" s="648"/>
      <c r="K56" s="648"/>
      <c r="L56" s="648"/>
    </row>
    <row r="57" spans="3:12">
      <c r="C57" s="648"/>
      <c r="D57" s="648"/>
      <c r="E57" s="648"/>
      <c r="F57" s="648"/>
      <c r="G57" s="648"/>
      <c r="H57" s="648"/>
      <c r="I57" s="648"/>
      <c r="J57" s="648"/>
      <c r="K57" s="648"/>
      <c r="L57" s="648"/>
    </row>
    <row r="58" spans="3:12">
      <c r="C58" s="648"/>
      <c r="D58" s="648"/>
      <c r="E58" s="648"/>
      <c r="F58" s="648"/>
      <c r="G58" s="648"/>
      <c r="H58" s="648"/>
      <c r="I58" s="648"/>
      <c r="J58" s="648"/>
      <c r="K58" s="648"/>
      <c r="L58" s="648"/>
    </row>
    <row r="59" spans="3:12">
      <c r="C59" s="648"/>
      <c r="D59" s="648"/>
      <c r="E59" s="648"/>
      <c r="F59" s="648"/>
      <c r="G59" s="648"/>
      <c r="H59" s="648"/>
      <c r="I59" s="648"/>
      <c r="J59" s="648"/>
      <c r="K59" s="648"/>
      <c r="L59" s="648"/>
    </row>
    <row r="60" spans="3:12">
      <c r="C60" s="648"/>
      <c r="D60" s="648"/>
      <c r="E60" s="648"/>
      <c r="F60" s="648"/>
      <c r="G60" s="648"/>
      <c r="H60" s="648"/>
      <c r="I60" s="648"/>
      <c r="J60" s="648"/>
      <c r="K60" s="648"/>
      <c r="L60" s="648"/>
    </row>
    <row r="61" spans="3:12">
      <c r="C61" s="648"/>
      <c r="D61" s="648"/>
      <c r="E61" s="648"/>
      <c r="F61" s="648"/>
      <c r="G61" s="648"/>
      <c r="H61" s="648"/>
      <c r="I61" s="648"/>
      <c r="J61" s="648"/>
      <c r="K61" s="648"/>
      <c r="L61" s="648"/>
    </row>
    <row r="62" spans="3:12">
      <c r="C62" s="648"/>
      <c r="D62" s="648"/>
      <c r="E62" s="648"/>
      <c r="F62" s="648"/>
      <c r="G62" s="648"/>
      <c r="H62" s="648"/>
      <c r="I62" s="648"/>
      <c r="J62" s="648"/>
      <c r="K62" s="648"/>
      <c r="L62" s="648"/>
    </row>
    <row r="63" spans="3:12">
      <c r="C63" s="648"/>
      <c r="D63" s="648"/>
      <c r="E63" s="648"/>
      <c r="F63" s="648"/>
      <c r="G63" s="648"/>
      <c r="H63" s="648"/>
      <c r="I63" s="648"/>
      <c r="J63" s="648"/>
      <c r="K63" s="648"/>
      <c r="L63" s="648"/>
    </row>
    <row r="64" spans="3:12">
      <c r="C64" s="648"/>
      <c r="D64" s="648"/>
      <c r="E64" s="648"/>
      <c r="F64" s="648"/>
      <c r="G64" s="648"/>
      <c r="H64" s="648"/>
      <c r="I64" s="648"/>
      <c r="J64" s="648"/>
      <c r="K64" s="648"/>
      <c r="L64" s="648"/>
    </row>
    <row r="65" spans="3:12">
      <c r="C65" s="648"/>
      <c r="D65" s="648"/>
      <c r="E65" s="648"/>
      <c r="F65" s="648"/>
      <c r="G65" s="648"/>
      <c r="H65" s="648"/>
      <c r="I65" s="648"/>
      <c r="J65" s="648"/>
      <c r="K65" s="648"/>
      <c r="L65" s="648"/>
    </row>
    <row r="66" spans="3:12">
      <c r="C66" s="648"/>
      <c r="D66" s="648"/>
      <c r="E66" s="648"/>
      <c r="F66" s="648"/>
      <c r="G66" s="648"/>
      <c r="H66" s="648"/>
      <c r="I66" s="648"/>
      <c r="J66" s="648"/>
      <c r="K66" s="648"/>
      <c r="L66" s="648"/>
    </row>
    <row r="67" spans="3:12">
      <c r="C67" s="648"/>
      <c r="D67" s="648"/>
      <c r="E67" s="648"/>
      <c r="F67" s="648"/>
      <c r="G67" s="648"/>
      <c r="H67" s="648"/>
      <c r="I67" s="648"/>
      <c r="J67" s="648"/>
      <c r="K67" s="648"/>
      <c r="L67" s="648"/>
    </row>
    <row r="68" spans="3:12">
      <c r="C68" s="648"/>
      <c r="D68" s="648"/>
      <c r="E68" s="648"/>
      <c r="F68" s="648"/>
      <c r="G68" s="648"/>
      <c r="H68" s="648"/>
      <c r="I68" s="648"/>
      <c r="J68" s="648"/>
      <c r="K68" s="648"/>
      <c r="L68" s="648"/>
    </row>
    <row r="69" spans="3:12">
      <c r="C69" s="648"/>
      <c r="D69" s="648"/>
      <c r="E69" s="648"/>
      <c r="F69" s="648"/>
      <c r="G69" s="648"/>
      <c r="H69" s="648"/>
      <c r="I69" s="648"/>
      <c r="J69" s="648"/>
      <c r="K69" s="648"/>
      <c r="L69" s="648"/>
    </row>
    <row r="70" spans="3:12">
      <c r="C70" s="648"/>
      <c r="D70" s="648"/>
      <c r="E70" s="648"/>
      <c r="F70" s="648"/>
      <c r="G70" s="648"/>
      <c r="H70" s="648"/>
      <c r="I70" s="648"/>
      <c r="J70" s="648"/>
      <c r="K70" s="648"/>
      <c r="L70" s="648"/>
    </row>
    <row r="71" spans="3:12">
      <c r="C71" s="648"/>
      <c r="D71" s="648"/>
      <c r="E71" s="648"/>
      <c r="F71" s="648"/>
      <c r="G71" s="648"/>
      <c r="H71" s="648"/>
      <c r="I71" s="648"/>
      <c r="J71" s="648"/>
      <c r="K71" s="648"/>
      <c r="L71" s="648"/>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paperSize="9" scale="29" orientation="portrait" horizontalDpi="300" verticalDpi="300" r:id="rId1"/>
  <headerFooter>
    <oddFooter>&amp;C_x000D_&amp;1#&amp;"Aptos"&amp;10&amp;K000000 C4 - EXTERNAL CONFIDENTIAL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19"/>
  <sheetViews>
    <sheetView showGridLines="0" zoomScale="80" zoomScaleNormal="80" workbookViewId="0">
      <selection activeCell="C14" sqref="C14"/>
    </sheetView>
  </sheetViews>
  <sheetFormatPr defaultColWidth="8.77734375" defaultRowHeight="12"/>
  <cols>
    <col min="1" max="1" width="11.77734375" style="396" bestFit="1" customWidth="1"/>
    <col min="2" max="2" width="68.77734375" style="396" customWidth="1"/>
    <col min="3" max="11" width="28.21875" style="396" customWidth="1"/>
    <col min="12" max="16384" width="8.77734375" style="396"/>
  </cols>
  <sheetData>
    <row r="1" spans="1:11" s="369" customFormat="1" ht="13.8">
      <c r="A1" s="294" t="s">
        <v>30</v>
      </c>
      <c r="B1" s="356" t="str">
        <f>'Info '!C2</f>
        <v xml:space="preserve">PASHA Bank Georgia JSC </v>
      </c>
    </row>
    <row r="2" spans="1:11" s="369" customFormat="1">
      <c r="A2" s="294" t="s">
        <v>31</v>
      </c>
      <c r="B2" s="355">
        <f>'1. key ratios '!B2</f>
        <v>46022</v>
      </c>
    </row>
    <row r="3" spans="1:11" s="369" customFormat="1" ht="13.8" customHeight="1">
      <c r="A3" s="295" t="s">
        <v>468</v>
      </c>
    </row>
    <row r="4" spans="1:11" ht="13.8" customHeight="1">
      <c r="C4" s="399" t="s">
        <v>662</v>
      </c>
      <c r="D4" s="399" t="s">
        <v>661</v>
      </c>
      <c r="E4" s="399" t="s">
        <v>660</v>
      </c>
      <c r="F4" s="399" t="s">
        <v>659</v>
      </c>
      <c r="G4" s="399" t="s">
        <v>658</v>
      </c>
      <c r="H4" s="399" t="s">
        <v>657</v>
      </c>
      <c r="I4" s="399" t="s">
        <v>656</v>
      </c>
      <c r="J4" s="399" t="s">
        <v>655</v>
      </c>
      <c r="K4" s="399" t="s">
        <v>654</v>
      </c>
    </row>
    <row r="5" spans="1:11" ht="103.95" customHeight="1">
      <c r="A5" s="847" t="s">
        <v>653</v>
      </c>
      <c r="B5" s="848"/>
      <c r="C5" s="398" t="s">
        <v>469</v>
      </c>
      <c r="D5" s="398" t="s">
        <v>470</v>
      </c>
      <c r="E5" s="398" t="s">
        <v>471</v>
      </c>
      <c r="F5" s="398" t="s">
        <v>472</v>
      </c>
      <c r="G5" s="398" t="s">
        <v>473</v>
      </c>
      <c r="H5" s="398" t="s">
        <v>474</v>
      </c>
      <c r="I5" s="398" t="s">
        <v>475</v>
      </c>
      <c r="J5" s="398" t="s">
        <v>476</v>
      </c>
      <c r="K5" s="398" t="s">
        <v>477</v>
      </c>
    </row>
    <row r="6" spans="1:11">
      <c r="A6" s="358">
        <v>1</v>
      </c>
      <c r="B6" s="358" t="s">
        <v>437</v>
      </c>
      <c r="C6" s="573">
        <v>54115541.875500001</v>
      </c>
      <c r="D6" s="573"/>
      <c r="E6" s="573"/>
      <c r="F6" s="573"/>
      <c r="G6" s="573">
        <v>251285673.6304</v>
      </c>
      <c r="H6" s="573"/>
      <c r="I6" s="573">
        <v>59999223.011500001</v>
      </c>
      <c r="J6" s="573">
        <v>9950861.7235000003</v>
      </c>
      <c r="K6" s="573">
        <v>54533005.284699999</v>
      </c>
    </row>
    <row r="7" spans="1:11">
      <c r="A7" s="358">
        <v>2</v>
      </c>
      <c r="B7" s="358" t="s">
        <v>478</v>
      </c>
      <c r="C7" s="573"/>
      <c r="D7" s="573"/>
      <c r="E7" s="573"/>
      <c r="F7" s="573"/>
      <c r="G7" s="573">
        <v>3044562.08</v>
      </c>
      <c r="H7" s="573"/>
      <c r="I7" s="573">
        <v>18730359.77</v>
      </c>
      <c r="J7" s="573">
        <v>0</v>
      </c>
      <c r="K7" s="573">
        <v>72027363.310000002</v>
      </c>
    </row>
    <row r="8" spans="1:11">
      <c r="A8" s="358">
        <v>3</v>
      </c>
      <c r="B8" s="358" t="s">
        <v>445</v>
      </c>
      <c r="C8" s="573">
        <v>2699716.4578</v>
      </c>
      <c r="D8" s="573"/>
      <c r="E8" s="573">
        <v>254.09399999999999</v>
      </c>
      <c r="F8" s="573"/>
      <c r="G8" s="573">
        <v>23165256.4991</v>
      </c>
      <c r="H8" s="573"/>
      <c r="I8" s="573">
        <v>6957825.3273999998</v>
      </c>
      <c r="J8" s="573">
        <v>9231840.7497000005</v>
      </c>
      <c r="K8" s="573">
        <v>41756339.0559</v>
      </c>
    </row>
    <row r="9" spans="1:11">
      <c r="A9" s="358">
        <v>4</v>
      </c>
      <c r="B9" s="378" t="s">
        <v>479</v>
      </c>
      <c r="C9" s="602"/>
      <c r="D9" s="602"/>
      <c r="E9" s="602"/>
      <c r="F9" s="602"/>
      <c r="G9" s="602">
        <v>28243869.3101</v>
      </c>
      <c r="H9" s="602"/>
      <c r="I9" s="602">
        <v>16.164999999999999</v>
      </c>
      <c r="J9" s="602">
        <v>341756.83419999998</v>
      </c>
      <c r="K9" s="602">
        <v>177793.80929999999</v>
      </c>
    </row>
    <row r="10" spans="1:11">
      <c r="A10" s="358">
        <v>5</v>
      </c>
      <c r="B10" s="378" t="s">
        <v>480</v>
      </c>
      <c r="C10" s="602"/>
      <c r="D10" s="602"/>
      <c r="E10" s="602"/>
      <c r="F10" s="602"/>
      <c r="G10" s="602"/>
      <c r="H10" s="602"/>
      <c r="I10" s="602"/>
      <c r="J10" s="602"/>
      <c r="K10" s="602"/>
    </row>
    <row r="11" spans="1:11">
      <c r="A11" s="358">
        <v>6</v>
      </c>
      <c r="B11" s="378" t="s">
        <v>481</v>
      </c>
      <c r="C11" s="602">
        <v>0</v>
      </c>
      <c r="D11" s="602"/>
      <c r="E11" s="602"/>
      <c r="F11" s="602"/>
      <c r="G11" s="602">
        <v>0</v>
      </c>
      <c r="H11" s="602"/>
      <c r="I11" s="602">
        <v>0</v>
      </c>
      <c r="J11" s="602">
        <v>0</v>
      </c>
      <c r="K11" s="602">
        <v>309100</v>
      </c>
    </row>
    <row r="13" spans="1:11" ht="13.8">
      <c r="B13" s="397"/>
      <c r="C13" s="649"/>
      <c r="D13" s="649"/>
      <c r="E13" s="649"/>
      <c r="F13" s="649"/>
      <c r="G13" s="649"/>
      <c r="H13" s="649"/>
      <c r="I13" s="649"/>
      <c r="J13" s="649"/>
      <c r="K13" s="649"/>
    </row>
    <row r="14" spans="1:11">
      <c r="C14" s="649"/>
      <c r="D14" s="649"/>
      <c r="E14" s="649"/>
      <c r="F14" s="649"/>
      <c r="G14" s="649"/>
      <c r="H14" s="649"/>
      <c r="I14" s="649"/>
      <c r="J14" s="649"/>
      <c r="K14" s="649"/>
    </row>
    <row r="15" spans="1:11">
      <c r="C15" s="649"/>
      <c r="D15" s="649"/>
      <c r="E15" s="649"/>
      <c r="F15" s="649"/>
      <c r="G15" s="649"/>
      <c r="H15" s="649"/>
      <c r="I15" s="649"/>
      <c r="J15" s="649"/>
      <c r="K15" s="649"/>
    </row>
    <row r="16" spans="1:11">
      <c r="C16" s="649"/>
      <c r="D16" s="649"/>
      <c r="E16" s="649"/>
      <c r="F16" s="649"/>
      <c r="G16" s="649"/>
      <c r="H16" s="649"/>
      <c r="I16" s="649"/>
      <c r="J16" s="649"/>
      <c r="K16" s="649"/>
    </row>
    <row r="17" spans="3:11">
      <c r="C17" s="649"/>
      <c r="D17" s="649"/>
      <c r="E17" s="649"/>
      <c r="F17" s="649"/>
      <c r="G17" s="649"/>
      <c r="H17" s="649"/>
      <c r="I17" s="649"/>
      <c r="J17" s="649"/>
      <c r="K17" s="649"/>
    </row>
    <row r="18" spans="3:11">
      <c r="C18" s="649"/>
      <c r="D18" s="649"/>
      <c r="E18" s="649"/>
      <c r="F18" s="649"/>
      <c r="G18" s="649"/>
      <c r="H18" s="649"/>
      <c r="I18" s="649"/>
      <c r="J18" s="649"/>
      <c r="K18" s="649"/>
    </row>
    <row r="19" spans="3:11">
      <c r="C19" s="649"/>
      <c r="D19" s="649"/>
      <c r="E19" s="649"/>
      <c r="F19" s="649"/>
      <c r="G19" s="649"/>
      <c r="H19" s="649"/>
      <c r="I19" s="649"/>
      <c r="J19" s="649"/>
      <c r="K19" s="649"/>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paperSize="9" scale="26" orientation="portrait" horizontalDpi="300" verticalDpi="300" r:id="rId1"/>
  <headerFooter>
    <oddFooter>&amp;C_x000D_&amp;1#&amp;"Aptos"&amp;10&amp;K000000 C4 - EXTERNAL CONFIDENTIAL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7"/>
  <sheetViews>
    <sheetView showGridLines="0" zoomScale="80" zoomScaleNormal="80" workbookViewId="0">
      <selection activeCell="D2" sqref="D2"/>
    </sheetView>
  </sheetViews>
  <sheetFormatPr defaultColWidth="8.77734375" defaultRowHeight="14.4"/>
  <cols>
    <col min="1" max="1" width="12.21875" style="400" customWidth="1"/>
    <col min="2" max="2" width="71.77734375" style="400" customWidth="1"/>
    <col min="3" max="3" width="10.6640625" style="400" bestFit="1" customWidth="1"/>
    <col min="4" max="7" width="15.5546875" style="400" customWidth="1"/>
    <col min="8" max="8" width="10.6640625" style="400" bestFit="1" customWidth="1"/>
    <col min="9" max="12" width="17.21875" style="400" customWidth="1"/>
    <col min="13" max="13" width="10.6640625" style="400" bestFit="1" customWidth="1"/>
    <col min="14" max="17" width="16.21875" style="400" customWidth="1"/>
    <col min="18" max="18" width="12.21875" style="400" bestFit="1" customWidth="1"/>
    <col min="19" max="19" width="46.88671875" style="400" bestFit="1" customWidth="1"/>
    <col min="20" max="20" width="43.44140625" style="400" bestFit="1" customWidth="1"/>
    <col min="21" max="21" width="45.88671875" style="400" bestFit="1" customWidth="1"/>
    <col min="22" max="22" width="43.33203125" style="400" bestFit="1" customWidth="1"/>
    <col min="23" max="16384" width="8.77734375" style="400"/>
  </cols>
  <sheetData>
    <row r="1" spans="1:22">
      <c r="A1" s="294" t="s">
        <v>30</v>
      </c>
      <c r="B1" s="356" t="str">
        <f>'Info '!C2</f>
        <v xml:space="preserve">PASHA Bank Georgia JSC </v>
      </c>
    </row>
    <row r="2" spans="1:22">
      <c r="A2" s="294" t="s">
        <v>31</v>
      </c>
      <c r="B2" s="355">
        <f>'1. key ratios '!B2</f>
        <v>46022</v>
      </c>
    </row>
    <row r="3" spans="1:22">
      <c r="A3" s="295" t="s">
        <v>496</v>
      </c>
      <c r="B3" s="369"/>
    </row>
    <row r="4" spans="1:22">
      <c r="A4" s="295"/>
      <c r="B4" s="369"/>
    </row>
    <row r="5" spans="1:22" ht="24" customHeight="1">
      <c r="A5" s="849" t="s">
        <v>497</v>
      </c>
      <c r="B5" s="850"/>
      <c r="C5" s="854" t="s">
        <v>663</v>
      </c>
      <c r="D5" s="854"/>
      <c r="E5" s="854"/>
      <c r="F5" s="854"/>
      <c r="G5" s="854"/>
      <c r="H5" s="854" t="s">
        <v>515</v>
      </c>
      <c r="I5" s="854"/>
      <c r="J5" s="854"/>
      <c r="K5" s="854"/>
      <c r="L5" s="854"/>
      <c r="M5" s="854" t="s">
        <v>627</v>
      </c>
      <c r="N5" s="854"/>
      <c r="O5" s="854"/>
      <c r="P5" s="854"/>
      <c r="Q5" s="854"/>
      <c r="R5" s="853" t="s">
        <v>498</v>
      </c>
      <c r="S5" s="853" t="s">
        <v>512</v>
      </c>
      <c r="T5" s="853" t="s">
        <v>513</v>
      </c>
      <c r="U5" s="853" t="s">
        <v>672</v>
      </c>
      <c r="V5" s="853" t="s">
        <v>673</v>
      </c>
    </row>
    <row r="6" spans="1:22" ht="36" customHeight="1">
      <c r="A6" s="851"/>
      <c r="B6" s="852"/>
      <c r="C6" s="405"/>
      <c r="D6" s="367" t="s">
        <v>648</v>
      </c>
      <c r="E6" s="367" t="s">
        <v>647</v>
      </c>
      <c r="F6" s="367" t="s">
        <v>646</v>
      </c>
      <c r="G6" s="367" t="s">
        <v>645</v>
      </c>
      <c r="H6" s="405"/>
      <c r="I6" s="367" t="s">
        <v>648</v>
      </c>
      <c r="J6" s="367" t="s">
        <v>647</v>
      </c>
      <c r="K6" s="367" t="s">
        <v>646</v>
      </c>
      <c r="L6" s="367" t="s">
        <v>645</v>
      </c>
      <c r="M6" s="405"/>
      <c r="N6" s="367" t="s">
        <v>648</v>
      </c>
      <c r="O6" s="367" t="s">
        <v>647</v>
      </c>
      <c r="P6" s="367" t="s">
        <v>646</v>
      </c>
      <c r="Q6" s="367" t="s">
        <v>645</v>
      </c>
      <c r="R6" s="853"/>
      <c r="S6" s="853"/>
      <c r="T6" s="853"/>
      <c r="U6" s="853"/>
      <c r="V6" s="853"/>
    </row>
    <row r="7" spans="1:22" s="706" customFormat="1" ht="21" customHeight="1">
      <c r="A7" s="701">
        <v>1</v>
      </c>
      <c r="B7" s="404" t="s">
        <v>506</v>
      </c>
      <c r="C7" s="702"/>
      <c r="D7" s="703"/>
      <c r="E7" s="703"/>
      <c r="F7" s="703"/>
      <c r="G7" s="703"/>
      <c r="H7" s="703"/>
      <c r="I7" s="703"/>
      <c r="J7" s="703"/>
      <c r="K7" s="703"/>
      <c r="L7" s="703"/>
      <c r="M7" s="703"/>
      <c r="N7" s="703"/>
      <c r="O7" s="703"/>
      <c r="P7" s="703"/>
      <c r="Q7" s="703"/>
      <c r="R7" s="703">
        <v>0</v>
      </c>
      <c r="S7" s="704"/>
      <c r="T7" s="704"/>
      <c r="U7" s="704"/>
      <c r="V7" s="705"/>
    </row>
    <row r="8" spans="1:22" s="706" customFormat="1" ht="21" customHeight="1">
      <c r="A8" s="701">
        <v>2</v>
      </c>
      <c r="B8" s="403" t="s">
        <v>505</v>
      </c>
      <c r="C8" s="702">
        <v>587510.31000000006</v>
      </c>
      <c r="D8" s="703">
        <v>573014.42000000004</v>
      </c>
      <c r="E8" s="703">
        <v>0</v>
      </c>
      <c r="F8" s="703">
        <v>14495.89</v>
      </c>
      <c r="G8" s="703"/>
      <c r="H8" s="703">
        <v>599025.05720000004</v>
      </c>
      <c r="I8" s="703">
        <v>584159.85719999997</v>
      </c>
      <c r="J8" s="703">
        <v>0</v>
      </c>
      <c r="K8" s="703">
        <v>14865.2</v>
      </c>
      <c r="L8" s="703"/>
      <c r="M8" s="703">
        <v>13769.6837</v>
      </c>
      <c r="N8" s="703">
        <v>1368.0057999999999</v>
      </c>
      <c r="O8" s="703">
        <v>0</v>
      </c>
      <c r="P8" s="703">
        <v>12401.677900000001</v>
      </c>
      <c r="Q8" s="703"/>
      <c r="R8" s="703">
        <v>26</v>
      </c>
      <c r="S8" s="704">
        <v>0.121</v>
      </c>
      <c r="T8" s="704">
        <v>0.13930000000000001</v>
      </c>
      <c r="U8" s="704">
        <v>9.9000000000000005E-2</v>
      </c>
      <c r="V8" s="705">
        <v>10.766299999999999</v>
      </c>
    </row>
    <row r="9" spans="1:22" s="706" customFormat="1" ht="21" customHeight="1">
      <c r="A9" s="701">
        <v>3</v>
      </c>
      <c r="B9" s="403" t="s">
        <v>504</v>
      </c>
      <c r="C9" s="702"/>
      <c r="D9" s="703"/>
      <c r="E9" s="703"/>
      <c r="F9" s="703"/>
      <c r="G9" s="703"/>
      <c r="H9" s="703"/>
      <c r="I9" s="703"/>
      <c r="J9" s="703"/>
      <c r="K9" s="703"/>
      <c r="L9" s="703"/>
      <c r="M9" s="703"/>
      <c r="N9" s="703"/>
      <c r="O9" s="703"/>
      <c r="P9" s="703"/>
      <c r="Q9" s="703"/>
      <c r="R9" s="703">
        <v>0</v>
      </c>
      <c r="S9" s="704"/>
      <c r="T9" s="704"/>
      <c r="U9" s="704"/>
      <c r="V9" s="705"/>
    </row>
    <row r="10" spans="1:22" s="706" customFormat="1" ht="21" customHeight="1">
      <c r="A10" s="701">
        <v>4</v>
      </c>
      <c r="B10" s="403" t="s">
        <v>503</v>
      </c>
      <c r="C10" s="702"/>
      <c r="D10" s="703"/>
      <c r="E10" s="703"/>
      <c r="F10" s="703"/>
      <c r="G10" s="703"/>
      <c r="H10" s="703"/>
      <c r="I10" s="703"/>
      <c r="J10" s="703"/>
      <c r="K10" s="703"/>
      <c r="L10" s="703"/>
      <c r="M10" s="703"/>
      <c r="N10" s="703"/>
      <c r="O10" s="703"/>
      <c r="P10" s="703"/>
      <c r="Q10" s="703"/>
      <c r="R10" s="703">
        <v>0</v>
      </c>
      <c r="S10" s="704"/>
      <c r="T10" s="704"/>
      <c r="U10" s="704"/>
      <c r="V10" s="705"/>
    </row>
    <row r="11" spans="1:22" s="706" customFormat="1" ht="21" customHeight="1">
      <c r="A11" s="701">
        <v>5</v>
      </c>
      <c r="B11" s="403" t="s">
        <v>502</v>
      </c>
      <c r="C11" s="702">
        <v>3406.0387000000001</v>
      </c>
      <c r="D11" s="703">
        <v>2163.5300000000002</v>
      </c>
      <c r="E11" s="703">
        <v>6.3604000000000003</v>
      </c>
      <c r="F11" s="703">
        <v>1236.1483000000001</v>
      </c>
      <c r="G11" s="703"/>
      <c r="H11" s="703">
        <v>3408.9686999999999</v>
      </c>
      <c r="I11" s="703">
        <v>2166.46</v>
      </c>
      <c r="J11" s="703">
        <v>6.3604000000000003</v>
      </c>
      <c r="K11" s="703">
        <v>1236.1483000000001</v>
      </c>
      <c r="L11" s="703"/>
      <c r="M11" s="703">
        <v>941.47370000000001</v>
      </c>
      <c r="N11" s="703">
        <v>27.6065</v>
      </c>
      <c r="O11" s="703">
        <v>3.3E-3</v>
      </c>
      <c r="P11" s="703">
        <v>913.86389999999994</v>
      </c>
      <c r="Q11" s="703"/>
      <c r="R11" s="703">
        <v>14</v>
      </c>
      <c r="S11" s="704">
        <v>0.14960000000000001</v>
      </c>
      <c r="T11" s="704">
        <v>0.1605</v>
      </c>
      <c r="U11" s="704">
        <v>9.5299999999999996E-2</v>
      </c>
      <c r="V11" s="705">
        <v>11.357486145327313</v>
      </c>
    </row>
    <row r="12" spans="1:22" s="706" customFormat="1" ht="21" customHeight="1">
      <c r="A12" s="701">
        <v>6</v>
      </c>
      <c r="B12" s="403" t="s">
        <v>501</v>
      </c>
      <c r="C12" s="702"/>
      <c r="D12" s="703"/>
      <c r="E12" s="703"/>
      <c r="F12" s="703"/>
      <c r="G12" s="703"/>
      <c r="H12" s="703"/>
      <c r="I12" s="703"/>
      <c r="J12" s="703"/>
      <c r="K12" s="703"/>
      <c r="L12" s="703"/>
      <c r="M12" s="703"/>
      <c r="N12" s="703"/>
      <c r="O12" s="703"/>
      <c r="P12" s="703"/>
      <c r="Q12" s="703"/>
      <c r="R12" s="703">
        <v>0</v>
      </c>
      <c r="S12" s="704"/>
      <c r="T12" s="704"/>
      <c r="U12" s="704"/>
      <c r="V12" s="705"/>
    </row>
    <row r="13" spans="1:22" s="706" customFormat="1" ht="21" customHeight="1">
      <c r="A13" s="701">
        <v>7</v>
      </c>
      <c r="B13" s="403" t="s">
        <v>500</v>
      </c>
      <c r="C13" s="702"/>
      <c r="D13" s="703"/>
      <c r="E13" s="703"/>
      <c r="F13" s="703"/>
      <c r="G13" s="703"/>
      <c r="H13" s="703"/>
      <c r="I13" s="703"/>
      <c r="J13" s="703"/>
      <c r="K13" s="703"/>
      <c r="L13" s="703"/>
      <c r="M13" s="703"/>
      <c r="N13" s="703"/>
      <c r="O13" s="703"/>
      <c r="P13" s="703"/>
      <c r="Q13" s="703"/>
      <c r="R13" s="703">
        <v>0</v>
      </c>
      <c r="S13" s="704"/>
      <c r="T13" s="704"/>
      <c r="U13" s="704"/>
      <c r="V13" s="705"/>
    </row>
    <row r="14" spans="1:22" s="706" customFormat="1" ht="21" customHeight="1">
      <c r="A14" s="701">
        <v>7.1</v>
      </c>
      <c r="B14" s="707" t="s">
        <v>509</v>
      </c>
      <c r="C14" s="702"/>
      <c r="D14" s="703"/>
      <c r="E14" s="703"/>
      <c r="F14" s="703"/>
      <c r="G14" s="703"/>
      <c r="H14" s="703"/>
      <c r="I14" s="703"/>
      <c r="J14" s="703"/>
      <c r="K14" s="703"/>
      <c r="L14" s="703"/>
      <c r="M14" s="703"/>
      <c r="N14" s="703"/>
      <c r="O14" s="703"/>
      <c r="P14" s="703"/>
      <c r="Q14" s="703"/>
      <c r="R14" s="703">
        <v>0</v>
      </c>
      <c r="S14" s="704"/>
      <c r="T14" s="704"/>
      <c r="U14" s="704"/>
      <c r="V14" s="705"/>
    </row>
    <row r="15" spans="1:22" s="706" customFormat="1" ht="21" customHeight="1">
      <c r="A15" s="701">
        <v>7.2</v>
      </c>
      <c r="B15" s="707" t="s">
        <v>511</v>
      </c>
      <c r="C15" s="702"/>
      <c r="D15" s="703"/>
      <c r="E15" s="703"/>
      <c r="F15" s="703"/>
      <c r="G15" s="703"/>
      <c r="H15" s="703"/>
      <c r="I15" s="703"/>
      <c r="J15" s="703"/>
      <c r="K15" s="703"/>
      <c r="L15" s="703"/>
      <c r="M15" s="703"/>
      <c r="N15" s="703"/>
      <c r="O15" s="703"/>
      <c r="P15" s="703"/>
      <c r="Q15" s="703"/>
      <c r="R15" s="703">
        <v>0</v>
      </c>
      <c r="S15" s="704"/>
      <c r="T15" s="704"/>
      <c r="U15" s="704"/>
      <c r="V15" s="705"/>
    </row>
    <row r="16" spans="1:22" s="706" customFormat="1" ht="21" customHeight="1">
      <c r="A16" s="701">
        <v>7.3</v>
      </c>
      <c r="B16" s="707" t="s">
        <v>508</v>
      </c>
      <c r="C16" s="702"/>
      <c r="D16" s="703"/>
      <c r="E16" s="703"/>
      <c r="F16" s="703"/>
      <c r="G16" s="703"/>
      <c r="H16" s="703"/>
      <c r="I16" s="703"/>
      <c r="J16" s="703"/>
      <c r="K16" s="703"/>
      <c r="L16" s="703"/>
      <c r="M16" s="703"/>
      <c r="N16" s="703"/>
      <c r="O16" s="703"/>
      <c r="P16" s="703"/>
      <c r="Q16" s="703"/>
      <c r="R16" s="703">
        <v>0</v>
      </c>
      <c r="S16" s="704"/>
      <c r="T16" s="704"/>
      <c r="U16" s="704"/>
      <c r="V16" s="705"/>
    </row>
    <row r="17" spans="1:22" s="706" customFormat="1" ht="21" customHeight="1">
      <c r="A17" s="701">
        <v>8</v>
      </c>
      <c r="B17" s="403" t="s">
        <v>507</v>
      </c>
      <c r="C17" s="702"/>
      <c r="D17" s="703"/>
      <c r="E17" s="703"/>
      <c r="F17" s="703"/>
      <c r="G17" s="703"/>
      <c r="H17" s="703"/>
      <c r="I17" s="703"/>
      <c r="J17" s="703"/>
      <c r="K17" s="703"/>
      <c r="L17" s="703"/>
      <c r="M17" s="703"/>
      <c r="N17" s="703"/>
      <c r="O17" s="703"/>
      <c r="P17" s="703"/>
      <c r="Q17" s="703"/>
      <c r="R17" s="703">
        <v>0</v>
      </c>
      <c r="S17" s="704"/>
      <c r="T17" s="704"/>
      <c r="U17" s="704"/>
      <c r="V17" s="705"/>
    </row>
    <row r="18" spans="1:22" s="706" customFormat="1" ht="21" customHeight="1">
      <c r="A18" s="708">
        <v>9</v>
      </c>
      <c r="B18" s="402" t="s">
        <v>499</v>
      </c>
      <c r="C18" s="709"/>
      <c r="D18" s="710"/>
      <c r="E18" s="710"/>
      <c r="F18" s="710"/>
      <c r="G18" s="710"/>
      <c r="H18" s="710"/>
      <c r="I18" s="710"/>
      <c r="J18" s="710"/>
      <c r="K18" s="710"/>
      <c r="L18" s="710"/>
      <c r="M18" s="710"/>
      <c r="N18" s="710"/>
      <c r="O18" s="710"/>
      <c r="P18" s="710"/>
      <c r="Q18" s="710"/>
      <c r="R18" s="710">
        <v>0</v>
      </c>
      <c r="S18" s="725"/>
      <c r="T18" s="725"/>
      <c r="U18" s="725"/>
      <c r="V18" s="711"/>
    </row>
    <row r="19" spans="1:22" s="706" customFormat="1" ht="21" customHeight="1">
      <c r="A19" s="701">
        <v>10</v>
      </c>
      <c r="B19" s="401" t="s">
        <v>510</v>
      </c>
      <c r="C19" s="702">
        <v>590916.34869999997</v>
      </c>
      <c r="D19" s="703">
        <v>575177.94999999995</v>
      </c>
      <c r="E19" s="703">
        <v>6.3604000000000003</v>
      </c>
      <c r="F19" s="703">
        <v>15732.0383</v>
      </c>
      <c r="G19" s="703"/>
      <c r="H19" s="703">
        <v>602434.02590000001</v>
      </c>
      <c r="I19" s="703">
        <v>586326.31720000005</v>
      </c>
      <c r="J19" s="703">
        <v>6.3604000000000003</v>
      </c>
      <c r="K19" s="703">
        <v>16101.3483</v>
      </c>
      <c r="L19" s="703"/>
      <c r="M19" s="703">
        <v>14711.1574</v>
      </c>
      <c r="N19" s="703">
        <v>1395.6123</v>
      </c>
      <c r="O19" s="703">
        <v>3.3E-3</v>
      </c>
      <c r="P19" s="703">
        <v>13315.541800000001</v>
      </c>
      <c r="Q19" s="703"/>
      <c r="R19" s="703">
        <v>40</v>
      </c>
      <c r="S19" s="704">
        <v>0.1283</v>
      </c>
      <c r="T19" s="704">
        <v>0.1447</v>
      </c>
      <c r="U19" s="704">
        <v>9.9000000000000005E-2</v>
      </c>
      <c r="V19" s="705">
        <v>11.163845475811241</v>
      </c>
    </row>
    <row r="20" spans="1:22" s="706" customFormat="1" ht="27" customHeight="1">
      <c r="A20" s="701">
        <v>10.1</v>
      </c>
      <c r="B20" s="707" t="s">
        <v>514</v>
      </c>
      <c r="C20" s="703"/>
      <c r="D20" s="703"/>
      <c r="E20" s="703"/>
      <c r="F20" s="703"/>
      <c r="G20" s="703"/>
      <c r="H20" s="703"/>
      <c r="I20" s="703"/>
      <c r="J20" s="703"/>
      <c r="K20" s="703"/>
      <c r="L20" s="703"/>
      <c r="M20" s="703"/>
      <c r="N20" s="703"/>
      <c r="O20" s="703"/>
      <c r="P20" s="703"/>
      <c r="Q20" s="703"/>
      <c r="R20" s="703">
        <v>0</v>
      </c>
      <c r="S20" s="703"/>
      <c r="T20" s="703"/>
      <c r="U20" s="703"/>
      <c r="V20" s="712"/>
    </row>
    <row r="22" spans="1:22">
      <c r="C22" s="584"/>
      <c r="D22" s="584"/>
      <c r="E22" s="584"/>
      <c r="F22" s="584"/>
      <c r="G22" s="584"/>
      <c r="H22" s="584"/>
      <c r="I22" s="584"/>
      <c r="J22" s="584"/>
      <c r="K22" s="584"/>
      <c r="L22" s="584"/>
      <c r="M22" s="584"/>
      <c r="N22" s="584"/>
      <c r="O22" s="584"/>
      <c r="P22" s="584"/>
      <c r="Q22" s="584"/>
      <c r="R22" s="584"/>
      <c r="S22" s="652"/>
      <c r="T22" s="652"/>
      <c r="U22" s="652"/>
      <c r="V22" s="584"/>
    </row>
    <row r="23" spans="1:22">
      <c r="C23" s="584"/>
      <c r="D23" s="584"/>
      <c r="E23" s="584"/>
      <c r="F23" s="584"/>
      <c r="G23" s="584"/>
      <c r="H23" s="584"/>
      <c r="I23" s="584"/>
      <c r="J23" s="584"/>
      <c r="K23" s="584"/>
      <c r="L23" s="584"/>
      <c r="M23" s="584"/>
      <c r="N23" s="584"/>
      <c r="O23" s="584"/>
      <c r="P23" s="584"/>
      <c r="Q23" s="584"/>
      <c r="R23" s="584"/>
      <c r="S23" s="653"/>
      <c r="T23" s="653"/>
      <c r="U23" s="653"/>
      <c r="V23" s="584"/>
    </row>
    <row r="24" spans="1:22">
      <c r="C24" s="584"/>
      <c r="D24" s="584"/>
      <c r="E24" s="584"/>
      <c r="F24" s="584"/>
      <c r="G24" s="584"/>
      <c r="H24" s="584"/>
      <c r="I24" s="584"/>
      <c r="J24" s="584"/>
      <c r="K24" s="584"/>
      <c r="L24" s="584"/>
      <c r="M24" s="584"/>
      <c r="N24" s="584"/>
      <c r="O24" s="584"/>
      <c r="P24" s="584"/>
      <c r="Q24" s="584"/>
      <c r="R24" s="584"/>
      <c r="S24" s="584"/>
      <c r="T24" s="584"/>
      <c r="U24" s="584"/>
      <c r="V24" s="584"/>
    </row>
    <row r="25" spans="1:22">
      <c r="C25" s="584"/>
      <c r="D25" s="584"/>
      <c r="E25" s="584"/>
      <c r="F25" s="584"/>
      <c r="G25" s="584"/>
      <c r="H25" s="584"/>
      <c r="I25" s="584"/>
      <c r="J25" s="584"/>
      <c r="K25" s="584"/>
      <c r="L25" s="584"/>
      <c r="M25" s="584"/>
      <c r="N25" s="584"/>
      <c r="O25" s="584"/>
      <c r="P25" s="584"/>
      <c r="Q25" s="584"/>
      <c r="R25" s="584"/>
      <c r="S25" s="584"/>
      <c r="T25" s="584"/>
      <c r="U25" s="584"/>
      <c r="V25" s="584"/>
    </row>
    <row r="26" spans="1:22">
      <c r="C26" s="584"/>
      <c r="D26" s="584"/>
      <c r="E26" s="584"/>
      <c r="F26" s="584"/>
      <c r="G26" s="584"/>
      <c r="H26" s="584"/>
      <c r="I26" s="584"/>
      <c r="J26" s="584"/>
      <c r="K26" s="584"/>
      <c r="L26" s="584"/>
      <c r="M26" s="584"/>
      <c r="N26" s="584"/>
      <c r="O26" s="584"/>
      <c r="P26" s="584"/>
      <c r="Q26" s="584"/>
      <c r="R26" s="584"/>
      <c r="S26" s="584"/>
      <c r="T26" s="584"/>
      <c r="U26" s="584"/>
      <c r="V26" s="584"/>
    </row>
    <row r="27" spans="1:22">
      <c r="C27" s="584"/>
      <c r="D27" s="584"/>
      <c r="E27" s="584"/>
      <c r="F27" s="584"/>
      <c r="G27" s="584"/>
      <c r="H27" s="584"/>
      <c r="I27" s="584"/>
      <c r="J27" s="584"/>
      <c r="K27" s="584"/>
      <c r="L27" s="584"/>
      <c r="M27" s="584"/>
      <c r="N27" s="584"/>
      <c r="O27" s="584"/>
      <c r="P27" s="584"/>
      <c r="Q27" s="584"/>
      <c r="R27" s="584"/>
      <c r="S27" s="584"/>
      <c r="T27" s="584"/>
      <c r="U27" s="584"/>
      <c r="V27" s="584"/>
    </row>
    <row r="28" spans="1:22">
      <c r="C28" s="584"/>
      <c r="D28" s="584"/>
      <c r="E28" s="584"/>
      <c r="F28" s="584"/>
      <c r="G28" s="584"/>
      <c r="H28" s="584"/>
      <c r="I28" s="584"/>
      <c r="J28" s="584"/>
      <c r="K28" s="584"/>
      <c r="L28" s="584"/>
      <c r="M28" s="584"/>
      <c r="N28" s="584"/>
      <c r="O28" s="584"/>
      <c r="P28" s="584"/>
      <c r="Q28" s="584"/>
      <c r="R28" s="584"/>
      <c r="S28" s="584"/>
      <c r="T28" s="584"/>
      <c r="U28" s="584"/>
      <c r="V28" s="584"/>
    </row>
    <row r="29" spans="1:22">
      <c r="C29" s="584"/>
      <c r="D29" s="584"/>
      <c r="E29" s="584"/>
      <c r="F29" s="584"/>
      <c r="G29" s="584"/>
      <c r="H29" s="584"/>
      <c r="I29" s="584"/>
      <c r="J29" s="584"/>
      <c r="K29" s="584"/>
      <c r="L29" s="584"/>
      <c r="M29" s="584"/>
      <c r="N29" s="584"/>
      <c r="O29" s="584"/>
      <c r="P29" s="584"/>
      <c r="Q29" s="584"/>
      <c r="R29" s="584"/>
      <c r="S29" s="584"/>
      <c r="T29" s="584"/>
      <c r="U29" s="584"/>
      <c r="V29" s="584"/>
    </row>
    <row r="30" spans="1:22">
      <c r="C30" s="584"/>
      <c r="D30" s="584"/>
      <c r="E30" s="584"/>
      <c r="F30" s="584"/>
      <c r="G30" s="584"/>
      <c r="H30" s="584"/>
      <c r="I30" s="584"/>
      <c r="J30" s="584"/>
      <c r="K30" s="584"/>
      <c r="L30" s="584"/>
      <c r="M30" s="584"/>
      <c r="N30" s="584"/>
      <c r="O30" s="584"/>
      <c r="P30" s="584"/>
      <c r="Q30" s="584"/>
      <c r="R30" s="584"/>
      <c r="S30" s="584"/>
      <c r="T30" s="584"/>
      <c r="U30" s="584"/>
      <c r="V30" s="584"/>
    </row>
    <row r="31" spans="1:22">
      <c r="C31" s="584"/>
      <c r="D31" s="584"/>
      <c r="E31" s="584"/>
      <c r="F31" s="584"/>
      <c r="G31" s="584"/>
      <c r="H31" s="584"/>
      <c r="I31" s="584"/>
      <c r="J31" s="584"/>
      <c r="K31" s="584"/>
      <c r="L31" s="584"/>
      <c r="M31" s="584"/>
      <c r="N31" s="584"/>
      <c r="O31" s="584"/>
      <c r="P31" s="584"/>
      <c r="Q31" s="584"/>
      <c r="R31" s="584"/>
      <c r="S31" s="584"/>
      <c r="T31" s="584"/>
      <c r="U31" s="584"/>
      <c r="V31" s="584"/>
    </row>
    <row r="32" spans="1:22">
      <c r="C32" s="584"/>
      <c r="D32" s="584"/>
      <c r="E32" s="584"/>
      <c r="F32" s="584"/>
      <c r="G32" s="584"/>
      <c r="H32" s="584"/>
      <c r="I32" s="584"/>
      <c r="J32" s="584"/>
      <c r="K32" s="584"/>
      <c r="L32" s="584"/>
      <c r="M32" s="584"/>
      <c r="N32" s="584"/>
      <c r="O32" s="584"/>
      <c r="P32" s="584"/>
      <c r="Q32" s="584"/>
      <c r="R32" s="584"/>
      <c r="S32" s="584"/>
      <c r="T32" s="584"/>
      <c r="U32" s="584"/>
      <c r="V32" s="584"/>
    </row>
    <row r="33" spans="3:22">
      <c r="C33" s="584"/>
      <c r="D33" s="584"/>
      <c r="E33" s="584"/>
      <c r="F33" s="584"/>
      <c r="G33" s="584"/>
      <c r="H33" s="584"/>
      <c r="I33" s="584"/>
      <c r="J33" s="584"/>
      <c r="K33" s="584"/>
      <c r="L33" s="584"/>
      <c r="M33" s="584"/>
      <c r="N33" s="584"/>
      <c r="O33" s="584"/>
      <c r="P33" s="584"/>
      <c r="Q33" s="584"/>
      <c r="R33" s="584"/>
      <c r="S33" s="584"/>
      <c r="T33" s="584"/>
      <c r="U33" s="584"/>
      <c r="V33" s="584"/>
    </row>
    <row r="34" spans="3:22">
      <c r="C34" s="584"/>
      <c r="D34" s="584"/>
      <c r="E34" s="584"/>
      <c r="F34" s="584"/>
      <c r="G34" s="584"/>
      <c r="H34" s="584"/>
      <c r="I34" s="584"/>
      <c r="J34" s="584"/>
      <c r="K34" s="584"/>
      <c r="L34" s="584"/>
      <c r="M34" s="584"/>
      <c r="N34" s="584"/>
      <c r="O34" s="584"/>
      <c r="P34" s="584"/>
      <c r="Q34" s="584"/>
      <c r="R34" s="584"/>
      <c r="S34" s="584"/>
      <c r="T34" s="584"/>
      <c r="U34" s="584"/>
      <c r="V34" s="584"/>
    </row>
    <row r="35" spans="3:22">
      <c r="C35" s="584"/>
      <c r="D35" s="584"/>
      <c r="E35" s="584"/>
      <c r="F35" s="584"/>
      <c r="G35" s="584"/>
      <c r="H35" s="584"/>
      <c r="I35" s="584"/>
      <c r="J35" s="584"/>
      <c r="K35" s="584"/>
      <c r="L35" s="584"/>
      <c r="M35" s="584"/>
      <c r="N35" s="584"/>
      <c r="O35" s="584"/>
      <c r="P35" s="584"/>
      <c r="Q35" s="584"/>
      <c r="R35" s="584"/>
      <c r="S35" s="584"/>
      <c r="T35" s="584"/>
      <c r="U35" s="584"/>
      <c r="V35" s="584"/>
    </row>
    <row r="36" spans="3:22">
      <c r="C36" s="584"/>
      <c r="D36" s="584"/>
      <c r="E36" s="584"/>
      <c r="F36" s="584"/>
      <c r="G36" s="584"/>
      <c r="H36" s="584"/>
      <c r="I36" s="584"/>
      <c r="J36" s="584"/>
      <c r="K36" s="584"/>
      <c r="L36" s="584"/>
      <c r="M36" s="584"/>
      <c r="N36" s="584"/>
      <c r="O36" s="584"/>
      <c r="P36" s="584"/>
      <c r="Q36" s="584"/>
      <c r="R36" s="584"/>
      <c r="S36" s="584"/>
      <c r="T36" s="584"/>
      <c r="U36" s="584"/>
      <c r="V36" s="584"/>
    </row>
    <row r="37" spans="3:22">
      <c r="C37" s="584"/>
      <c r="D37" s="584"/>
      <c r="E37" s="584"/>
      <c r="F37" s="584"/>
      <c r="G37" s="584"/>
      <c r="H37" s="584"/>
      <c r="I37" s="584"/>
      <c r="J37" s="584"/>
      <c r="K37" s="584"/>
      <c r="L37" s="584"/>
      <c r="M37" s="584"/>
      <c r="N37" s="584"/>
      <c r="O37" s="584"/>
      <c r="P37" s="584"/>
      <c r="Q37" s="584"/>
      <c r="R37" s="584"/>
      <c r="S37" s="584"/>
      <c r="T37" s="584"/>
      <c r="U37" s="584"/>
      <c r="V37" s="584"/>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7" orientation="portrait" horizontalDpi="300" verticalDpi="300" r:id="rId1"/>
  <headerFooter>
    <oddFooter>&amp;C_x000D_&amp;1#&amp;"Aptos"&amp;10&amp;K000000 C4 - EXTERNAL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0"/>
  <sheetViews>
    <sheetView zoomScale="80" zoomScaleNormal="80" workbookViewId="0">
      <selection activeCell="B50" sqref="B50"/>
    </sheetView>
  </sheetViews>
  <sheetFormatPr defaultRowHeight="14.4"/>
  <cols>
    <col min="2" max="2" width="66.6640625" customWidth="1"/>
    <col min="3" max="8" width="17.77734375" customWidth="1"/>
    <col min="9" max="9" width="11.44140625" customWidth="1"/>
    <col min="11" max="11" width="10.21875" bestFit="1" customWidth="1"/>
  </cols>
  <sheetData>
    <row r="1" spans="1:14" s="6" customFormat="1" ht="13.8">
      <c r="A1" s="3" t="s">
        <v>30</v>
      </c>
      <c r="B1" s="4" t="str">
        <f>'Info '!C2</f>
        <v xml:space="preserve">PASHA Bank Georgia JSC </v>
      </c>
      <c r="C1" s="4"/>
      <c r="D1" s="5"/>
      <c r="E1" s="5"/>
      <c r="F1" s="5"/>
      <c r="G1" s="5"/>
    </row>
    <row r="2" spans="1:14" s="6" customFormat="1" ht="13.8">
      <c r="A2" s="3" t="s">
        <v>31</v>
      </c>
      <c r="B2" s="252">
        <f>'1. key ratios '!B2</f>
        <v>46022</v>
      </c>
      <c r="C2" s="4"/>
      <c r="D2" s="5"/>
      <c r="E2" s="5"/>
      <c r="F2" s="5"/>
      <c r="G2" s="5"/>
    </row>
    <row r="4" spans="1:14">
      <c r="A4" s="746" t="s">
        <v>6</v>
      </c>
      <c r="B4" s="748" t="s">
        <v>585</v>
      </c>
      <c r="C4" s="738" t="s">
        <v>522</v>
      </c>
      <c r="D4" s="738"/>
      <c r="E4" s="738"/>
      <c r="F4" s="738" t="s">
        <v>523</v>
      </c>
      <c r="G4" s="738"/>
      <c r="H4" s="739"/>
    </row>
    <row r="5" spans="1:14" ht="15.45" customHeight="1">
      <c r="A5" s="747"/>
      <c r="B5" s="749"/>
      <c r="C5" s="325" t="s">
        <v>32</v>
      </c>
      <c r="D5" s="325" t="s">
        <v>33</v>
      </c>
      <c r="E5" s="325" t="s">
        <v>34</v>
      </c>
      <c r="F5" s="325" t="s">
        <v>32</v>
      </c>
      <c r="G5" s="325" t="s">
        <v>33</v>
      </c>
      <c r="H5" s="325" t="s">
        <v>34</v>
      </c>
    </row>
    <row r="6" spans="1:14">
      <c r="A6" s="326">
        <v>1</v>
      </c>
      <c r="B6" s="518" t="s">
        <v>586</v>
      </c>
      <c r="C6" s="528">
        <f>SUM(C7:C12)</f>
        <v>29542840.779999997</v>
      </c>
      <c r="D6" s="528">
        <f>SUM(D7:D12)</f>
        <v>22978747.662499998</v>
      </c>
      <c r="E6" s="642">
        <f>C6+D6</f>
        <v>52521588.442499995</v>
      </c>
      <c r="F6" s="528">
        <f>SUM(F7:F12)</f>
        <v>28091996.5154</v>
      </c>
      <c r="G6" s="528">
        <f>SUM(G7:G12)</f>
        <v>21494098.635000002</v>
      </c>
      <c r="H6" s="642">
        <f>F6+G6</f>
        <v>49586095.150399998</v>
      </c>
      <c r="I6" s="529"/>
      <c r="J6" s="529"/>
      <c r="K6" s="529"/>
      <c r="L6" s="529"/>
      <c r="M6" s="529"/>
      <c r="N6" s="529"/>
    </row>
    <row r="7" spans="1:14">
      <c r="A7" s="326">
        <v>1.1000000000000001</v>
      </c>
      <c r="B7" s="519" t="s">
        <v>529</v>
      </c>
      <c r="C7" s="528"/>
      <c r="D7" s="528"/>
      <c r="E7" s="642">
        <f t="shared" ref="E7:E45" si="0">C7+D7</f>
        <v>0</v>
      </c>
      <c r="F7" s="528"/>
      <c r="G7" s="528"/>
      <c r="H7" s="642">
        <f t="shared" ref="H7:H45" si="1">F7+G7</f>
        <v>0</v>
      </c>
      <c r="I7" s="529"/>
      <c r="J7" s="529"/>
      <c r="K7" s="529"/>
      <c r="L7" s="529"/>
      <c r="M7" s="529"/>
      <c r="N7" s="529"/>
    </row>
    <row r="8" spans="1:14">
      <c r="A8" s="326">
        <v>1.2</v>
      </c>
      <c r="B8" s="519" t="s">
        <v>531</v>
      </c>
      <c r="C8" s="528"/>
      <c r="D8" s="528"/>
      <c r="E8" s="642">
        <f t="shared" si="0"/>
        <v>0</v>
      </c>
      <c r="F8" s="528"/>
      <c r="G8" s="528"/>
      <c r="H8" s="642">
        <f t="shared" si="1"/>
        <v>0</v>
      </c>
      <c r="I8" s="529"/>
      <c r="J8" s="529"/>
      <c r="K8" s="529"/>
      <c r="L8" s="529"/>
      <c r="M8" s="529"/>
      <c r="N8" s="529"/>
    </row>
    <row r="9" spans="1:14" ht="21.45" customHeight="1">
      <c r="A9" s="326">
        <v>1.3</v>
      </c>
      <c r="B9" s="519" t="s">
        <v>587</v>
      </c>
      <c r="C9" s="528"/>
      <c r="D9" s="528"/>
      <c r="E9" s="642">
        <f t="shared" si="0"/>
        <v>0</v>
      </c>
      <c r="F9" s="528"/>
      <c r="G9" s="528"/>
      <c r="H9" s="642">
        <f t="shared" si="1"/>
        <v>0</v>
      </c>
      <c r="I9" s="529"/>
      <c r="J9" s="529"/>
      <c r="K9" s="529"/>
      <c r="L9" s="529"/>
      <c r="M9" s="529"/>
      <c r="N9" s="529"/>
    </row>
    <row r="10" spans="1:14">
      <c r="A10" s="326">
        <v>1.4</v>
      </c>
      <c r="B10" s="519" t="s">
        <v>533</v>
      </c>
      <c r="C10" s="528"/>
      <c r="D10" s="528"/>
      <c r="E10" s="642">
        <f t="shared" si="0"/>
        <v>0</v>
      </c>
      <c r="F10" s="528"/>
      <c r="G10" s="528"/>
      <c r="H10" s="642">
        <f t="shared" si="1"/>
        <v>0</v>
      </c>
      <c r="I10" s="529"/>
      <c r="J10" s="529"/>
      <c r="K10" s="529"/>
      <c r="L10" s="529"/>
      <c r="M10" s="529"/>
      <c r="N10" s="529"/>
    </row>
    <row r="11" spans="1:14">
      <c r="A11" s="326">
        <v>1.5</v>
      </c>
      <c r="B11" s="519" t="s">
        <v>537</v>
      </c>
      <c r="C11" s="528">
        <v>29542840.779999997</v>
      </c>
      <c r="D11" s="528">
        <v>22978747.662499998</v>
      </c>
      <c r="E11" s="642">
        <f t="shared" si="0"/>
        <v>52521588.442499995</v>
      </c>
      <c r="F11" s="528">
        <v>28091996.5154</v>
      </c>
      <c r="G11" s="528">
        <v>21494098.635000002</v>
      </c>
      <c r="H11" s="642">
        <f t="shared" si="1"/>
        <v>49586095.150399998</v>
      </c>
      <c r="I11" s="529"/>
      <c r="J11" s="529"/>
      <c r="K11" s="529"/>
      <c r="L11" s="529"/>
      <c r="M11" s="529"/>
      <c r="N11" s="529"/>
    </row>
    <row r="12" spans="1:14">
      <c r="A12" s="326">
        <v>1.6</v>
      </c>
      <c r="B12" s="519" t="s">
        <v>419</v>
      </c>
      <c r="C12" s="528"/>
      <c r="D12" s="528"/>
      <c r="E12" s="642">
        <f t="shared" si="0"/>
        <v>0</v>
      </c>
      <c r="F12" s="528"/>
      <c r="G12" s="528"/>
      <c r="H12" s="642">
        <f t="shared" si="1"/>
        <v>0</v>
      </c>
      <c r="I12" s="529"/>
      <c r="J12" s="529"/>
      <c r="K12" s="529"/>
      <c r="L12" s="529"/>
      <c r="M12" s="529"/>
      <c r="N12" s="529"/>
    </row>
    <row r="13" spans="1:14">
      <c r="A13" s="326">
        <v>2</v>
      </c>
      <c r="B13" s="518" t="s">
        <v>588</v>
      </c>
      <c r="C13" s="528">
        <f>SUM(C14:C17)</f>
        <v>-17382252.120000001</v>
      </c>
      <c r="D13" s="528">
        <f>SUM(D14:D17)</f>
        <v>-11925371.3631</v>
      </c>
      <c r="E13" s="642">
        <f t="shared" si="0"/>
        <v>-29307623.483100001</v>
      </c>
      <c r="F13" s="528">
        <f>SUM(F14:F17)</f>
        <v>-12323401.599099999</v>
      </c>
      <c r="G13" s="528">
        <f>SUM(G14:G17)</f>
        <v>-10654026.820799999</v>
      </c>
      <c r="H13" s="642">
        <f t="shared" si="1"/>
        <v>-22977428.4199</v>
      </c>
      <c r="I13" s="529"/>
      <c r="J13" s="529"/>
      <c r="K13" s="529"/>
      <c r="L13" s="529"/>
      <c r="M13" s="529"/>
      <c r="N13" s="529"/>
    </row>
    <row r="14" spans="1:14">
      <c r="A14" s="326">
        <v>2.1</v>
      </c>
      <c r="B14" s="519" t="s">
        <v>589</v>
      </c>
      <c r="C14" s="528"/>
      <c r="D14" s="528"/>
      <c r="E14" s="642">
        <f t="shared" si="0"/>
        <v>0</v>
      </c>
      <c r="F14" s="528"/>
      <c r="G14" s="528"/>
      <c r="H14" s="642">
        <f t="shared" si="1"/>
        <v>0</v>
      </c>
      <c r="I14" s="529"/>
      <c r="J14" s="529"/>
      <c r="K14" s="529"/>
      <c r="L14" s="529"/>
      <c r="M14" s="529"/>
      <c r="N14" s="529"/>
    </row>
    <row r="15" spans="1:14" ht="24.45" customHeight="1">
      <c r="A15" s="326">
        <v>2.2000000000000002</v>
      </c>
      <c r="B15" s="519" t="s">
        <v>590</v>
      </c>
      <c r="C15" s="528"/>
      <c r="D15" s="528"/>
      <c r="E15" s="642">
        <f t="shared" si="0"/>
        <v>0</v>
      </c>
      <c r="F15" s="528"/>
      <c r="G15" s="528"/>
      <c r="H15" s="642">
        <f t="shared" si="1"/>
        <v>0</v>
      </c>
      <c r="I15" s="529"/>
      <c r="J15" s="529"/>
      <c r="K15" s="529"/>
      <c r="L15" s="529"/>
      <c r="M15" s="529"/>
      <c r="N15" s="529"/>
    </row>
    <row r="16" spans="1:14" ht="20.55" customHeight="1">
      <c r="A16" s="326">
        <v>2.2999999999999998</v>
      </c>
      <c r="B16" s="519" t="s">
        <v>591</v>
      </c>
      <c r="C16" s="528">
        <v>-17382252.120000001</v>
      </c>
      <c r="D16" s="528">
        <v>-11925371.3631</v>
      </c>
      <c r="E16" s="642">
        <f t="shared" si="0"/>
        <v>-29307623.483100001</v>
      </c>
      <c r="F16" s="528">
        <v>-12323401.599099999</v>
      </c>
      <c r="G16" s="528">
        <v>-10654026.820799999</v>
      </c>
      <c r="H16" s="642">
        <f t="shared" si="1"/>
        <v>-22977428.4199</v>
      </c>
      <c r="I16" s="529"/>
      <c r="J16" s="529"/>
      <c r="K16" s="529"/>
      <c r="L16" s="529"/>
      <c r="M16" s="529"/>
      <c r="N16" s="529"/>
    </row>
    <row r="17" spans="1:14">
      <c r="A17" s="326">
        <v>2.4</v>
      </c>
      <c r="B17" s="519" t="s">
        <v>592</v>
      </c>
      <c r="C17" s="528"/>
      <c r="D17" s="528"/>
      <c r="E17" s="642">
        <f t="shared" si="0"/>
        <v>0</v>
      </c>
      <c r="F17" s="528"/>
      <c r="G17" s="528"/>
      <c r="H17" s="642">
        <f t="shared" si="1"/>
        <v>0</v>
      </c>
      <c r="I17" s="529"/>
      <c r="J17" s="529"/>
      <c r="K17" s="529"/>
      <c r="L17" s="529"/>
      <c r="M17" s="529"/>
      <c r="N17" s="529"/>
    </row>
    <row r="18" spans="1:14">
      <c r="A18" s="326">
        <v>3</v>
      </c>
      <c r="B18" s="518" t="s">
        <v>593</v>
      </c>
      <c r="C18" s="528"/>
      <c r="D18" s="528"/>
      <c r="E18" s="642">
        <f t="shared" si="0"/>
        <v>0</v>
      </c>
      <c r="F18" s="528"/>
      <c r="G18" s="528"/>
      <c r="H18" s="642">
        <f t="shared" si="1"/>
        <v>0</v>
      </c>
      <c r="I18" s="529"/>
      <c r="J18" s="529"/>
      <c r="K18" s="529"/>
      <c r="L18" s="529"/>
      <c r="M18" s="529"/>
      <c r="N18" s="529"/>
    </row>
    <row r="19" spans="1:14">
      <c r="A19" s="326">
        <v>4</v>
      </c>
      <c r="B19" s="518" t="s">
        <v>594</v>
      </c>
      <c r="C19" s="528">
        <v>687911.16999999993</v>
      </c>
      <c r="D19" s="528">
        <v>1858288.8</v>
      </c>
      <c r="E19" s="642">
        <f t="shared" si="0"/>
        <v>2546199.9699999997</v>
      </c>
      <c r="F19" s="528">
        <v>1207026.8799999997</v>
      </c>
      <c r="G19" s="528">
        <v>1550140.2569080004</v>
      </c>
      <c r="H19" s="642">
        <f t="shared" si="1"/>
        <v>2757167.1369080003</v>
      </c>
      <c r="I19" s="529"/>
      <c r="J19" s="529"/>
      <c r="K19" s="529"/>
      <c r="L19" s="529"/>
      <c r="M19" s="529"/>
      <c r="N19" s="529"/>
    </row>
    <row r="20" spans="1:14">
      <c r="A20" s="326">
        <v>5</v>
      </c>
      <c r="B20" s="518" t="s">
        <v>595</v>
      </c>
      <c r="C20" s="528">
        <v>-262212.71000000002</v>
      </c>
      <c r="D20" s="528">
        <v>-1288803.53</v>
      </c>
      <c r="E20" s="642">
        <f t="shared" si="0"/>
        <v>-1551016.24</v>
      </c>
      <c r="F20" s="528">
        <v>-257490.1</v>
      </c>
      <c r="G20" s="528">
        <v>-1202215.2</v>
      </c>
      <c r="H20" s="642">
        <f t="shared" si="1"/>
        <v>-1459705.3</v>
      </c>
      <c r="I20" s="529"/>
      <c r="J20" s="529"/>
      <c r="K20" s="529"/>
      <c r="L20" s="529"/>
      <c r="M20" s="529"/>
      <c r="N20" s="529"/>
    </row>
    <row r="21" spans="1:14" ht="24" customHeight="1">
      <c r="A21" s="326">
        <v>6</v>
      </c>
      <c r="B21" s="518" t="s">
        <v>596</v>
      </c>
      <c r="C21" s="528"/>
      <c r="D21" s="528"/>
      <c r="E21" s="642">
        <f t="shared" si="0"/>
        <v>0</v>
      </c>
      <c r="F21" s="528">
        <v>33251.89</v>
      </c>
      <c r="G21" s="528">
        <v>0</v>
      </c>
      <c r="H21" s="642">
        <f t="shared" si="1"/>
        <v>33251.89</v>
      </c>
      <c r="I21" s="529"/>
      <c r="J21" s="529"/>
      <c r="K21" s="529"/>
      <c r="L21" s="529"/>
      <c r="M21" s="529"/>
      <c r="N21" s="529"/>
    </row>
    <row r="22" spans="1:14" ht="18.45" customHeight="1">
      <c r="A22" s="326">
        <v>7</v>
      </c>
      <c r="B22" s="518" t="s">
        <v>597</v>
      </c>
      <c r="C22" s="528">
        <v>1632219.49</v>
      </c>
      <c r="D22" s="528">
        <v>0</v>
      </c>
      <c r="E22" s="642">
        <f t="shared" si="0"/>
        <v>1632219.49</v>
      </c>
      <c r="F22" s="528">
        <v>104404.33999999985</v>
      </c>
      <c r="G22" s="528">
        <v>0</v>
      </c>
      <c r="H22" s="642">
        <f t="shared" si="1"/>
        <v>104404.33999999985</v>
      </c>
      <c r="I22" s="529"/>
      <c r="J22" s="529"/>
      <c r="K22" s="529"/>
      <c r="L22" s="529"/>
      <c r="M22" s="529"/>
      <c r="N22" s="529"/>
    </row>
    <row r="23" spans="1:14" ht="25.5" customHeight="1">
      <c r="A23" s="326">
        <v>8</v>
      </c>
      <c r="B23" s="520" t="s">
        <v>598</v>
      </c>
      <c r="C23" s="528"/>
      <c r="D23" s="528"/>
      <c r="E23" s="642">
        <f t="shared" si="0"/>
        <v>0</v>
      </c>
      <c r="F23" s="528"/>
      <c r="G23" s="528"/>
      <c r="H23" s="642">
        <f t="shared" si="1"/>
        <v>0</v>
      </c>
      <c r="I23" s="529"/>
      <c r="J23" s="529"/>
      <c r="K23" s="529"/>
      <c r="L23" s="529"/>
      <c r="M23" s="529"/>
      <c r="N23" s="529"/>
    </row>
    <row r="24" spans="1:14" ht="34.5" customHeight="1">
      <c r="A24" s="326">
        <v>9</v>
      </c>
      <c r="B24" s="520" t="s">
        <v>599</v>
      </c>
      <c r="C24" s="528"/>
      <c r="D24" s="528"/>
      <c r="E24" s="642">
        <f t="shared" si="0"/>
        <v>0</v>
      </c>
      <c r="F24" s="528"/>
      <c r="G24" s="528"/>
      <c r="H24" s="642">
        <f t="shared" si="1"/>
        <v>0</v>
      </c>
      <c r="I24" s="529"/>
      <c r="J24" s="529"/>
      <c r="K24" s="529"/>
      <c r="L24" s="529"/>
      <c r="M24" s="529"/>
      <c r="N24" s="529"/>
    </row>
    <row r="25" spans="1:14">
      <c r="A25" s="326">
        <v>10</v>
      </c>
      <c r="B25" s="518" t="s">
        <v>600</v>
      </c>
      <c r="C25" s="528">
        <v>11733133.129999999</v>
      </c>
      <c r="D25" s="528">
        <v>0</v>
      </c>
      <c r="E25" s="642">
        <f t="shared" si="0"/>
        <v>11733133.129999999</v>
      </c>
      <c r="F25" s="528">
        <v>11956991.019999996</v>
      </c>
      <c r="G25" s="528">
        <v>0</v>
      </c>
      <c r="H25" s="642">
        <f t="shared" si="1"/>
        <v>11956991.019999996</v>
      </c>
      <c r="I25" s="529"/>
      <c r="J25" s="529"/>
      <c r="K25" s="529"/>
      <c r="L25" s="529"/>
      <c r="M25" s="529"/>
      <c r="N25" s="529"/>
    </row>
    <row r="26" spans="1:14">
      <c r="A26" s="326">
        <v>11</v>
      </c>
      <c r="B26" s="521" t="s">
        <v>601</v>
      </c>
      <c r="C26" s="528">
        <v>303863.20999999996</v>
      </c>
      <c r="D26" s="528">
        <v>0</v>
      </c>
      <c r="E26" s="642">
        <f t="shared" si="0"/>
        <v>303863.20999999996</v>
      </c>
      <c r="F26" s="528">
        <v>-1402633.5699999998</v>
      </c>
      <c r="G26" s="528">
        <v>0</v>
      </c>
      <c r="H26" s="642">
        <f t="shared" si="1"/>
        <v>-1402633.5699999998</v>
      </c>
      <c r="I26" s="529"/>
      <c r="J26" s="529"/>
      <c r="K26" s="529"/>
      <c r="L26" s="529"/>
      <c r="M26" s="529"/>
      <c r="N26" s="529"/>
    </row>
    <row r="27" spans="1:14">
      <c r="A27" s="326">
        <v>12</v>
      </c>
      <c r="B27" s="518" t="s">
        <v>602</v>
      </c>
      <c r="C27" s="528">
        <v>971264.84</v>
      </c>
      <c r="D27" s="528">
        <v>0</v>
      </c>
      <c r="E27" s="642">
        <f t="shared" si="0"/>
        <v>971264.84</v>
      </c>
      <c r="F27" s="528">
        <v>1248552.1399999999</v>
      </c>
      <c r="G27" s="528">
        <v>214101.9</v>
      </c>
      <c r="H27" s="642">
        <f t="shared" si="1"/>
        <v>1462654.0399999998</v>
      </c>
      <c r="I27" s="529"/>
      <c r="J27" s="529"/>
      <c r="K27" s="529"/>
      <c r="L27" s="529"/>
      <c r="M27" s="529"/>
      <c r="N27" s="529"/>
    </row>
    <row r="28" spans="1:14">
      <c r="A28" s="326">
        <v>13</v>
      </c>
      <c r="B28" s="518" t="s">
        <v>603</v>
      </c>
      <c r="C28" s="528">
        <v>-5015394.4400000004</v>
      </c>
      <c r="D28" s="528">
        <v>-443.11</v>
      </c>
      <c r="E28" s="642">
        <f t="shared" si="0"/>
        <v>-5015837.5500000007</v>
      </c>
      <c r="F28" s="528">
        <v>-5075463.3400000008</v>
      </c>
      <c r="G28" s="528">
        <v>0</v>
      </c>
      <c r="H28" s="642">
        <f t="shared" si="1"/>
        <v>-5075463.3400000008</v>
      </c>
      <c r="I28" s="529"/>
      <c r="J28" s="529"/>
      <c r="K28" s="529"/>
      <c r="L28" s="529"/>
      <c r="M28" s="529"/>
      <c r="N28" s="529"/>
    </row>
    <row r="29" spans="1:14">
      <c r="A29" s="326">
        <v>14</v>
      </c>
      <c r="B29" s="518" t="s">
        <v>604</v>
      </c>
      <c r="C29" s="528">
        <f>SUM(C30:C31)</f>
        <v>-22374317.370000001</v>
      </c>
      <c r="D29" s="528">
        <f>SUM(D30:D31)</f>
        <v>0</v>
      </c>
      <c r="E29" s="642">
        <f t="shared" si="0"/>
        <v>-22374317.370000001</v>
      </c>
      <c r="F29" s="528">
        <f>SUM(F30:F31)</f>
        <v>-23652230.630000003</v>
      </c>
      <c r="G29" s="528">
        <f>SUM(G30:G31)</f>
        <v>0</v>
      </c>
      <c r="H29" s="642">
        <f t="shared" si="1"/>
        <v>-23652230.630000003</v>
      </c>
      <c r="I29" s="529"/>
      <c r="J29" s="529"/>
      <c r="K29" s="529"/>
      <c r="L29" s="529"/>
      <c r="M29" s="529"/>
      <c r="N29" s="529"/>
    </row>
    <row r="30" spans="1:14">
      <c r="A30" s="326">
        <v>14.1</v>
      </c>
      <c r="B30" s="522" t="s">
        <v>605</v>
      </c>
      <c r="C30" s="528">
        <v>-20864684.600000001</v>
      </c>
      <c r="D30" s="528"/>
      <c r="E30" s="642">
        <f t="shared" si="0"/>
        <v>-20864684.600000001</v>
      </c>
      <c r="F30" s="528">
        <v>-21737351.740000002</v>
      </c>
      <c r="G30" s="528"/>
      <c r="H30" s="642">
        <f t="shared" si="1"/>
        <v>-21737351.740000002</v>
      </c>
      <c r="I30" s="529"/>
      <c r="J30" s="529"/>
      <c r="K30" s="529"/>
      <c r="L30" s="529"/>
      <c r="M30" s="529"/>
      <c r="N30" s="529"/>
    </row>
    <row r="31" spans="1:14">
      <c r="A31" s="326">
        <v>14.2</v>
      </c>
      <c r="B31" s="522" t="s">
        <v>606</v>
      </c>
      <c r="C31" s="528">
        <v>-1509632.77</v>
      </c>
      <c r="D31" s="528"/>
      <c r="E31" s="642">
        <f t="shared" si="0"/>
        <v>-1509632.77</v>
      </c>
      <c r="F31" s="528">
        <v>-1914878.89</v>
      </c>
      <c r="G31" s="528"/>
      <c r="H31" s="642">
        <f t="shared" si="1"/>
        <v>-1914878.89</v>
      </c>
      <c r="I31" s="529"/>
      <c r="J31" s="529"/>
      <c r="K31" s="529"/>
      <c r="L31" s="529"/>
      <c r="M31" s="529"/>
      <c r="N31" s="529"/>
    </row>
    <row r="32" spans="1:14">
      <c r="A32" s="326">
        <v>15</v>
      </c>
      <c r="B32" s="518" t="s">
        <v>607</v>
      </c>
      <c r="C32" s="528">
        <v>-3857920.26</v>
      </c>
      <c r="D32" s="528"/>
      <c r="E32" s="642">
        <f t="shared" si="0"/>
        <v>-3857920.26</v>
      </c>
      <c r="F32" s="528">
        <v>-4601517.01</v>
      </c>
      <c r="G32" s="528"/>
      <c r="H32" s="642">
        <f t="shared" si="1"/>
        <v>-4601517.01</v>
      </c>
      <c r="I32" s="529"/>
      <c r="J32" s="529"/>
      <c r="K32" s="529"/>
      <c r="L32" s="529"/>
      <c r="M32" s="529"/>
      <c r="N32" s="529"/>
    </row>
    <row r="33" spans="1:14" ht="22.5" customHeight="1">
      <c r="A33" s="326">
        <v>16</v>
      </c>
      <c r="B33" s="523" t="s">
        <v>608</v>
      </c>
      <c r="C33" s="528"/>
      <c r="D33" s="528"/>
      <c r="E33" s="642">
        <f t="shared" si="0"/>
        <v>0</v>
      </c>
      <c r="F33" s="528"/>
      <c r="G33" s="528"/>
      <c r="H33" s="642">
        <f t="shared" si="1"/>
        <v>0</v>
      </c>
      <c r="I33" s="529"/>
      <c r="J33" s="529"/>
      <c r="K33" s="529"/>
      <c r="L33" s="529"/>
      <c r="M33" s="529"/>
      <c r="N33" s="529"/>
    </row>
    <row r="34" spans="1:14">
      <c r="A34" s="326">
        <v>17</v>
      </c>
      <c r="B34" s="518" t="s">
        <v>609</v>
      </c>
      <c r="C34" s="528">
        <f>SUM(C35:C36)</f>
        <v>204660.56120000003</v>
      </c>
      <c r="D34" s="528">
        <f>SUM(D35:D36)</f>
        <v>-125267.2648</v>
      </c>
      <c r="E34" s="642">
        <f t="shared" si="0"/>
        <v>79393.296400000021</v>
      </c>
      <c r="F34" s="528">
        <f>SUM(F35:F36)</f>
        <v>121270.49537047201</v>
      </c>
      <c r="G34" s="528">
        <f>SUM(G35:G36)</f>
        <v>71127.402642019995</v>
      </c>
      <c r="H34" s="642">
        <f t="shared" si="1"/>
        <v>192397.89801249199</v>
      </c>
      <c r="I34" s="529"/>
      <c r="J34" s="529"/>
      <c r="K34" s="529"/>
      <c r="L34" s="529"/>
      <c r="M34" s="529"/>
      <c r="N34" s="529"/>
    </row>
    <row r="35" spans="1:14">
      <c r="A35" s="326">
        <v>17.100000000000001</v>
      </c>
      <c r="B35" s="522" t="s">
        <v>610</v>
      </c>
      <c r="C35" s="528">
        <v>-14633.578800000001</v>
      </c>
      <c r="D35" s="528">
        <v>-125267.2648</v>
      </c>
      <c r="E35" s="642">
        <f t="shared" si="0"/>
        <v>-139900.84359999999</v>
      </c>
      <c r="F35" s="528">
        <v>-92304.104629527996</v>
      </c>
      <c r="G35" s="528">
        <v>71127.402642019995</v>
      </c>
      <c r="H35" s="642">
        <f t="shared" si="1"/>
        <v>-21176.701987508</v>
      </c>
      <c r="I35" s="529"/>
      <c r="J35" s="529"/>
      <c r="K35" s="529"/>
      <c r="L35" s="529"/>
      <c r="M35" s="529"/>
      <c r="N35" s="529"/>
    </row>
    <row r="36" spans="1:14">
      <c r="A36" s="326">
        <v>17.2</v>
      </c>
      <c r="B36" s="522" t="s">
        <v>611</v>
      </c>
      <c r="C36" s="528">
        <v>219294.14</v>
      </c>
      <c r="D36" s="528">
        <v>0</v>
      </c>
      <c r="E36" s="642">
        <f t="shared" si="0"/>
        <v>219294.14</v>
      </c>
      <c r="F36" s="528">
        <v>213574.6</v>
      </c>
      <c r="G36" s="528">
        <v>0</v>
      </c>
      <c r="H36" s="642">
        <f t="shared" si="1"/>
        <v>213574.6</v>
      </c>
      <c r="I36" s="529"/>
      <c r="J36" s="529"/>
      <c r="K36" s="529"/>
      <c r="L36" s="529"/>
      <c r="M36" s="529"/>
      <c r="N36" s="529"/>
    </row>
    <row r="37" spans="1:14" ht="41.55" customHeight="1">
      <c r="A37" s="326">
        <v>18</v>
      </c>
      <c r="B37" s="524" t="s">
        <v>612</v>
      </c>
      <c r="C37" s="528">
        <f>SUM(C38:C39)</f>
        <v>-2820986.9394</v>
      </c>
      <c r="D37" s="528">
        <f>SUM(D38:D39)</f>
        <v>-502931.54460000002</v>
      </c>
      <c r="E37" s="642">
        <f t="shared" si="0"/>
        <v>-3323918.4840000002</v>
      </c>
      <c r="F37" s="528">
        <f>SUM(F38:F39)</f>
        <v>32219.45828397826</v>
      </c>
      <c r="G37" s="528">
        <f>SUM(G38:G39)</f>
        <v>334616.18953087332</v>
      </c>
      <c r="H37" s="642">
        <f t="shared" si="1"/>
        <v>366835.6478148516</v>
      </c>
      <c r="I37" s="529"/>
      <c r="J37" s="529"/>
      <c r="K37" s="529"/>
      <c r="L37" s="529"/>
      <c r="M37" s="529"/>
      <c r="N37" s="529"/>
    </row>
    <row r="38" spans="1:14">
      <c r="A38" s="326">
        <v>18.100000000000001</v>
      </c>
      <c r="B38" s="525" t="s">
        <v>613</v>
      </c>
      <c r="C38" s="528"/>
      <c r="D38" s="528"/>
      <c r="E38" s="642">
        <f t="shared" si="0"/>
        <v>0</v>
      </c>
      <c r="F38" s="528"/>
      <c r="G38" s="528">
        <v>0</v>
      </c>
      <c r="H38" s="642">
        <f t="shared" si="1"/>
        <v>0</v>
      </c>
      <c r="I38" s="529"/>
      <c r="J38" s="529"/>
      <c r="K38" s="529"/>
      <c r="L38" s="529"/>
      <c r="M38" s="529"/>
      <c r="N38" s="529"/>
    </row>
    <row r="39" spans="1:14">
      <c r="A39" s="326">
        <v>18.2</v>
      </c>
      <c r="B39" s="525" t="s">
        <v>614</v>
      </c>
      <c r="C39" s="528">
        <v>-2820986.9394</v>
      </c>
      <c r="D39" s="528">
        <v>-502931.54460000002</v>
      </c>
      <c r="E39" s="642">
        <f t="shared" si="0"/>
        <v>-3323918.4840000002</v>
      </c>
      <c r="F39" s="528">
        <v>32219.45828397826</v>
      </c>
      <c r="G39" s="528">
        <v>334616.18953087332</v>
      </c>
      <c r="H39" s="642">
        <f t="shared" si="1"/>
        <v>366835.6478148516</v>
      </c>
      <c r="I39" s="529"/>
      <c r="J39" s="529"/>
      <c r="K39" s="529"/>
      <c r="L39" s="529"/>
      <c r="M39" s="529"/>
      <c r="N39" s="529"/>
    </row>
    <row r="40" spans="1:14" ht="24.45" customHeight="1">
      <c r="A40" s="326">
        <v>19</v>
      </c>
      <c r="B40" s="524" t="s">
        <v>615</v>
      </c>
      <c r="C40" s="528"/>
      <c r="D40" s="528"/>
      <c r="E40" s="642">
        <f t="shared" si="0"/>
        <v>0</v>
      </c>
      <c r="F40" s="528"/>
      <c r="G40" s="528"/>
      <c r="H40" s="642">
        <f t="shared" si="1"/>
        <v>0</v>
      </c>
      <c r="I40" s="529"/>
      <c r="J40" s="529"/>
      <c r="K40" s="529"/>
      <c r="L40" s="529"/>
      <c r="M40" s="529"/>
      <c r="N40" s="529"/>
    </row>
    <row r="41" spans="1:14" ht="17.55" customHeight="1">
      <c r="A41" s="326">
        <v>20</v>
      </c>
      <c r="B41" s="524" t="s">
        <v>616</v>
      </c>
      <c r="C41" s="528"/>
      <c r="D41" s="528"/>
      <c r="E41" s="642">
        <f t="shared" si="0"/>
        <v>0</v>
      </c>
      <c r="F41" s="528"/>
      <c r="G41" s="528"/>
      <c r="H41" s="642">
        <f t="shared" si="1"/>
        <v>0</v>
      </c>
      <c r="I41" s="529"/>
      <c r="J41" s="529"/>
      <c r="K41" s="529"/>
      <c r="L41" s="529"/>
      <c r="M41" s="529"/>
      <c r="N41" s="529"/>
    </row>
    <row r="42" spans="1:14" ht="26.55" customHeight="1">
      <c r="A42" s="326">
        <v>21</v>
      </c>
      <c r="B42" s="524" t="s">
        <v>617</v>
      </c>
      <c r="C42" s="528"/>
      <c r="D42" s="528"/>
      <c r="E42" s="642">
        <f t="shared" si="0"/>
        <v>0</v>
      </c>
      <c r="F42" s="528"/>
      <c r="G42" s="528"/>
      <c r="H42" s="642">
        <f t="shared" si="1"/>
        <v>0</v>
      </c>
      <c r="I42" s="529"/>
      <c r="J42" s="529"/>
      <c r="K42" s="529"/>
      <c r="L42" s="529"/>
      <c r="M42" s="529"/>
      <c r="N42" s="529"/>
    </row>
    <row r="43" spans="1:14">
      <c r="A43" s="326">
        <v>22</v>
      </c>
      <c r="B43" s="526" t="s">
        <v>618</v>
      </c>
      <c r="C43" s="528">
        <f>SUM(C6,C13,C18,C19,C20,C21,C22,C23,C24,C25,C26,C27,C28,C29,C32,C33,C34,C37,C40,C41,C42)</f>
        <v>-6637190.6582000069</v>
      </c>
      <c r="D43" s="528">
        <f>SUM(D6,D13,D18,D19,D20,D21,D22,D23,D24,D25,D26,D27,D28,D29,D32,D33,D34,D37,D40,D41,D42)</f>
        <v>10994219.65</v>
      </c>
      <c r="E43" s="642">
        <f t="shared" si="0"/>
        <v>4357028.9917999934</v>
      </c>
      <c r="F43" s="528">
        <f>SUM(F6,F13,F18,F19,F20,F21,F22,F23,F24,F25,F26,F27,F28,F29,F32,F33,F34,F37,F40,F41,F42)</f>
        <v>-4517023.5100455517</v>
      </c>
      <c r="G43" s="528">
        <f>SUM(G6,G13,G18,G19,G20,G21,G22,G23,G24,G25,G26,G27,G28,G29,G32,G33,G34,G37,G40,G41,G42)</f>
        <v>11807842.363280896</v>
      </c>
      <c r="H43" s="642">
        <f t="shared" si="1"/>
        <v>7290818.8532353444</v>
      </c>
      <c r="I43" s="529"/>
      <c r="J43" s="529"/>
      <c r="K43" s="529"/>
      <c r="L43" s="529"/>
      <c r="M43" s="529"/>
      <c r="N43" s="529"/>
    </row>
    <row r="44" spans="1:14">
      <c r="A44" s="326">
        <v>23</v>
      </c>
      <c r="B44" s="526" t="s">
        <v>619</v>
      </c>
      <c r="C44" s="528">
        <v>1944640.66</v>
      </c>
      <c r="D44" s="528"/>
      <c r="E44" s="642">
        <f t="shared" si="0"/>
        <v>1944640.66</v>
      </c>
      <c r="F44" s="528"/>
      <c r="G44" s="528"/>
      <c r="H44" s="642">
        <f t="shared" si="1"/>
        <v>0</v>
      </c>
      <c r="I44" s="529"/>
      <c r="J44" s="529"/>
      <c r="K44" s="529"/>
      <c r="L44" s="529"/>
      <c r="M44" s="529"/>
      <c r="N44" s="529"/>
    </row>
    <row r="45" spans="1:14">
      <c r="A45" s="326">
        <v>24</v>
      </c>
      <c r="B45" s="527" t="s">
        <v>620</v>
      </c>
      <c r="C45" s="512">
        <f>C43-C44</f>
        <v>-8581831.3182000071</v>
      </c>
      <c r="D45" s="512">
        <f>D43-D44</f>
        <v>10994219.65</v>
      </c>
      <c r="E45" s="643">
        <f t="shared" si="0"/>
        <v>2412388.3317999933</v>
      </c>
      <c r="F45" s="512">
        <f>F43-F44</f>
        <v>-4517023.5100455517</v>
      </c>
      <c r="G45" s="512">
        <f>G43-G44</f>
        <v>11807842.363280896</v>
      </c>
      <c r="H45" s="642">
        <f t="shared" si="1"/>
        <v>7290818.8532353444</v>
      </c>
      <c r="I45" s="529"/>
      <c r="J45" s="529"/>
      <c r="K45" s="529"/>
      <c r="L45" s="529"/>
      <c r="M45" s="529"/>
      <c r="N45" s="529"/>
    </row>
    <row r="50" spans="5:5">
      <c r="E50" s="1"/>
    </row>
  </sheetData>
  <mergeCells count="4">
    <mergeCell ref="A4:A5"/>
    <mergeCell ref="B4:B5"/>
    <mergeCell ref="C4:E4"/>
    <mergeCell ref="F4:H4"/>
  </mergeCells>
  <pageMargins left="0.7" right="0.7" top="0.75" bottom="0.75" header="0.3" footer="0.3"/>
  <pageSetup paperSize="9" scale="48" orientation="portrait" horizontalDpi="300" verticalDpi="300" r:id="rId1"/>
  <headerFooter>
    <oddFooter>&amp;C_x000D_&amp;1#&amp;"Aptos"&amp;10&amp;K000000 C4 - EXTERNAL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zoomScale="80" zoomScaleNormal="80" workbookViewId="0">
      <selection activeCell="L18" sqref="L18"/>
    </sheetView>
  </sheetViews>
  <sheetFormatPr defaultColWidth="8.77734375" defaultRowHeight="13.8"/>
  <cols>
    <col min="1" max="1" width="8.77734375" style="455"/>
    <col min="2" max="2" width="87.6640625" style="444" bestFit="1" customWidth="1"/>
    <col min="3" max="8" width="15.44140625" style="444" customWidth="1"/>
    <col min="9" max="11" width="8.77734375" style="444"/>
    <col min="12" max="12" width="8.88671875" style="444" bestFit="1" customWidth="1"/>
    <col min="13" max="14" width="9.33203125" style="444" bestFit="1" customWidth="1"/>
    <col min="15" max="16384" width="8.77734375" style="444"/>
  </cols>
  <sheetData>
    <row r="1" spans="1:14">
      <c r="A1" s="126" t="s">
        <v>30</v>
      </c>
      <c r="B1" s="443" t="str">
        <f>'Info '!C2</f>
        <v xml:space="preserve">PASHA Bank Georgia JSC </v>
      </c>
      <c r="C1" s="443"/>
    </row>
    <row r="2" spans="1:14">
      <c r="A2" s="126" t="s">
        <v>31</v>
      </c>
      <c r="B2" s="445">
        <f>'1. key ratios '!B2</f>
        <v>46022</v>
      </c>
      <c r="C2" s="443"/>
    </row>
    <row r="3" spans="1:14" ht="14.4" thickBot="1">
      <c r="A3" s="444"/>
    </row>
    <row r="4" spans="1:14">
      <c r="A4" s="750" t="s">
        <v>6</v>
      </c>
      <c r="B4" s="751" t="s">
        <v>94</v>
      </c>
      <c r="C4" s="752" t="s">
        <v>522</v>
      </c>
      <c r="D4" s="752"/>
      <c r="E4" s="752"/>
      <c r="F4" s="752" t="s">
        <v>523</v>
      </c>
      <c r="G4" s="752"/>
      <c r="H4" s="753"/>
    </row>
    <row r="5" spans="1:14">
      <c r="A5" s="750"/>
      <c r="B5" s="751"/>
      <c r="C5" s="325" t="s">
        <v>32</v>
      </c>
      <c r="D5" s="325" t="s">
        <v>33</v>
      </c>
      <c r="E5" s="325" t="s">
        <v>34</v>
      </c>
      <c r="F5" s="325" t="s">
        <v>32</v>
      </c>
      <c r="G5" s="325" t="s">
        <v>33</v>
      </c>
      <c r="H5" s="325" t="s">
        <v>34</v>
      </c>
    </row>
    <row r="6" spans="1:14">
      <c r="A6" s="346">
        <v>1</v>
      </c>
      <c r="B6" s="328" t="s">
        <v>621</v>
      </c>
      <c r="C6" s="457"/>
      <c r="D6" s="457"/>
      <c r="E6" s="458">
        <f t="shared" ref="E6:E43" si="0">C6+D6</f>
        <v>0</v>
      </c>
      <c r="F6" s="457"/>
      <c r="G6" s="457"/>
      <c r="H6" s="459">
        <f t="shared" ref="H6:H43" si="1">F6+G6</f>
        <v>0</v>
      </c>
      <c r="I6" s="714"/>
      <c r="J6" s="714"/>
      <c r="K6" s="714"/>
      <c r="L6" s="714"/>
      <c r="M6" s="714"/>
      <c r="N6" s="714"/>
    </row>
    <row r="7" spans="1:14">
      <c r="A7" s="346">
        <v>2</v>
      </c>
      <c r="B7" s="328" t="s">
        <v>183</v>
      </c>
      <c r="C7" s="457"/>
      <c r="D7" s="457"/>
      <c r="E7" s="458">
        <f t="shared" si="0"/>
        <v>0</v>
      </c>
      <c r="F7" s="457"/>
      <c r="G7" s="457"/>
      <c r="H7" s="459">
        <f t="shared" si="1"/>
        <v>0</v>
      </c>
      <c r="I7" s="714"/>
      <c r="J7" s="714"/>
      <c r="K7" s="714"/>
      <c r="L7" s="714"/>
      <c r="M7" s="714"/>
      <c r="N7" s="714"/>
    </row>
    <row r="8" spans="1:14">
      <c r="A8" s="346">
        <v>3</v>
      </c>
      <c r="B8" s="328" t="s">
        <v>193</v>
      </c>
      <c r="C8" s="457">
        <f>C9+C10</f>
        <v>62429000.409999996</v>
      </c>
      <c r="D8" s="457">
        <f>D9+D10</f>
        <v>3306940659.1673002</v>
      </c>
      <c r="E8" s="458">
        <f t="shared" si="0"/>
        <v>3369369659.5773001</v>
      </c>
      <c r="F8" s="457">
        <f>F9+F10</f>
        <v>323212450.83640003</v>
      </c>
      <c r="G8" s="457">
        <f>G9+G10</f>
        <v>453170851.19400001</v>
      </c>
      <c r="H8" s="459">
        <f t="shared" si="1"/>
        <v>776383302.03040004</v>
      </c>
      <c r="I8" s="714"/>
      <c r="J8" s="714"/>
      <c r="K8" s="714"/>
      <c r="L8" s="714"/>
      <c r="M8" s="714"/>
      <c r="N8" s="714"/>
    </row>
    <row r="9" spans="1:14">
      <c r="A9" s="346">
        <v>3.1</v>
      </c>
      <c r="B9" s="327" t="s">
        <v>184</v>
      </c>
      <c r="C9" s="457">
        <v>43010004</v>
      </c>
      <c r="D9" s="457">
        <v>3293050213.0337</v>
      </c>
      <c r="E9" s="458">
        <f t="shared" si="0"/>
        <v>3336060217.0337</v>
      </c>
      <c r="F9" s="457">
        <v>301493454.42640001</v>
      </c>
      <c r="G9" s="457">
        <v>436762910.97780001</v>
      </c>
      <c r="H9" s="459">
        <f t="shared" si="1"/>
        <v>738256365.40420008</v>
      </c>
      <c r="I9" s="714"/>
      <c r="J9" s="714"/>
      <c r="K9" s="714"/>
      <c r="L9" s="714"/>
      <c r="M9" s="714"/>
      <c r="N9" s="714"/>
    </row>
    <row r="10" spans="1:14">
      <c r="A10" s="346">
        <v>3.2</v>
      </c>
      <c r="B10" s="327" t="s">
        <v>180</v>
      </c>
      <c r="C10" s="457">
        <v>19418996.41</v>
      </c>
      <c r="D10" s="457">
        <v>13890446.1336</v>
      </c>
      <c r="E10" s="458">
        <f t="shared" si="0"/>
        <v>33309442.5436</v>
      </c>
      <c r="F10" s="457">
        <v>21718996.41</v>
      </c>
      <c r="G10" s="457">
        <v>16407940.2162</v>
      </c>
      <c r="H10" s="459">
        <f t="shared" si="1"/>
        <v>38126936.626199998</v>
      </c>
      <c r="I10" s="714"/>
      <c r="J10" s="714"/>
      <c r="K10" s="714"/>
      <c r="L10" s="714"/>
      <c r="M10" s="714"/>
      <c r="N10" s="714"/>
    </row>
    <row r="11" spans="1:14">
      <c r="A11" s="346">
        <v>4</v>
      </c>
      <c r="B11" s="328" t="s">
        <v>182</v>
      </c>
      <c r="C11" s="457">
        <f>C12+C13</f>
        <v>0</v>
      </c>
      <c r="D11" s="457">
        <f>D12+D13</f>
        <v>0</v>
      </c>
      <c r="E11" s="458">
        <f t="shared" si="0"/>
        <v>0</v>
      </c>
      <c r="F11" s="457">
        <f>F12+F13</f>
        <v>0</v>
      </c>
      <c r="G11" s="457">
        <f>G12+G13</f>
        <v>0</v>
      </c>
      <c r="H11" s="459">
        <f t="shared" si="1"/>
        <v>0</v>
      </c>
      <c r="I11" s="714"/>
      <c r="J11" s="714"/>
      <c r="K11" s="714"/>
      <c r="L11" s="714"/>
      <c r="M11" s="714"/>
      <c r="N11" s="714"/>
    </row>
    <row r="12" spans="1:14">
      <c r="A12" s="346">
        <v>4.0999999999999996</v>
      </c>
      <c r="B12" s="327" t="s">
        <v>166</v>
      </c>
      <c r="C12" s="457"/>
      <c r="D12" s="457"/>
      <c r="E12" s="458">
        <f t="shared" si="0"/>
        <v>0</v>
      </c>
      <c r="F12" s="457"/>
      <c r="G12" s="457"/>
      <c r="H12" s="459">
        <f t="shared" si="1"/>
        <v>0</v>
      </c>
      <c r="I12" s="714"/>
      <c r="J12" s="714"/>
      <c r="K12" s="714"/>
      <c r="L12" s="714"/>
      <c r="M12" s="714"/>
      <c r="N12" s="714"/>
    </row>
    <row r="13" spans="1:14">
      <c r="A13" s="346">
        <v>4.2</v>
      </c>
      <c r="B13" s="327" t="s">
        <v>167</v>
      </c>
      <c r="C13" s="457"/>
      <c r="D13" s="457"/>
      <c r="E13" s="458">
        <f t="shared" si="0"/>
        <v>0</v>
      </c>
      <c r="F13" s="457"/>
      <c r="G13" s="457"/>
      <c r="H13" s="459">
        <f t="shared" si="1"/>
        <v>0</v>
      </c>
      <c r="I13" s="714"/>
      <c r="J13" s="714"/>
      <c r="K13" s="714"/>
      <c r="L13" s="714"/>
      <c r="M13" s="714"/>
      <c r="N13" s="714"/>
    </row>
    <row r="14" spans="1:14">
      <c r="A14" s="346">
        <v>5</v>
      </c>
      <c r="B14" s="328" t="s">
        <v>192</v>
      </c>
      <c r="C14" s="457">
        <f>C15+C16+C17+C23+C24+C25+C26</f>
        <v>100686856.00729999</v>
      </c>
      <c r="D14" s="457">
        <f>D15+D16+D17+D23+D24+D25+D26</f>
        <v>626281714.32090008</v>
      </c>
      <c r="E14" s="458">
        <f t="shared" si="0"/>
        <v>726968570.3282001</v>
      </c>
      <c r="F14" s="457">
        <f>F15+F16+F17+F23+F24+F25+F26</f>
        <v>105424127.43000001</v>
      </c>
      <c r="G14" s="457">
        <f>G15+G16+G17+G23+G24+G25+G26</f>
        <v>508890606.42299998</v>
      </c>
      <c r="H14" s="459">
        <f t="shared" si="1"/>
        <v>614314733.85299993</v>
      </c>
      <c r="I14" s="714"/>
      <c r="J14" s="714"/>
      <c r="K14" s="714"/>
      <c r="L14" s="714"/>
      <c r="M14" s="714"/>
      <c r="N14" s="714"/>
    </row>
    <row r="15" spans="1:14">
      <c r="A15" s="346">
        <v>5.0999999999999996</v>
      </c>
      <c r="B15" s="329" t="s">
        <v>170</v>
      </c>
      <c r="C15" s="457">
        <v>5278686.4000000004</v>
      </c>
      <c r="D15" s="457">
        <v>57960022.476099998</v>
      </c>
      <c r="E15" s="458">
        <f t="shared" si="0"/>
        <v>63238708.876099996</v>
      </c>
      <c r="F15" s="457">
        <v>3175626.85</v>
      </c>
      <c r="G15" s="457">
        <v>49111717.5502</v>
      </c>
      <c r="H15" s="459">
        <f t="shared" si="1"/>
        <v>52287344.400200002</v>
      </c>
      <c r="I15" s="714"/>
      <c r="J15" s="714"/>
      <c r="K15" s="714"/>
      <c r="L15" s="714"/>
      <c r="M15" s="714"/>
      <c r="N15" s="714"/>
    </row>
    <row r="16" spans="1:14">
      <c r="A16" s="346">
        <v>5.2</v>
      </c>
      <c r="B16" s="329" t="s">
        <v>169</v>
      </c>
      <c r="C16" s="457"/>
      <c r="D16" s="457"/>
      <c r="E16" s="458">
        <f t="shared" si="0"/>
        <v>0</v>
      </c>
      <c r="F16" s="457"/>
      <c r="G16" s="457"/>
      <c r="H16" s="459">
        <f t="shared" si="1"/>
        <v>0</v>
      </c>
      <c r="I16" s="714"/>
      <c r="J16" s="714"/>
      <c r="K16" s="714"/>
      <c r="L16" s="714"/>
      <c r="M16" s="714"/>
      <c r="N16" s="714"/>
    </row>
    <row r="17" spans="1:14">
      <c r="A17" s="346">
        <v>5.3</v>
      </c>
      <c r="B17" s="329" t="s">
        <v>168</v>
      </c>
      <c r="C17" s="457">
        <f>C18+C19+C20+C21+C22</f>
        <v>34008852.607299998</v>
      </c>
      <c r="D17" s="457">
        <f>D18+D19+D20+D21+D22</f>
        <v>467642660.24160004</v>
      </c>
      <c r="E17" s="458">
        <f t="shared" si="0"/>
        <v>501651512.84890002</v>
      </c>
      <c r="F17" s="457">
        <f>F18+F19+F20+F21+F22</f>
        <v>25558852.579999998</v>
      </c>
      <c r="G17" s="457">
        <f>G18+G19+G20+G21+G22</f>
        <v>360869062.42919993</v>
      </c>
      <c r="H17" s="459">
        <f t="shared" si="1"/>
        <v>386427915.00919992</v>
      </c>
      <c r="I17" s="714"/>
      <c r="J17" s="714"/>
      <c r="K17" s="714"/>
      <c r="L17" s="714"/>
      <c r="M17" s="714"/>
      <c r="N17" s="714"/>
    </row>
    <row r="18" spans="1:14">
      <c r="A18" s="346" t="s">
        <v>15</v>
      </c>
      <c r="B18" s="330" t="s">
        <v>36</v>
      </c>
      <c r="C18" s="457">
        <v>1.0001</v>
      </c>
      <c r="D18" s="457">
        <v>28210811.240499999</v>
      </c>
      <c r="E18" s="458">
        <f t="shared" si="0"/>
        <v>28210812.240600001</v>
      </c>
      <c r="F18" s="457">
        <v>1</v>
      </c>
      <c r="G18" s="457">
        <v>26313425.847100001</v>
      </c>
      <c r="H18" s="459">
        <f t="shared" si="1"/>
        <v>26313426.847100001</v>
      </c>
      <c r="I18" s="714"/>
      <c r="J18" s="714"/>
      <c r="K18" s="714"/>
      <c r="L18" s="714"/>
      <c r="M18" s="714"/>
      <c r="N18" s="714"/>
    </row>
    <row r="19" spans="1:14">
      <c r="A19" s="346" t="s">
        <v>16</v>
      </c>
      <c r="B19" s="330" t="s">
        <v>37</v>
      </c>
      <c r="C19" s="457">
        <v>167892</v>
      </c>
      <c r="D19" s="457">
        <v>284622701.58770001</v>
      </c>
      <c r="E19" s="458">
        <f t="shared" si="0"/>
        <v>284790593.58770001</v>
      </c>
      <c r="F19" s="457">
        <v>167892</v>
      </c>
      <c r="G19" s="457">
        <v>248747630.88049999</v>
      </c>
      <c r="H19" s="459">
        <f t="shared" si="1"/>
        <v>248915522.88049999</v>
      </c>
      <c r="I19" s="714"/>
      <c r="J19" s="714"/>
      <c r="K19" s="714"/>
      <c r="L19" s="714"/>
      <c r="M19" s="714"/>
      <c r="N19" s="714"/>
    </row>
    <row r="20" spans="1:14">
      <c r="A20" s="346" t="s">
        <v>17</v>
      </c>
      <c r="B20" s="330" t="s">
        <v>38</v>
      </c>
      <c r="C20" s="457">
        <v>0</v>
      </c>
      <c r="D20" s="457">
        <v>4248.0704999999998</v>
      </c>
      <c r="E20" s="458">
        <f t="shared" si="0"/>
        <v>4248.0704999999998</v>
      </c>
      <c r="F20" s="457">
        <v>0</v>
      </c>
      <c r="G20" s="457">
        <v>0</v>
      </c>
      <c r="H20" s="459">
        <f t="shared" si="1"/>
        <v>0</v>
      </c>
      <c r="I20" s="714"/>
      <c r="J20" s="714"/>
      <c r="K20" s="714"/>
      <c r="L20" s="714"/>
      <c r="M20" s="714"/>
      <c r="N20" s="714"/>
    </row>
    <row r="21" spans="1:14">
      <c r="A21" s="346" t="s">
        <v>18</v>
      </c>
      <c r="B21" s="330" t="s">
        <v>39</v>
      </c>
      <c r="C21" s="457">
        <v>40960.58</v>
      </c>
      <c r="D21" s="457">
        <v>94532774.8891</v>
      </c>
      <c r="E21" s="458">
        <f t="shared" si="0"/>
        <v>94573735.469099998</v>
      </c>
      <c r="F21" s="457">
        <v>40960.58</v>
      </c>
      <c r="G21" s="457">
        <v>62137384.850400001</v>
      </c>
      <c r="H21" s="459">
        <f t="shared" si="1"/>
        <v>62178345.430399999</v>
      </c>
      <c r="I21" s="714"/>
      <c r="J21" s="714"/>
      <c r="K21" s="714"/>
      <c r="L21" s="714"/>
      <c r="M21" s="714"/>
      <c r="N21" s="714"/>
    </row>
    <row r="22" spans="1:14">
      <c r="A22" s="346" t="s">
        <v>19</v>
      </c>
      <c r="B22" s="330" t="s">
        <v>40</v>
      </c>
      <c r="C22" s="457">
        <v>33799999.027199998</v>
      </c>
      <c r="D22" s="457">
        <v>60272124.4538</v>
      </c>
      <c r="E22" s="458">
        <f t="shared" si="0"/>
        <v>94072123.481000006</v>
      </c>
      <c r="F22" s="457">
        <v>25349999</v>
      </c>
      <c r="G22" s="457">
        <v>23670620.851199999</v>
      </c>
      <c r="H22" s="459">
        <f t="shared" si="1"/>
        <v>49020619.851199999</v>
      </c>
      <c r="I22" s="714"/>
      <c r="J22" s="714"/>
      <c r="K22" s="714"/>
      <c r="L22" s="714"/>
      <c r="M22" s="714"/>
      <c r="N22" s="714"/>
    </row>
    <row r="23" spans="1:14">
      <c r="A23" s="346">
        <v>5.4</v>
      </c>
      <c r="B23" s="329" t="s">
        <v>171</v>
      </c>
      <c r="C23" s="457">
        <v>1911601</v>
      </c>
      <c r="D23" s="457">
        <v>51202751.528200001</v>
      </c>
      <c r="E23" s="458">
        <f t="shared" si="0"/>
        <v>53114352.528200001</v>
      </c>
      <c r="F23" s="457">
        <v>1911601</v>
      </c>
      <c r="G23" s="457">
        <v>39883119.094300002</v>
      </c>
      <c r="H23" s="459">
        <f t="shared" si="1"/>
        <v>41794720.094300002</v>
      </c>
      <c r="I23" s="714"/>
      <c r="J23" s="714"/>
      <c r="K23" s="714"/>
      <c r="L23" s="714"/>
      <c r="M23" s="714"/>
      <c r="N23" s="714"/>
    </row>
    <row r="24" spans="1:14">
      <c r="A24" s="346">
        <v>5.5</v>
      </c>
      <c r="B24" s="329" t="s">
        <v>172</v>
      </c>
      <c r="C24" s="457">
        <v>0</v>
      </c>
      <c r="D24" s="457">
        <v>51.826799999999999</v>
      </c>
      <c r="E24" s="458">
        <f t="shared" si="0"/>
        <v>51.826799999999999</v>
      </c>
      <c r="F24" s="457">
        <v>0</v>
      </c>
      <c r="G24" s="457">
        <v>62.423200000000001</v>
      </c>
      <c r="H24" s="459">
        <f t="shared" si="1"/>
        <v>62.423200000000001</v>
      </c>
      <c r="I24" s="714"/>
      <c r="J24" s="714"/>
      <c r="K24" s="714"/>
      <c r="L24" s="714"/>
      <c r="M24" s="714"/>
      <c r="N24" s="714"/>
    </row>
    <row r="25" spans="1:14">
      <c r="A25" s="346">
        <v>5.6</v>
      </c>
      <c r="B25" s="329" t="s">
        <v>173</v>
      </c>
      <c r="C25" s="457">
        <v>0</v>
      </c>
      <c r="D25" s="457">
        <v>15320407.607999999</v>
      </c>
      <c r="E25" s="458">
        <f t="shared" si="0"/>
        <v>15320407.607999999</v>
      </c>
      <c r="F25" s="457">
        <v>0</v>
      </c>
      <c r="G25" s="457">
        <v>15955370.8857</v>
      </c>
      <c r="H25" s="459">
        <f t="shared" si="1"/>
        <v>15955370.8857</v>
      </c>
      <c r="I25" s="714"/>
      <c r="J25" s="714"/>
      <c r="K25" s="714"/>
      <c r="L25" s="714"/>
      <c r="M25" s="714"/>
      <c r="N25" s="714"/>
    </row>
    <row r="26" spans="1:14">
      <c r="A26" s="346">
        <v>5.7</v>
      </c>
      <c r="B26" s="329" t="s">
        <v>40</v>
      </c>
      <c r="C26" s="457">
        <v>59487716</v>
      </c>
      <c r="D26" s="457">
        <v>34155820.640199997</v>
      </c>
      <c r="E26" s="458">
        <f t="shared" si="0"/>
        <v>93643536.640199989</v>
      </c>
      <c r="F26" s="457">
        <v>74778047</v>
      </c>
      <c r="G26" s="457">
        <v>43071274.040399998</v>
      </c>
      <c r="H26" s="459">
        <f t="shared" si="1"/>
        <v>117849321.0404</v>
      </c>
      <c r="I26" s="714"/>
      <c r="J26" s="714"/>
      <c r="K26" s="714"/>
      <c r="L26" s="714"/>
      <c r="M26" s="714"/>
      <c r="N26" s="714"/>
    </row>
    <row r="27" spans="1:14">
      <c r="A27" s="346">
        <v>6</v>
      </c>
      <c r="B27" s="460" t="s">
        <v>622</v>
      </c>
      <c r="C27" s="457">
        <v>312261.18</v>
      </c>
      <c r="D27" s="457">
        <v>21866040.038800001</v>
      </c>
      <c r="E27" s="458">
        <f t="shared" si="0"/>
        <v>22178301.218800001</v>
      </c>
      <c r="F27" s="457">
        <v>3802916.4</v>
      </c>
      <c r="G27" s="457">
        <v>24000037.845899999</v>
      </c>
      <c r="H27" s="459">
        <f t="shared" si="1"/>
        <v>27802954.245899998</v>
      </c>
      <c r="I27" s="714"/>
      <c r="J27" s="714"/>
      <c r="K27" s="714"/>
      <c r="L27" s="714"/>
      <c r="M27" s="714"/>
      <c r="N27" s="714"/>
    </row>
    <row r="28" spans="1:14">
      <c r="A28" s="346">
        <v>7</v>
      </c>
      <c r="B28" s="460" t="s">
        <v>623</v>
      </c>
      <c r="C28" s="457">
        <v>26478789.710000001</v>
      </c>
      <c r="D28" s="457">
        <v>36373913.746299997</v>
      </c>
      <c r="E28" s="458">
        <f t="shared" si="0"/>
        <v>62852703.456299998</v>
      </c>
      <c r="F28" s="457">
        <v>25180057.630000003</v>
      </c>
      <c r="G28" s="457">
        <v>30543076.670699999</v>
      </c>
      <c r="H28" s="459">
        <f t="shared" si="1"/>
        <v>55723134.300700001</v>
      </c>
      <c r="I28" s="714"/>
      <c r="J28" s="714"/>
      <c r="K28" s="714"/>
      <c r="L28" s="714"/>
      <c r="M28" s="714"/>
      <c r="N28" s="714"/>
    </row>
    <row r="29" spans="1:14">
      <c r="A29" s="346">
        <v>8</v>
      </c>
      <c r="B29" s="460" t="s">
        <v>181</v>
      </c>
      <c r="C29" s="457">
        <v>0</v>
      </c>
      <c r="D29" s="457">
        <v>180227.50880000001</v>
      </c>
      <c r="E29" s="458">
        <f t="shared" si="0"/>
        <v>180227.50880000001</v>
      </c>
      <c r="F29" s="457">
        <v>0</v>
      </c>
      <c r="G29" s="457">
        <v>263754</v>
      </c>
      <c r="H29" s="459">
        <f t="shared" si="1"/>
        <v>263754</v>
      </c>
      <c r="I29" s="714"/>
      <c r="J29" s="714"/>
      <c r="K29" s="714"/>
      <c r="L29" s="714"/>
      <c r="M29" s="714"/>
      <c r="N29" s="714"/>
    </row>
    <row r="30" spans="1:14">
      <c r="A30" s="346">
        <v>9</v>
      </c>
      <c r="B30" s="461" t="s">
        <v>198</v>
      </c>
      <c r="C30" s="457">
        <f>C31+C32+C33+C34+C35+C36+C37</f>
        <v>124079298.81999999</v>
      </c>
      <c r="D30" s="457">
        <f>D31+D32+D33+D34+D35+D36+D37</f>
        <v>136949805.9655</v>
      </c>
      <c r="E30" s="458">
        <f t="shared" si="0"/>
        <v>261029104.78549999</v>
      </c>
      <c r="F30" s="457">
        <f>F31+F32+F33+F34+F35+F36+F37</f>
        <v>53435436.579999998</v>
      </c>
      <c r="G30" s="457">
        <f>G31+G32+G33+G34+G35+G36+G37</f>
        <v>183812876.63499999</v>
      </c>
      <c r="H30" s="459">
        <f t="shared" si="1"/>
        <v>237248313.21499997</v>
      </c>
      <c r="I30" s="714"/>
      <c r="J30" s="714"/>
      <c r="K30" s="714"/>
      <c r="L30" s="714"/>
      <c r="M30" s="714"/>
      <c r="N30" s="714"/>
    </row>
    <row r="31" spans="1:14">
      <c r="A31" s="346">
        <v>9.1</v>
      </c>
      <c r="B31" s="331" t="s">
        <v>188</v>
      </c>
      <c r="C31" s="457">
        <v>113375976.81999999</v>
      </c>
      <c r="D31" s="457">
        <v>17939445.127300002</v>
      </c>
      <c r="E31" s="458">
        <f t="shared" si="0"/>
        <v>131315421.94729999</v>
      </c>
      <c r="F31" s="457">
        <v>11375619.779999999</v>
      </c>
      <c r="G31" s="457">
        <v>107233296.63500001</v>
      </c>
      <c r="H31" s="459">
        <f t="shared" si="1"/>
        <v>118608916.41500001</v>
      </c>
      <c r="I31" s="714"/>
      <c r="J31" s="714"/>
      <c r="K31" s="714"/>
      <c r="L31" s="714"/>
      <c r="M31" s="714"/>
      <c r="N31" s="714"/>
    </row>
    <row r="32" spans="1:14">
      <c r="A32" s="346">
        <v>9.1999999999999993</v>
      </c>
      <c r="B32" s="331" t="s">
        <v>189</v>
      </c>
      <c r="C32" s="457">
        <v>10703322</v>
      </c>
      <c r="D32" s="457">
        <v>119010360.8382</v>
      </c>
      <c r="E32" s="458">
        <f t="shared" si="0"/>
        <v>129713682.8382</v>
      </c>
      <c r="F32" s="457">
        <v>42059816.799999997</v>
      </c>
      <c r="G32" s="457">
        <v>76579580</v>
      </c>
      <c r="H32" s="459">
        <f t="shared" si="1"/>
        <v>118639396.8</v>
      </c>
      <c r="I32" s="714"/>
      <c r="J32" s="714"/>
      <c r="K32" s="714"/>
      <c r="L32" s="714"/>
      <c r="M32" s="714"/>
      <c r="N32" s="714"/>
    </row>
    <row r="33" spans="1:14">
      <c r="A33" s="346">
        <v>9.3000000000000007</v>
      </c>
      <c r="B33" s="331" t="s">
        <v>185</v>
      </c>
      <c r="C33" s="457"/>
      <c r="D33" s="457"/>
      <c r="E33" s="458">
        <f t="shared" si="0"/>
        <v>0</v>
      </c>
      <c r="F33" s="457"/>
      <c r="G33" s="457"/>
      <c r="H33" s="459">
        <f t="shared" si="1"/>
        <v>0</v>
      </c>
      <c r="I33" s="714"/>
      <c r="J33" s="714"/>
      <c r="K33" s="714"/>
      <c r="L33" s="714"/>
      <c r="M33" s="714"/>
      <c r="N33" s="714"/>
    </row>
    <row r="34" spans="1:14">
      <c r="A34" s="346">
        <v>9.4</v>
      </c>
      <c r="B34" s="331" t="s">
        <v>186</v>
      </c>
      <c r="C34" s="457"/>
      <c r="D34" s="457"/>
      <c r="E34" s="458">
        <f t="shared" si="0"/>
        <v>0</v>
      </c>
      <c r="F34" s="457"/>
      <c r="G34" s="457"/>
      <c r="H34" s="459">
        <f t="shared" si="1"/>
        <v>0</v>
      </c>
      <c r="I34" s="714"/>
      <c r="J34" s="714"/>
      <c r="K34" s="714"/>
      <c r="L34" s="714"/>
      <c r="M34" s="714"/>
      <c r="N34" s="714"/>
    </row>
    <row r="35" spans="1:14">
      <c r="A35" s="346">
        <v>9.5</v>
      </c>
      <c r="B35" s="331" t="s">
        <v>187</v>
      </c>
      <c r="C35" s="457"/>
      <c r="D35" s="457"/>
      <c r="E35" s="458">
        <f t="shared" si="0"/>
        <v>0</v>
      </c>
      <c r="F35" s="457"/>
      <c r="G35" s="457"/>
      <c r="H35" s="459">
        <f t="shared" si="1"/>
        <v>0</v>
      </c>
      <c r="I35" s="714"/>
      <c r="J35" s="714"/>
      <c r="K35" s="714"/>
      <c r="L35" s="714"/>
      <c r="M35" s="714"/>
      <c r="N35" s="714"/>
    </row>
    <row r="36" spans="1:14">
      <c r="A36" s="346">
        <v>9.6</v>
      </c>
      <c r="B36" s="331" t="s">
        <v>190</v>
      </c>
      <c r="C36" s="457"/>
      <c r="D36" s="457"/>
      <c r="E36" s="458">
        <f t="shared" si="0"/>
        <v>0</v>
      </c>
      <c r="F36" s="457"/>
      <c r="G36" s="457"/>
      <c r="H36" s="459">
        <f t="shared" si="1"/>
        <v>0</v>
      </c>
      <c r="I36" s="714"/>
      <c r="J36" s="714"/>
      <c r="K36" s="714"/>
      <c r="L36" s="714"/>
      <c r="M36" s="714"/>
      <c r="N36" s="714"/>
    </row>
    <row r="37" spans="1:14">
      <c r="A37" s="346">
        <v>9.6999999999999993</v>
      </c>
      <c r="B37" s="331" t="s">
        <v>191</v>
      </c>
      <c r="C37" s="457"/>
      <c r="D37" s="457"/>
      <c r="E37" s="458">
        <f t="shared" si="0"/>
        <v>0</v>
      </c>
      <c r="F37" s="457"/>
      <c r="G37" s="457"/>
      <c r="H37" s="459">
        <f t="shared" si="1"/>
        <v>0</v>
      </c>
      <c r="I37" s="714"/>
      <c r="J37" s="714"/>
      <c r="K37" s="714"/>
      <c r="L37" s="714"/>
      <c r="M37" s="714"/>
      <c r="N37" s="714"/>
    </row>
    <row r="38" spans="1:14">
      <c r="A38" s="346">
        <v>10</v>
      </c>
      <c r="B38" s="328" t="s">
        <v>194</v>
      </c>
      <c r="C38" s="464">
        <f>C41+C42</f>
        <v>15944445.920000002</v>
      </c>
      <c r="D38" s="464">
        <f>D41+D42</f>
        <v>22596334.403099999</v>
      </c>
      <c r="E38" s="462">
        <f t="shared" si="0"/>
        <v>38540780.323100001</v>
      </c>
      <c r="F38" s="464">
        <f>F41+F42</f>
        <v>16185383.559999999</v>
      </c>
      <c r="G38" s="464">
        <f>G41+G42</f>
        <v>24700648.680199999</v>
      </c>
      <c r="H38" s="459">
        <f t="shared" si="1"/>
        <v>40886032.240199998</v>
      </c>
      <c r="I38" s="714"/>
      <c r="J38" s="714"/>
      <c r="K38" s="714"/>
      <c r="L38" s="714"/>
      <c r="M38" s="714"/>
      <c r="N38" s="714"/>
    </row>
    <row r="39" spans="1:14">
      <c r="A39" s="346">
        <v>10.1</v>
      </c>
      <c r="B39" s="331" t="s">
        <v>195</v>
      </c>
      <c r="C39" s="457">
        <v>0</v>
      </c>
      <c r="D39" s="457">
        <v>1964293.7948</v>
      </c>
      <c r="E39" s="458">
        <f t="shared" si="0"/>
        <v>1964293.7948</v>
      </c>
      <c r="F39" s="457">
        <v>52875.139999999992</v>
      </c>
      <c r="G39" s="457">
        <v>0</v>
      </c>
      <c r="H39" s="459">
        <f t="shared" si="1"/>
        <v>52875.139999999992</v>
      </c>
      <c r="I39" s="714"/>
      <c r="J39" s="714"/>
      <c r="K39" s="714"/>
      <c r="L39" s="714"/>
      <c r="M39" s="714"/>
      <c r="N39" s="714"/>
    </row>
    <row r="40" spans="1:14">
      <c r="A40" s="346">
        <v>10.199999999999999</v>
      </c>
      <c r="B40" s="331" t="s">
        <v>196</v>
      </c>
      <c r="C40" s="457">
        <v>0</v>
      </c>
      <c r="D40" s="457">
        <v>0</v>
      </c>
      <c r="E40" s="458">
        <f t="shared" si="0"/>
        <v>0</v>
      </c>
      <c r="F40" s="457">
        <v>317719.59999999998</v>
      </c>
      <c r="G40" s="713">
        <v>-55985.3433</v>
      </c>
      <c r="H40" s="459">
        <f t="shared" si="1"/>
        <v>261734.25669999997</v>
      </c>
      <c r="I40" s="714"/>
      <c r="J40" s="714"/>
      <c r="K40" s="714"/>
      <c r="L40" s="714"/>
      <c r="M40" s="714"/>
      <c r="N40" s="714"/>
    </row>
    <row r="41" spans="1:14">
      <c r="A41" s="346">
        <v>10.3</v>
      </c>
      <c r="B41" s="331" t="s">
        <v>199</v>
      </c>
      <c r="C41" s="457">
        <v>33516.46</v>
      </c>
      <c r="D41" s="457">
        <v>9173.5095999999994</v>
      </c>
      <c r="E41" s="458">
        <f t="shared" si="0"/>
        <v>42689.969599999997</v>
      </c>
      <c r="F41" s="457">
        <v>574404.69999999995</v>
      </c>
      <c r="G41" s="457">
        <v>0</v>
      </c>
      <c r="H41" s="459">
        <f t="shared" si="1"/>
        <v>574404.69999999995</v>
      </c>
      <c r="I41" s="714"/>
      <c r="J41" s="714"/>
      <c r="K41" s="714"/>
      <c r="L41" s="714"/>
      <c r="M41" s="714"/>
      <c r="N41" s="714"/>
    </row>
    <row r="42" spans="1:14" ht="26.4">
      <c r="A42" s="346">
        <v>10.4</v>
      </c>
      <c r="B42" s="331" t="s">
        <v>200</v>
      </c>
      <c r="C42" s="457">
        <v>15910929.460000001</v>
      </c>
      <c r="D42" s="457">
        <v>22587160.8935</v>
      </c>
      <c r="E42" s="458">
        <f t="shared" si="0"/>
        <v>38498090.353500001</v>
      </c>
      <c r="F42" s="457">
        <v>15610978.859999999</v>
      </c>
      <c r="G42" s="457">
        <v>24700648.680199999</v>
      </c>
      <c r="H42" s="459">
        <f t="shared" si="1"/>
        <v>40311627.540199995</v>
      </c>
      <c r="I42" s="714"/>
      <c r="J42" s="714"/>
      <c r="K42" s="714"/>
      <c r="L42" s="714"/>
      <c r="M42" s="714"/>
      <c r="N42" s="714"/>
    </row>
    <row r="43" spans="1:14" ht="14.4" thickBot="1">
      <c r="A43" s="346">
        <v>11</v>
      </c>
      <c r="B43" s="102" t="s">
        <v>197</v>
      </c>
      <c r="C43" s="457"/>
      <c r="D43" s="457"/>
      <c r="E43" s="458">
        <f t="shared" si="0"/>
        <v>0</v>
      </c>
      <c r="F43" s="457"/>
      <c r="G43" s="457"/>
      <c r="H43" s="459">
        <f t="shared" si="1"/>
        <v>0</v>
      </c>
      <c r="I43" s="714"/>
      <c r="J43" s="714"/>
      <c r="K43" s="714"/>
      <c r="L43" s="714"/>
      <c r="M43" s="714"/>
      <c r="N43" s="714"/>
    </row>
    <row r="44" spans="1:14">
      <c r="C44" s="332"/>
      <c r="D44" s="332"/>
      <c r="E44" s="332"/>
      <c r="F44" s="332"/>
      <c r="G44" s="332"/>
      <c r="H44" s="332"/>
    </row>
    <row r="45" spans="1:14">
      <c r="C45" s="332"/>
      <c r="D45" s="332"/>
      <c r="E45" s="332"/>
      <c r="F45" s="332"/>
      <c r="G45" s="332"/>
      <c r="H45" s="332"/>
    </row>
    <row r="46" spans="1:14">
      <c r="C46" s="332"/>
      <c r="D46" s="332"/>
      <c r="E46" s="332"/>
      <c r="F46" s="332"/>
      <c r="G46" s="332"/>
      <c r="H46" s="332"/>
    </row>
    <row r="47" spans="1:14">
      <c r="C47" s="332"/>
      <c r="D47" s="332"/>
      <c r="E47" s="332"/>
      <c r="F47" s="332"/>
      <c r="G47" s="332"/>
      <c r="H47" s="332"/>
    </row>
  </sheetData>
  <mergeCells count="4">
    <mergeCell ref="A4:A5"/>
    <mergeCell ref="B4:B5"/>
    <mergeCell ref="C4:E4"/>
    <mergeCell ref="F4:H4"/>
  </mergeCells>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H6" sqref="H6"/>
    </sheetView>
  </sheetViews>
  <sheetFormatPr defaultColWidth="9.21875" defaultRowHeight="13.2"/>
  <cols>
    <col min="1" max="1" width="9.5546875" style="5" bestFit="1" customWidth="1"/>
    <col min="2" max="2" width="93.5546875" style="5" customWidth="1"/>
    <col min="3" max="4" width="13.21875" style="5" customWidth="1"/>
    <col min="5" max="7" width="13.21875" style="14" customWidth="1"/>
    <col min="8" max="11" width="9.77734375" style="14" customWidth="1"/>
    <col min="12" max="16384" width="9.21875" style="14"/>
  </cols>
  <sheetData>
    <row r="1" spans="1:13">
      <c r="A1" s="3" t="s">
        <v>30</v>
      </c>
      <c r="B1" s="4" t="str">
        <f>'Info '!C2</f>
        <v xml:space="preserve">PASHA Bank Georgia JSC </v>
      </c>
      <c r="C1" s="4"/>
    </row>
    <row r="2" spans="1:13">
      <c r="A2" s="3" t="s">
        <v>31</v>
      </c>
      <c r="B2" s="252">
        <f>'1. key ratios '!B2</f>
        <v>46022</v>
      </c>
      <c r="C2" s="4"/>
    </row>
    <row r="3" spans="1:13">
      <c r="A3" s="3"/>
      <c r="B3" s="4"/>
      <c r="C3" s="4"/>
    </row>
    <row r="4" spans="1:13" ht="15" customHeight="1" thickBot="1">
      <c r="A4" s="5" t="s">
        <v>96</v>
      </c>
      <c r="B4" s="85" t="s">
        <v>174</v>
      </c>
      <c r="C4" s="17" t="s">
        <v>35</v>
      </c>
    </row>
    <row r="5" spans="1:13" ht="15" customHeight="1">
      <c r="A5" s="124" t="s">
        <v>6</v>
      </c>
      <c r="B5" s="125"/>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1" t="str">
        <f>IF(INT(MONTH($B$2))=3, "1"&amp;"Q"&amp;"-"&amp;YEAR($B$2)-1, IF(INT(MONTH($B$2))=6, "2"&amp;"Q"&amp;"-"&amp;YEAR($B$2)-1, IF(INT(MONTH($B$2))=9, "3"&amp;"Q"&amp;"-"&amp;YEAR($B$2)-1,IF(INT(MONTH($B$2))=12, "4"&amp;"Q"&amp;"-"&amp;YEAR($B$2)-1, 0))))</f>
        <v>4Q-2024</v>
      </c>
    </row>
    <row r="6" spans="1:13" ht="15" customHeight="1">
      <c r="A6" s="18">
        <v>1</v>
      </c>
      <c r="B6" s="208" t="s">
        <v>178</v>
      </c>
      <c r="C6" s="245">
        <f>C7+C9+C10</f>
        <v>584058718.81465864</v>
      </c>
      <c r="D6" s="246">
        <f>D7+D9+D10</f>
        <v>535783282.80874002</v>
      </c>
      <c r="E6" s="210">
        <f t="shared" ref="E6:G6" si="0">E7+E9+E10</f>
        <v>533218917.65801996</v>
      </c>
      <c r="F6" s="245">
        <f t="shared" si="0"/>
        <v>547179259.45317447</v>
      </c>
      <c r="G6" s="248">
        <f t="shared" si="0"/>
        <v>557912289</v>
      </c>
      <c r="H6" s="533"/>
      <c r="I6" s="533"/>
      <c r="J6" s="533"/>
      <c r="K6" s="533"/>
      <c r="L6" s="533"/>
      <c r="M6" s="533"/>
    </row>
    <row r="7" spans="1:13" ht="15" customHeight="1">
      <c r="A7" s="18">
        <v>1.1000000000000001</v>
      </c>
      <c r="B7" s="208" t="s">
        <v>745</v>
      </c>
      <c r="C7" s="530">
        <v>550879869.52780998</v>
      </c>
      <c r="D7" s="531">
        <v>494346419.03468001</v>
      </c>
      <c r="E7" s="530">
        <v>491806151.89602</v>
      </c>
      <c r="F7" s="530">
        <v>513414045.70438999</v>
      </c>
      <c r="G7" s="532">
        <v>523377407</v>
      </c>
      <c r="H7" s="533"/>
      <c r="I7" s="533"/>
      <c r="J7" s="533"/>
      <c r="K7" s="533"/>
      <c r="L7" s="533"/>
      <c r="M7" s="533"/>
    </row>
    <row r="8" spans="1:13">
      <c r="A8" s="18" t="s">
        <v>14</v>
      </c>
      <c r="B8" s="208" t="s">
        <v>95</v>
      </c>
      <c r="C8" s="530"/>
      <c r="D8" s="531"/>
      <c r="E8" s="530"/>
      <c r="F8" s="530"/>
      <c r="G8" s="532"/>
      <c r="H8" s="533"/>
      <c r="I8" s="533"/>
      <c r="J8" s="533"/>
      <c r="K8" s="533"/>
      <c r="L8" s="533"/>
      <c r="M8" s="533"/>
    </row>
    <row r="9" spans="1:13" ht="15" customHeight="1">
      <c r="A9" s="18">
        <v>1.2</v>
      </c>
      <c r="B9" s="209" t="s">
        <v>94</v>
      </c>
      <c r="C9" s="530">
        <v>32325187.160350002</v>
      </c>
      <c r="D9" s="531">
        <v>40843246.454060003</v>
      </c>
      <c r="E9" s="530">
        <v>40666665.478</v>
      </c>
      <c r="F9" s="530">
        <v>33153849.225784499</v>
      </c>
      <c r="G9" s="532">
        <v>33164663</v>
      </c>
      <c r="H9" s="533"/>
      <c r="I9" s="533"/>
      <c r="J9" s="533"/>
      <c r="K9" s="533"/>
      <c r="L9" s="533"/>
      <c r="M9" s="533"/>
    </row>
    <row r="10" spans="1:13" ht="15" customHeight="1">
      <c r="A10" s="18">
        <v>1.3</v>
      </c>
      <c r="B10" s="208" t="s">
        <v>28</v>
      </c>
      <c r="C10" s="530">
        <v>853662.12649870024</v>
      </c>
      <c r="D10" s="531">
        <v>593617.32000000007</v>
      </c>
      <c r="E10" s="530">
        <v>746100.28399999999</v>
      </c>
      <c r="F10" s="530">
        <v>611364.52299999993</v>
      </c>
      <c r="G10" s="532">
        <v>1370219</v>
      </c>
      <c r="H10" s="533"/>
      <c r="I10" s="533"/>
      <c r="J10" s="533"/>
      <c r="K10" s="533"/>
      <c r="L10" s="533"/>
      <c r="M10" s="533"/>
    </row>
    <row r="11" spans="1:13" ht="15" customHeight="1">
      <c r="A11" s="18">
        <v>2</v>
      </c>
      <c r="B11" s="208" t="s">
        <v>175</v>
      </c>
      <c r="C11" s="530">
        <v>1616942.5385853604</v>
      </c>
      <c r="D11" s="531">
        <v>730860.45942161395</v>
      </c>
      <c r="E11" s="530">
        <v>2777016.3105860739</v>
      </c>
      <c r="F11" s="530">
        <v>729412.21164619329</v>
      </c>
      <c r="G11" s="532">
        <v>2449693</v>
      </c>
      <c r="H11" s="533"/>
      <c r="I11" s="533"/>
      <c r="J11" s="533"/>
      <c r="K11" s="533"/>
      <c r="L11" s="533"/>
      <c r="M11" s="533"/>
    </row>
    <row r="12" spans="1:13" ht="15" customHeight="1">
      <c r="A12" s="18">
        <v>3</v>
      </c>
      <c r="B12" s="208" t="s">
        <v>176</v>
      </c>
      <c r="C12" s="530">
        <v>77787139.095129997</v>
      </c>
      <c r="D12" s="531">
        <v>77450981.25</v>
      </c>
      <c r="E12" s="530">
        <v>77450981.25</v>
      </c>
      <c r="F12" s="530">
        <v>77450981.25</v>
      </c>
      <c r="G12" s="532">
        <v>77450981</v>
      </c>
      <c r="H12" s="533"/>
      <c r="I12" s="533"/>
      <c r="J12" s="533"/>
      <c r="K12" s="533"/>
      <c r="L12" s="533"/>
      <c r="M12" s="533"/>
    </row>
    <row r="13" spans="1:13" ht="15" customHeight="1" thickBot="1">
      <c r="A13" s="20">
        <v>4</v>
      </c>
      <c r="B13" s="21" t="s">
        <v>177</v>
      </c>
      <c r="C13" s="211">
        <f>C6+C11+C12</f>
        <v>663462800.44837391</v>
      </c>
      <c r="D13" s="247">
        <f>D6+D11+D12</f>
        <v>613965124.51816165</v>
      </c>
      <c r="E13" s="212">
        <f t="shared" ref="E13:G13" si="1">E6+E11+E12</f>
        <v>613446915.218606</v>
      </c>
      <c r="F13" s="211">
        <f t="shared" si="1"/>
        <v>625359652.91482067</v>
      </c>
      <c r="G13" s="249">
        <f t="shared" si="1"/>
        <v>637812963</v>
      </c>
      <c r="H13" s="533"/>
      <c r="I13" s="533"/>
      <c r="J13" s="533"/>
      <c r="K13" s="533"/>
      <c r="L13" s="533"/>
      <c r="M13" s="533"/>
    </row>
    <row r="14" spans="1:13">
      <c r="B14" s="24"/>
    </row>
    <row r="15" spans="1:13">
      <c r="B15" s="24"/>
    </row>
    <row r="16" spans="1:13">
      <c r="B16" s="24"/>
    </row>
    <row r="17" s="14" customFormat="1" ht="10.199999999999999"/>
    <row r="18" s="14" customFormat="1" ht="10.199999999999999"/>
    <row r="19" s="14" customFormat="1" ht="10.199999999999999"/>
    <row r="20" s="14" customFormat="1" ht="10.199999999999999"/>
    <row r="21" s="14" customFormat="1" ht="10.199999999999999"/>
    <row r="22" s="14" customFormat="1" ht="10.199999999999999"/>
    <row r="23" s="14" customFormat="1" ht="10.199999999999999"/>
    <row r="24" s="14" customFormat="1" ht="10.199999999999999"/>
    <row r="25" s="14" customFormat="1" ht="10.199999999999999"/>
    <row r="26" s="14" customFormat="1" ht="10.199999999999999"/>
    <row r="27" s="14" customFormat="1" ht="10.199999999999999"/>
    <row r="28" s="14" customFormat="1" ht="10.199999999999999"/>
    <row r="29" s="14" customFormat="1" ht="10.199999999999999"/>
  </sheetData>
  <pageMargins left="0.7" right="0.7" top="0.75" bottom="0.75" header="0.3" footer="0.3"/>
  <pageSetup paperSize="9" scale="51" orientation="portrait" horizontalDpi="300" verticalDpi="300" r:id="rId1"/>
  <headerFooter>
    <oddFooter>&amp;C_x000D_&amp;1#&amp;"Aptos"&amp;10&amp;K000000 C4 - EXTERNAL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28" activePane="bottomRight" state="frozen"/>
      <selection activeCell="B42" sqref="B42"/>
      <selection pane="topRight" activeCell="B42" sqref="B42"/>
      <selection pane="bottomLeft" activeCell="B42" sqref="B42"/>
      <selection pane="bottomRight" activeCell="G40" sqref="G40"/>
    </sheetView>
  </sheetViews>
  <sheetFormatPr defaultColWidth="9.21875" defaultRowHeight="13.8"/>
  <cols>
    <col min="1" max="1" width="9.5546875" style="5" bestFit="1" customWidth="1"/>
    <col min="2" max="2" width="65.5546875" style="5" customWidth="1"/>
    <col min="3" max="3" width="49.21875" style="5" bestFit="1" customWidth="1"/>
    <col min="4" max="16384" width="9.21875" style="6"/>
  </cols>
  <sheetData>
    <row r="1" spans="1:8">
      <c r="A1" s="3" t="s">
        <v>30</v>
      </c>
      <c r="B1" s="4" t="str">
        <f>'Info '!C2</f>
        <v xml:space="preserve">PASHA Bank Georgia JSC </v>
      </c>
    </row>
    <row r="2" spans="1:8">
      <c r="A2" s="3" t="s">
        <v>31</v>
      </c>
      <c r="B2" s="252">
        <f>'1. key ratios '!B2</f>
        <v>46022</v>
      </c>
    </row>
    <row r="4" spans="1:8" ht="28.05" customHeight="1" thickBot="1">
      <c r="A4" s="25" t="s">
        <v>41</v>
      </c>
      <c r="B4" s="26" t="s">
        <v>151</v>
      </c>
      <c r="C4" s="27"/>
    </row>
    <row r="5" spans="1:8">
      <c r="A5" s="28"/>
      <c r="B5" s="240" t="s">
        <v>42</v>
      </c>
      <c r="C5" s="241" t="s">
        <v>335</v>
      </c>
    </row>
    <row r="6" spans="1:8">
      <c r="A6" s="29">
        <v>1</v>
      </c>
      <c r="B6" s="615" t="s">
        <v>756</v>
      </c>
      <c r="C6" s="616" t="s">
        <v>760</v>
      </c>
    </row>
    <row r="7" spans="1:8">
      <c r="A7" s="29">
        <v>2</v>
      </c>
      <c r="B7" s="615" t="s">
        <v>757</v>
      </c>
      <c r="C7" s="616" t="s">
        <v>761</v>
      </c>
    </row>
    <row r="8" spans="1:8">
      <c r="A8" s="29">
        <v>3</v>
      </c>
      <c r="B8" s="615" t="s">
        <v>758</v>
      </c>
      <c r="C8" s="616" t="s">
        <v>761</v>
      </c>
    </row>
    <row r="9" spans="1:8">
      <c r="A9" s="29">
        <v>4</v>
      </c>
      <c r="B9" s="615" t="s">
        <v>759</v>
      </c>
      <c r="C9" s="616" t="s">
        <v>760</v>
      </c>
    </row>
    <row r="10" spans="1:8">
      <c r="A10" s="29">
        <v>5</v>
      </c>
      <c r="B10" s="615" t="s">
        <v>753</v>
      </c>
      <c r="C10" s="616" t="s">
        <v>762</v>
      </c>
    </row>
    <row r="11" spans="1:8">
      <c r="A11" s="29">
        <v>6</v>
      </c>
      <c r="B11" s="30"/>
      <c r="C11" s="31"/>
    </row>
    <row r="12" spans="1:8">
      <c r="A12" s="29">
        <v>7</v>
      </c>
      <c r="B12" s="30"/>
      <c r="C12" s="31"/>
      <c r="H12" s="32"/>
    </row>
    <row r="13" spans="1:8">
      <c r="A13" s="29">
        <v>8</v>
      </c>
      <c r="B13" s="30"/>
      <c r="C13" s="31"/>
    </row>
    <row r="14" spans="1:8">
      <c r="A14" s="29">
        <v>9</v>
      </c>
      <c r="B14" s="30"/>
      <c r="C14" s="31"/>
    </row>
    <row r="15" spans="1:8">
      <c r="A15" s="29">
        <v>10</v>
      </c>
      <c r="B15" s="30"/>
      <c r="C15" s="31"/>
    </row>
    <row r="16" spans="1:8">
      <c r="A16" s="29"/>
      <c r="B16" s="242"/>
      <c r="C16" s="243"/>
    </row>
    <row r="17" spans="1:4">
      <c r="A17" s="29"/>
      <c r="B17" s="108" t="s">
        <v>43</v>
      </c>
      <c r="C17" s="244" t="s">
        <v>336</v>
      </c>
    </row>
    <row r="18" spans="1:4">
      <c r="A18" s="29">
        <v>1</v>
      </c>
      <c r="B18" s="615" t="s">
        <v>754</v>
      </c>
      <c r="C18" s="617" t="s">
        <v>763</v>
      </c>
    </row>
    <row r="19" spans="1:4">
      <c r="A19" s="29">
        <v>2</v>
      </c>
      <c r="B19" s="615" t="s">
        <v>764</v>
      </c>
      <c r="C19" s="617" t="s">
        <v>765</v>
      </c>
    </row>
    <row r="20" spans="1:4">
      <c r="A20" s="29">
        <v>3</v>
      </c>
      <c r="B20" s="615" t="s">
        <v>766</v>
      </c>
      <c r="C20" s="617" t="s">
        <v>767</v>
      </c>
    </row>
    <row r="21" spans="1:4">
      <c r="A21" s="29">
        <v>4</v>
      </c>
      <c r="B21" s="615" t="s">
        <v>768</v>
      </c>
      <c r="C21" s="617" t="s">
        <v>769</v>
      </c>
    </row>
    <row r="22" spans="1:4">
      <c r="A22" s="29">
        <v>5</v>
      </c>
      <c r="B22" s="30"/>
      <c r="C22" s="33"/>
    </row>
    <row r="23" spans="1:4">
      <c r="A23" s="29">
        <v>6</v>
      </c>
      <c r="B23" s="30"/>
      <c r="C23" s="33"/>
    </row>
    <row r="24" spans="1:4">
      <c r="A24" s="29">
        <v>7</v>
      </c>
      <c r="B24" s="30"/>
      <c r="C24" s="33"/>
    </row>
    <row r="25" spans="1:4">
      <c r="A25" s="29">
        <v>8</v>
      </c>
      <c r="B25" s="30"/>
      <c r="C25" s="33"/>
    </row>
    <row r="26" spans="1:4">
      <c r="A26" s="29">
        <v>9</v>
      </c>
      <c r="B26" s="30"/>
      <c r="C26" s="33"/>
    </row>
    <row r="27" spans="1:4" ht="15.75" customHeight="1">
      <c r="A27" s="29">
        <v>10</v>
      </c>
      <c r="B27" s="30"/>
      <c r="C27" s="34"/>
    </row>
    <row r="28" spans="1:4" ht="15.75" customHeight="1">
      <c r="A28" s="29"/>
      <c r="B28" s="30"/>
      <c r="C28" s="34"/>
    </row>
    <row r="29" spans="1:4" ht="30" customHeight="1">
      <c r="A29" s="29"/>
      <c r="B29" s="754" t="s">
        <v>44</v>
      </c>
      <c r="C29" s="755"/>
    </row>
    <row r="30" spans="1:4" ht="14.4">
      <c r="A30" s="29">
        <v>1</v>
      </c>
      <c r="B30" s="30" t="s">
        <v>770</v>
      </c>
      <c r="C30" s="618">
        <v>0.85058799707602339</v>
      </c>
      <c r="D30" s="598"/>
    </row>
    <row r="31" spans="1:4" ht="15.75" customHeight="1">
      <c r="A31" s="29">
        <v>2</v>
      </c>
      <c r="B31" s="30" t="s">
        <v>771</v>
      </c>
      <c r="C31" s="618">
        <v>0.14941200292397661</v>
      </c>
      <c r="D31" s="598"/>
    </row>
    <row r="32" spans="1:4" ht="29.25" customHeight="1">
      <c r="A32" s="29"/>
      <c r="B32" s="754" t="s">
        <v>45</v>
      </c>
      <c r="C32" s="755"/>
      <c r="D32" s="598"/>
    </row>
    <row r="33" spans="1:4" ht="14.4">
      <c r="A33" s="29">
        <v>1</v>
      </c>
      <c r="B33" s="30" t="s">
        <v>772</v>
      </c>
      <c r="C33" s="618">
        <v>0.18988394736842104</v>
      </c>
      <c r="D33" s="598"/>
    </row>
    <row r="34" spans="1:4" ht="14.4">
      <c r="A34" s="536">
        <v>2</v>
      </c>
      <c r="B34" s="537" t="s">
        <v>773</v>
      </c>
      <c r="C34" s="618">
        <v>0.35211520467836255</v>
      </c>
      <c r="D34" s="598"/>
    </row>
    <row r="35" spans="1:4" ht="14.4">
      <c r="A35" s="536">
        <v>3</v>
      </c>
      <c r="B35" s="537" t="s">
        <v>774</v>
      </c>
      <c r="C35" s="618">
        <v>0.35211520467836255</v>
      </c>
      <c r="D35" s="598"/>
    </row>
    <row r="36" spans="1:4" ht="15" thickBot="1">
      <c r="A36" s="35">
        <v>4</v>
      </c>
      <c r="B36" s="36" t="s">
        <v>775</v>
      </c>
      <c r="C36" s="618">
        <v>0.10588564327485381</v>
      </c>
      <c r="D36" s="598"/>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paperSize="9" scale="70" orientation="portrait" horizontalDpi="300" verticalDpi="300" r:id="rId1"/>
  <headerFooter>
    <oddFooter>&amp;C_x000D_&amp;1#&amp;"Aptos"&amp;10&amp;K000000 C4 - EXTERNAL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10" activePane="bottomRight" state="frozen"/>
      <selection activeCell="B42" sqref="B42"/>
      <selection pane="topRight" activeCell="B42" sqref="B42"/>
      <selection pane="bottomLeft" activeCell="B42" sqref="B42"/>
      <selection pane="bottomRight" activeCell="I14" sqref="I14"/>
    </sheetView>
  </sheetViews>
  <sheetFormatPr defaultColWidth="9.21875" defaultRowHeight="13.8"/>
  <cols>
    <col min="1" max="1" width="9.5546875" style="5" bestFit="1" customWidth="1"/>
    <col min="2" max="2" width="54.21875" style="5" customWidth="1"/>
    <col min="3" max="3" width="28" style="5" customWidth="1"/>
    <col min="4" max="4" width="22.44140625" style="5" customWidth="1"/>
    <col min="5" max="5" width="22.21875" style="5" customWidth="1"/>
    <col min="6" max="6" width="12" style="6" bestFit="1" customWidth="1"/>
    <col min="7" max="7" width="12.5546875" style="6" bestFit="1" customWidth="1"/>
    <col min="8" max="8" width="11.33203125" style="6" customWidth="1"/>
    <col min="9" max="16384" width="9.21875" style="6"/>
  </cols>
  <sheetData>
    <row r="1" spans="1:8">
      <c r="A1" s="23" t="s">
        <v>30</v>
      </c>
      <c r="B1" s="4" t="str">
        <f>'Info '!C2</f>
        <v xml:space="preserve">PASHA Bank Georgia JSC </v>
      </c>
    </row>
    <row r="2" spans="1:8" s="3" customFormat="1" ht="15.75" customHeight="1">
      <c r="A2" s="23" t="s">
        <v>31</v>
      </c>
      <c r="B2" s="252">
        <f>'1. key ratios '!B2</f>
        <v>46022</v>
      </c>
    </row>
    <row r="3" spans="1:8" s="3" customFormat="1" ht="15.75" customHeight="1">
      <c r="A3" s="23"/>
    </row>
    <row r="4" spans="1:8" s="3" customFormat="1" ht="15.75" customHeight="1" thickBot="1">
      <c r="A4" s="161" t="s">
        <v>99</v>
      </c>
      <c r="B4" s="760" t="s">
        <v>212</v>
      </c>
      <c r="C4" s="761"/>
      <c r="D4" s="761"/>
      <c r="E4" s="761"/>
    </row>
    <row r="5" spans="1:8" s="40" customFormat="1" ht="17.55" customHeight="1">
      <c r="A5" s="111"/>
      <c r="B5" s="112"/>
      <c r="C5" s="38" t="s">
        <v>0</v>
      </c>
      <c r="D5" s="38" t="s">
        <v>1</v>
      </c>
      <c r="E5" s="39" t="s">
        <v>2</v>
      </c>
    </row>
    <row r="6" spans="1:8" ht="14.55" customHeight="1">
      <c r="A6" s="96"/>
      <c r="B6" s="756" t="s">
        <v>219</v>
      </c>
      <c r="C6" s="756" t="s">
        <v>624</v>
      </c>
      <c r="D6" s="758" t="s">
        <v>98</v>
      </c>
      <c r="E6" s="759"/>
    </row>
    <row r="7" spans="1:8" ht="99.6" customHeight="1">
      <c r="A7" s="96"/>
      <c r="B7" s="757"/>
      <c r="C7" s="756"/>
      <c r="D7" s="194" t="s">
        <v>97</v>
      </c>
      <c r="E7" s="195" t="s">
        <v>220</v>
      </c>
    </row>
    <row r="8" spans="1:8" ht="20.399999999999999">
      <c r="A8" s="301">
        <v>1</v>
      </c>
      <c r="B8" s="302" t="s">
        <v>525</v>
      </c>
      <c r="C8" s="538">
        <f>SUM(C9:C11)</f>
        <v>102378284.61070001</v>
      </c>
      <c r="D8" s="538">
        <f>SUM(D9:D11)</f>
        <v>0</v>
      </c>
      <c r="E8" s="538">
        <f>SUM(E9:E11)</f>
        <v>102378284.61070001</v>
      </c>
      <c r="F8" s="541"/>
      <c r="G8" s="541"/>
      <c r="H8" s="541"/>
    </row>
    <row r="9" spans="1:8" ht="14.4">
      <c r="A9" s="301">
        <v>1.1000000000000001</v>
      </c>
      <c r="B9" s="303" t="s">
        <v>526</v>
      </c>
      <c r="C9" s="538">
        <v>2381730.9615000002</v>
      </c>
      <c r="D9" s="538"/>
      <c r="E9" s="603">
        <f>C9-D9</f>
        <v>2381730.9615000002</v>
      </c>
      <c r="F9" s="541"/>
      <c r="G9" s="541"/>
      <c r="H9" s="541"/>
    </row>
    <row r="10" spans="1:8" ht="14.4">
      <c r="A10" s="301">
        <v>1.2</v>
      </c>
      <c r="B10" s="303" t="s">
        <v>527</v>
      </c>
      <c r="C10" s="538">
        <v>47762062.689199999</v>
      </c>
      <c r="D10" s="538"/>
      <c r="E10" s="603">
        <f t="shared" ref="E10:E13" si="0">C10-D10</f>
        <v>47762062.689199999</v>
      </c>
      <c r="F10" s="541"/>
      <c r="G10" s="541"/>
      <c r="H10" s="541"/>
    </row>
    <row r="11" spans="1:8" ht="14.4">
      <c r="A11" s="301">
        <v>1.3</v>
      </c>
      <c r="B11" s="303" t="s">
        <v>528</v>
      </c>
      <c r="C11" s="538">
        <v>52234490.960000001</v>
      </c>
      <c r="D11" s="538"/>
      <c r="E11" s="603">
        <f t="shared" si="0"/>
        <v>52234490.960000001</v>
      </c>
      <c r="F11" s="541"/>
      <c r="G11" s="541"/>
      <c r="H11" s="541"/>
    </row>
    <row r="12" spans="1:8" ht="14.4">
      <c r="A12" s="301">
        <v>2</v>
      </c>
      <c r="B12" s="304" t="s">
        <v>529</v>
      </c>
      <c r="C12" s="538">
        <v>1647959.4818000002</v>
      </c>
      <c r="D12" s="538"/>
      <c r="E12" s="603">
        <f t="shared" si="0"/>
        <v>1647959.4818000002</v>
      </c>
      <c r="F12" s="541"/>
      <c r="G12" s="541"/>
      <c r="H12" s="541"/>
    </row>
    <row r="13" spans="1:8" ht="14.4">
      <c r="A13" s="301">
        <v>2.1</v>
      </c>
      <c r="B13" s="305" t="s">
        <v>530</v>
      </c>
      <c r="C13" s="539">
        <v>1647959.4818000002</v>
      </c>
      <c r="D13" s="539"/>
      <c r="E13" s="603">
        <f t="shared" si="0"/>
        <v>1647959.4818000002</v>
      </c>
      <c r="F13" s="541"/>
      <c r="G13" s="541"/>
      <c r="H13" s="541"/>
    </row>
    <row r="14" spans="1:8" ht="20.399999999999999">
      <c r="A14" s="301">
        <v>3</v>
      </c>
      <c r="B14" s="306" t="s">
        <v>531</v>
      </c>
      <c r="C14" s="539"/>
      <c r="D14" s="539"/>
      <c r="E14" s="539"/>
      <c r="F14" s="541"/>
      <c r="G14" s="541"/>
      <c r="H14" s="541"/>
    </row>
    <row r="15" spans="1:8" ht="14.4">
      <c r="A15" s="301">
        <v>4</v>
      </c>
      <c r="B15" s="307" t="s">
        <v>532</v>
      </c>
      <c r="C15" s="539"/>
      <c r="D15" s="539"/>
      <c r="E15" s="539"/>
      <c r="F15" s="541"/>
      <c r="G15" s="541"/>
      <c r="H15" s="541"/>
    </row>
    <row r="16" spans="1:8" ht="20.399999999999999">
      <c r="A16" s="301">
        <v>5</v>
      </c>
      <c r="B16" s="308" t="s">
        <v>533</v>
      </c>
      <c r="C16" s="539">
        <f>SUM(C17:C19)</f>
        <v>0</v>
      </c>
      <c r="D16" s="539">
        <f>SUM(D17:D19)</f>
        <v>0</v>
      </c>
      <c r="E16" s="539">
        <f>SUM(E17:E19)</f>
        <v>0</v>
      </c>
      <c r="F16" s="541"/>
      <c r="G16" s="541"/>
      <c r="H16" s="541"/>
    </row>
    <row r="17" spans="1:8" ht="14.4">
      <c r="A17" s="301">
        <v>5.0999999999999996</v>
      </c>
      <c r="B17" s="309" t="s">
        <v>534</v>
      </c>
      <c r="C17" s="539"/>
      <c r="D17" s="539"/>
      <c r="E17" s="539"/>
      <c r="F17" s="541"/>
      <c r="G17" s="541"/>
      <c r="H17" s="541"/>
    </row>
    <row r="18" spans="1:8" ht="14.4">
      <c r="A18" s="301">
        <v>5.2</v>
      </c>
      <c r="B18" s="309" t="s">
        <v>535</v>
      </c>
      <c r="C18" s="539"/>
      <c r="D18" s="539"/>
      <c r="E18" s="539"/>
      <c r="F18" s="541"/>
      <c r="G18" s="541"/>
      <c r="H18" s="541"/>
    </row>
    <row r="19" spans="1:8" ht="14.4">
      <c r="A19" s="301">
        <v>5.3</v>
      </c>
      <c r="B19" s="310" t="s">
        <v>536</v>
      </c>
      <c r="C19" s="539"/>
      <c r="D19" s="539"/>
      <c r="E19" s="539"/>
      <c r="F19" s="541"/>
      <c r="G19" s="541"/>
      <c r="H19" s="541"/>
    </row>
    <row r="20" spans="1:8" ht="14.4">
      <c r="A20" s="301">
        <v>6</v>
      </c>
      <c r="B20" s="306" t="s">
        <v>537</v>
      </c>
      <c r="C20" s="539">
        <f>SUM(C21:C22)</f>
        <v>533092549.07070005</v>
      </c>
      <c r="D20" s="539">
        <f>SUM(D21:D22)</f>
        <v>0</v>
      </c>
      <c r="E20" s="539">
        <f>SUM(E21:E22)</f>
        <v>533092549.07070005</v>
      </c>
      <c r="F20" s="541"/>
      <c r="G20" s="541"/>
      <c r="H20" s="541"/>
    </row>
    <row r="21" spans="1:8" ht="14.4">
      <c r="A21" s="301">
        <v>6.1</v>
      </c>
      <c r="B21" s="309" t="s">
        <v>535</v>
      </c>
      <c r="C21" s="539">
        <v>109708264.8787</v>
      </c>
      <c r="D21" s="539"/>
      <c r="E21" s="614">
        <f>C21-D21</f>
        <v>109708264.8787</v>
      </c>
      <c r="F21" s="541"/>
      <c r="G21" s="541"/>
      <c r="H21" s="541"/>
    </row>
    <row r="22" spans="1:8" ht="14.4">
      <c r="A22" s="301">
        <v>6.2</v>
      </c>
      <c r="B22" s="310" t="s">
        <v>536</v>
      </c>
      <c r="C22" s="539">
        <v>423384284.19200003</v>
      </c>
      <c r="D22" s="539"/>
      <c r="E22" s="614">
        <f>C22-D22</f>
        <v>423384284.19200003</v>
      </c>
      <c r="F22" s="541"/>
      <c r="G22" s="541"/>
      <c r="H22" s="541"/>
    </row>
    <row r="23" spans="1:8" ht="14.4">
      <c r="A23" s="301">
        <v>7</v>
      </c>
      <c r="B23" s="304" t="s">
        <v>538</v>
      </c>
      <c r="C23" s="539"/>
      <c r="D23" s="539"/>
      <c r="E23" s="539"/>
      <c r="F23" s="541"/>
      <c r="G23" s="541"/>
      <c r="H23" s="541"/>
    </row>
    <row r="24" spans="1:8" ht="20.399999999999999">
      <c r="A24" s="301">
        <v>8</v>
      </c>
      <c r="B24" s="311" t="s">
        <v>539</v>
      </c>
      <c r="C24" s="539"/>
      <c r="D24" s="539"/>
      <c r="E24" s="539"/>
      <c r="F24" s="541"/>
      <c r="G24" s="541"/>
      <c r="H24" s="541"/>
    </row>
    <row r="25" spans="1:8" ht="14.4">
      <c r="A25" s="301">
        <v>9</v>
      </c>
      <c r="B25" s="307" t="s">
        <v>540</v>
      </c>
      <c r="C25" s="539">
        <f>SUM(C26:C27)</f>
        <v>4935218.43</v>
      </c>
      <c r="D25" s="539">
        <f>SUM(D26:D27)</f>
        <v>0</v>
      </c>
      <c r="E25" s="539">
        <f>SUM(E26:E27)</f>
        <v>4935218.43</v>
      </c>
      <c r="F25" s="541"/>
      <c r="G25" s="541"/>
      <c r="H25" s="541"/>
    </row>
    <row r="26" spans="1:8" ht="14.4">
      <c r="A26" s="301">
        <v>9.1</v>
      </c>
      <c r="B26" s="309" t="s">
        <v>541</v>
      </c>
      <c r="C26" s="539">
        <v>4935218.43</v>
      </c>
      <c r="D26" s="539"/>
      <c r="E26" s="614">
        <f>C26-D26</f>
        <v>4935218.43</v>
      </c>
      <c r="F26" s="541"/>
      <c r="G26" s="541"/>
      <c r="H26" s="541"/>
    </row>
    <row r="27" spans="1:8" ht="14.4">
      <c r="A27" s="301">
        <v>9.1999999999999993</v>
      </c>
      <c r="B27" s="309" t="s">
        <v>542</v>
      </c>
      <c r="C27" s="539"/>
      <c r="D27" s="539"/>
      <c r="E27" s="539"/>
      <c r="F27" s="541"/>
      <c r="G27" s="541"/>
      <c r="H27" s="541"/>
    </row>
    <row r="28" spans="1:8" ht="14.4">
      <c r="A28" s="301">
        <v>10</v>
      </c>
      <c r="B28" s="307" t="s">
        <v>543</v>
      </c>
      <c r="C28" s="539">
        <f>SUM(C29:C30)</f>
        <v>2884313.11</v>
      </c>
      <c r="D28" s="539">
        <f>SUM(D29:D30)</f>
        <v>2884313.11</v>
      </c>
      <c r="E28" s="539">
        <f>SUM(E29:E30)</f>
        <v>0</v>
      </c>
      <c r="F28" s="541"/>
      <c r="G28" s="541"/>
      <c r="H28" s="541"/>
    </row>
    <row r="29" spans="1:8" ht="14.4">
      <c r="A29" s="301">
        <v>10.1</v>
      </c>
      <c r="B29" s="309" t="s">
        <v>544</v>
      </c>
      <c r="C29" s="539"/>
      <c r="D29" s="539"/>
      <c r="E29" s="539"/>
      <c r="F29" s="541"/>
      <c r="G29" s="541"/>
      <c r="H29" s="541"/>
    </row>
    <row r="30" spans="1:8" ht="14.4">
      <c r="A30" s="301">
        <v>10.199999999999999</v>
      </c>
      <c r="B30" s="309" t="s">
        <v>545</v>
      </c>
      <c r="C30" s="539">
        <v>2884313.11</v>
      </c>
      <c r="D30" s="539">
        <v>2884313.11</v>
      </c>
      <c r="E30" s="540">
        <f>C30-D30</f>
        <v>0</v>
      </c>
      <c r="F30" s="541"/>
      <c r="G30" s="541"/>
      <c r="H30" s="541"/>
    </row>
    <row r="31" spans="1:8" ht="14.4">
      <c r="A31" s="301">
        <v>11</v>
      </c>
      <c r="B31" s="307" t="s">
        <v>546</v>
      </c>
      <c r="C31" s="539">
        <f>SUM(C32:C33)</f>
        <v>2476359.34</v>
      </c>
      <c r="D31" s="539">
        <f>SUM(D32:D33)</f>
        <v>2476359.34</v>
      </c>
      <c r="E31" s="539">
        <f>SUM(E32:E33)</f>
        <v>0</v>
      </c>
      <c r="F31" s="541"/>
      <c r="G31" s="541"/>
      <c r="H31" s="541"/>
    </row>
    <row r="32" spans="1:8" ht="14.4">
      <c r="A32" s="301">
        <v>11.1</v>
      </c>
      <c r="B32" s="309" t="s">
        <v>547</v>
      </c>
      <c r="C32" s="539"/>
      <c r="D32" s="539"/>
      <c r="E32" s="539"/>
      <c r="F32" s="541"/>
      <c r="G32" s="541"/>
      <c r="H32" s="541"/>
    </row>
    <row r="33" spans="1:8" ht="14.4">
      <c r="A33" s="301">
        <v>11.2</v>
      </c>
      <c r="B33" s="309" t="s">
        <v>548</v>
      </c>
      <c r="C33" s="539">
        <v>2476359.34</v>
      </c>
      <c r="D33" s="539">
        <v>2476359.34</v>
      </c>
      <c r="E33" s="539"/>
      <c r="F33" s="541"/>
      <c r="G33" s="541"/>
      <c r="H33" s="541"/>
    </row>
    <row r="34" spans="1:8" ht="14.4">
      <c r="A34" s="301">
        <v>13</v>
      </c>
      <c r="B34" s="307" t="s">
        <v>549</v>
      </c>
      <c r="C34" s="539">
        <v>14247677.484400002</v>
      </c>
      <c r="D34" s="539"/>
      <c r="E34" s="540">
        <f>C34-D34</f>
        <v>14247677.484400002</v>
      </c>
      <c r="F34" s="541"/>
      <c r="G34" s="541"/>
      <c r="H34" s="541"/>
    </row>
    <row r="35" spans="1:8" ht="14.4">
      <c r="A35" s="301">
        <v>13.1</v>
      </c>
      <c r="B35" s="312" t="s">
        <v>550</v>
      </c>
      <c r="C35" s="539">
        <v>11874297.84</v>
      </c>
      <c r="D35" s="539"/>
      <c r="E35" s="540">
        <f>C35-D35</f>
        <v>11874297.84</v>
      </c>
      <c r="F35" s="541"/>
      <c r="G35" s="541"/>
      <c r="H35" s="541"/>
    </row>
    <row r="36" spans="1:8" ht="14.4">
      <c r="A36" s="301">
        <v>13.2</v>
      </c>
      <c r="B36" s="312" t="s">
        <v>551</v>
      </c>
      <c r="C36" s="333"/>
      <c r="D36" s="333"/>
      <c r="E36" s="333"/>
      <c r="F36" s="541"/>
      <c r="G36" s="541"/>
      <c r="H36" s="541"/>
    </row>
    <row r="37" spans="1:8" ht="27" thickBot="1">
      <c r="A37" s="99"/>
      <c r="B37" s="162" t="s">
        <v>221</v>
      </c>
      <c r="C37" s="113">
        <f>SUM(C8,C12,C14,C15,C16,C20,C23,C24,C25,C28,C31,C34)</f>
        <v>661662361.52760005</v>
      </c>
      <c r="D37" s="113">
        <f>SUM(D8,D12,D14,D15,D16,D20,D23,D24,D25,D28,D31,D34)</f>
        <v>5360672.4499999993</v>
      </c>
      <c r="E37" s="113">
        <f>SUM(E8,E12,E14,E15,E16,E20,E23,E24,E25,E28,E31,E34)</f>
        <v>656301689.0776</v>
      </c>
      <c r="F37" s="541"/>
      <c r="G37" s="541"/>
      <c r="H37" s="541"/>
    </row>
    <row r="38" spans="1:8">
      <c r="A38" s="6"/>
      <c r="B38" s="6"/>
      <c r="C38" s="6"/>
      <c r="D38" s="6"/>
      <c r="E38" s="6"/>
    </row>
    <row r="39" spans="1:8">
      <c r="A39" s="6"/>
      <c r="B39" s="6"/>
      <c r="C39" s="6"/>
      <c r="D39" s="6"/>
      <c r="E39" s="6"/>
    </row>
    <row r="41" spans="1:8" s="5" customFormat="1">
      <c r="B41" s="42"/>
      <c r="F41" s="6"/>
      <c r="G41" s="6"/>
    </row>
    <row r="42" spans="1:8" s="5" customFormat="1">
      <c r="B42" s="42"/>
      <c r="F42" s="6"/>
      <c r="G42" s="6"/>
    </row>
    <row r="43" spans="1:8" s="5" customFormat="1">
      <c r="B43" s="42"/>
      <c r="F43" s="6"/>
      <c r="G43" s="6"/>
    </row>
    <row r="44" spans="1:8" s="5" customFormat="1">
      <c r="B44" s="42"/>
      <c r="F44" s="6"/>
      <c r="G44" s="6"/>
    </row>
    <row r="45" spans="1:8" s="5" customFormat="1">
      <c r="B45" s="42"/>
      <c r="F45" s="6"/>
      <c r="G45" s="6"/>
    </row>
    <row r="46" spans="1:8" s="5" customFormat="1">
      <c r="B46" s="42"/>
      <c r="F46" s="6"/>
      <c r="G46" s="6"/>
    </row>
    <row r="47" spans="1:8" s="5" customFormat="1">
      <c r="B47" s="42"/>
      <c r="F47" s="6"/>
      <c r="G47" s="6"/>
    </row>
    <row r="48" spans="1:8" s="5" customFormat="1">
      <c r="B48" s="42"/>
      <c r="F48" s="6"/>
      <c r="G48" s="6"/>
    </row>
    <row r="49" spans="2:7" s="5" customFormat="1">
      <c r="B49" s="42"/>
      <c r="F49" s="6"/>
      <c r="G49" s="6"/>
    </row>
    <row r="50" spans="2:7" s="5" customFormat="1">
      <c r="B50" s="42"/>
      <c r="F50" s="6"/>
      <c r="G50" s="6"/>
    </row>
    <row r="51" spans="2:7" s="5" customFormat="1">
      <c r="B51" s="42"/>
      <c r="F51" s="6"/>
      <c r="G51" s="6"/>
    </row>
    <row r="52" spans="2:7" s="5" customFormat="1">
      <c r="B52" s="42"/>
      <c r="F52" s="6"/>
      <c r="G52" s="6"/>
    </row>
    <row r="53" spans="2:7" s="5" customFormat="1">
      <c r="B53" s="42"/>
      <c r="F53" s="6"/>
      <c r="G53" s="6"/>
    </row>
  </sheetData>
  <mergeCells count="4">
    <mergeCell ref="B6:B7"/>
    <mergeCell ref="C6:C7"/>
    <mergeCell ref="D6:E6"/>
    <mergeCell ref="B4:E4"/>
  </mergeCells>
  <pageMargins left="0.7" right="0.7" top="0.75" bottom="0.75" header="0.3" footer="0.3"/>
  <pageSetup paperSize="9" scale="64" orientation="portrait" horizontalDpi="300" verticalDpi="300" r:id="rId1"/>
  <headerFooter>
    <oddFooter>&amp;C_x000D_&amp;1#&amp;"Aptos"&amp;10&amp;K000000 C4 - EXTERNAL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E18" sqref="E18"/>
    </sheetView>
  </sheetViews>
  <sheetFormatPr defaultColWidth="9.21875" defaultRowHeight="13.2" outlineLevelRow="1"/>
  <cols>
    <col min="1" max="1" width="9.5546875" style="5" bestFit="1" customWidth="1"/>
    <col min="2" max="2" width="114.21875" style="5" customWidth="1"/>
    <col min="3" max="3" width="18.77734375" style="5" customWidth="1"/>
    <col min="4" max="4" width="20.44140625" style="5" customWidth="1"/>
    <col min="5" max="5" width="24.21875" style="5" customWidth="1"/>
    <col min="6" max="6" width="24" style="5" customWidth="1"/>
    <col min="7" max="7" width="10" style="5" bestFit="1" customWidth="1"/>
    <col min="8" max="8" width="12" style="5" bestFit="1" customWidth="1"/>
    <col min="9" max="9" width="12.5546875" style="5" bestFit="1" customWidth="1"/>
    <col min="10" max="16384" width="9.21875" style="5"/>
  </cols>
  <sheetData>
    <row r="1" spans="1:6">
      <c r="A1" s="3" t="s">
        <v>30</v>
      </c>
      <c r="B1" s="4" t="str">
        <f>'Info '!C2</f>
        <v xml:space="preserve">PASHA Bank Georgia JSC </v>
      </c>
    </row>
    <row r="2" spans="1:6" s="3" customFormat="1" ht="15.75" customHeight="1">
      <c r="A2" s="3" t="s">
        <v>31</v>
      </c>
      <c r="B2" s="252">
        <f>'1. key ratios '!B2</f>
        <v>46022</v>
      </c>
      <c r="C2" s="5"/>
      <c r="D2" s="5"/>
      <c r="E2" s="5"/>
      <c r="F2" s="5"/>
    </row>
    <row r="3" spans="1:6" s="3" customFormat="1" ht="15.75" customHeight="1">
      <c r="C3" s="5"/>
      <c r="D3" s="5"/>
      <c r="E3" s="5"/>
      <c r="F3" s="5"/>
    </row>
    <row r="4" spans="1:6" s="3" customFormat="1" ht="13.8" thickBot="1">
      <c r="A4" s="3" t="s">
        <v>46</v>
      </c>
      <c r="B4" s="163" t="s">
        <v>518</v>
      </c>
      <c r="C4" s="37" t="s">
        <v>35</v>
      </c>
      <c r="D4" s="5"/>
      <c r="E4" s="5"/>
      <c r="F4" s="5"/>
    </row>
    <row r="5" spans="1:6">
      <c r="A5" s="117">
        <v>1</v>
      </c>
      <c r="B5" s="164" t="s">
        <v>520</v>
      </c>
      <c r="C5" s="118">
        <f>'7. LI1 '!E37</f>
        <v>656301689.0776</v>
      </c>
      <c r="D5" s="543"/>
    </row>
    <row r="6" spans="1:6">
      <c r="A6" s="43">
        <v>2.1</v>
      </c>
      <c r="B6" s="97" t="s">
        <v>201</v>
      </c>
      <c r="C6" s="93">
        <v>84766625.883699998</v>
      </c>
      <c r="D6" s="543"/>
    </row>
    <row r="7" spans="1:6" s="24" customFormat="1" outlineLevel="1">
      <c r="A7" s="18">
        <v>2.2000000000000002</v>
      </c>
      <c r="B7" s="19" t="s">
        <v>202</v>
      </c>
      <c r="C7" s="119">
        <v>0</v>
      </c>
      <c r="D7" s="543"/>
    </row>
    <row r="8" spans="1:6" s="24" customFormat="1">
      <c r="A8" s="18">
        <v>3</v>
      </c>
      <c r="B8" s="115" t="s">
        <v>519</v>
      </c>
      <c r="C8" s="120">
        <f>SUM(C5:C7)</f>
        <v>741068314.96130002</v>
      </c>
      <c r="D8" s="543"/>
    </row>
    <row r="9" spans="1:6">
      <c r="A9" s="43">
        <v>4</v>
      </c>
      <c r="B9" s="44" t="s">
        <v>48</v>
      </c>
      <c r="C9" s="93"/>
      <c r="D9" s="543"/>
    </row>
    <row r="10" spans="1:6" s="24" customFormat="1" outlineLevel="1">
      <c r="A10" s="18">
        <v>5.0999999999999996</v>
      </c>
      <c r="B10" s="19" t="s">
        <v>203</v>
      </c>
      <c r="C10" s="119">
        <v>-49772825.14835</v>
      </c>
      <c r="D10" s="543"/>
    </row>
    <row r="11" spans="1:6" s="24" customFormat="1" outlineLevel="1">
      <c r="A11" s="18">
        <v>5.2</v>
      </c>
      <c r="B11" s="19" t="s">
        <v>204</v>
      </c>
      <c r="C11" s="119">
        <v>0</v>
      </c>
      <c r="D11" s="543"/>
    </row>
    <row r="12" spans="1:6" s="24" customFormat="1">
      <c r="A12" s="18">
        <v>6</v>
      </c>
      <c r="B12" s="114" t="s">
        <v>746</v>
      </c>
      <c r="C12" s="119"/>
      <c r="D12" s="543"/>
    </row>
    <row r="13" spans="1:6" s="24" customFormat="1" ht="13.8" thickBot="1">
      <c r="A13" s="20">
        <v>7</v>
      </c>
      <c r="B13" s="116" t="s">
        <v>164</v>
      </c>
      <c r="C13" s="121">
        <f>SUM(C8:C12)</f>
        <v>691295489.81295002</v>
      </c>
      <c r="D13" s="543"/>
    </row>
    <row r="14" spans="1:6">
      <c r="D14" s="543"/>
    </row>
    <row r="15" spans="1:6">
      <c r="B15" s="24"/>
    </row>
    <row r="17" spans="1:2" ht="13.8">
      <c r="A17" s="126"/>
      <c r="B17" s="127"/>
    </row>
    <row r="18" spans="1:2" ht="14.4">
      <c r="A18" s="131"/>
      <c r="B18" s="132"/>
    </row>
    <row r="19" spans="1:2" ht="13.8">
      <c r="A19" s="133"/>
      <c r="B19" s="128"/>
    </row>
    <row r="20" spans="1:2" ht="13.8">
      <c r="A20" s="134"/>
      <c r="B20" s="129"/>
    </row>
    <row r="21" spans="1:2" ht="13.8">
      <c r="A21" s="134"/>
      <c r="B21" s="132"/>
    </row>
    <row r="22" spans="1:2" ht="13.8">
      <c r="A22" s="133"/>
      <c r="B22" s="130"/>
    </row>
    <row r="23" spans="1:2" ht="13.8">
      <c r="A23" s="134"/>
      <c r="B23" s="129"/>
    </row>
    <row r="24" spans="1:2" ht="13.8">
      <c r="A24" s="134"/>
      <c r="B24" s="129"/>
    </row>
    <row r="25" spans="1:2" ht="13.8">
      <c r="A25" s="134"/>
      <c r="B25" s="135"/>
    </row>
    <row r="26" spans="1:2" ht="13.8">
      <c r="A26" s="134"/>
      <c r="B26" s="132"/>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scale="61" orientation="portrait" horizontalDpi="300" verticalDpi="300" r:id="rId1"/>
  <headerFooter>
    <oddFooter>&amp;C_x000D_&amp;1#&amp;"Aptos"&amp;10&amp;K000000 C4 - EXTERNAL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2026-02-03T06:30:39Z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4c1e49ef-263c-4ffa-ab6a-698f963011ed_Enabled">
    <vt:lpwstr>true</vt:lpwstr>
  </property>
  <property fmtid="{D5CDD505-2E9C-101B-9397-08002B2CF9AE}" pid="8" name="MSIP_Label_4c1e49ef-263c-4ffa-ab6a-698f963011ed_SetDate">
    <vt:lpwstr>2026-01-28T09:38:44Z</vt:lpwstr>
  </property>
  <property fmtid="{D5CDD505-2E9C-101B-9397-08002B2CF9AE}" pid="9" name="MSIP_Label_4c1e49ef-263c-4ffa-ab6a-698f963011ed_Method">
    <vt:lpwstr>Privileged</vt:lpwstr>
  </property>
  <property fmtid="{D5CDD505-2E9C-101B-9397-08002B2CF9AE}" pid="10" name="MSIP_Label_4c1e49ef-263c-4ffa-ab6a-698f963011ed_Name">
    <vt:lpwstr>External Confidential - C4</vt:lpwstr>
  </property>
  <property fmtid="{D5CDD505-2E9C-101B-9397-08002B2CF9AE}" pid="11" name="MSIP_Label_4c1e49ef-263c-4ffa-ab6a-698f963011ed_SiteId">
    <vt:lpwstr>91e167b0-e7f3-47d0-b08e-ac1e6b839fc3</vt:lpwstr>
  </property>
  <property fmtid="{D5CDD505-2E9C-101B-9397-08002B2CF9AE}" pid="12" name="MSIP_Label_4c1e49ef-263c-4ffa-ab6a-698f963011ed_ActionId">
    <vt:lpwstr>4662bc1d-d0fe-4471-bc29-1176c2659006</vt:lpwstr>
  </property>
  <property fmtid="{D5CDD505-2E9C-101B-9397-08002B2CF9AE}" pid="13" name="MSIP_Label_4c1e49ef-263c-4ffa-ab6a-698f963011ed_ContentBits">
    <vt:lpwstr>2</vt:lpwstr>
  </property>
  <property fmtid="{D5CDD505-2E9C-101B-9397-08002B2CF9AE}" pid="14" name="MSIP_Label_4c1e49ef-263c-4ffa-ab6a-698f963011ed_Tag">
    <vt:lpwstr>10, 0, 1, 1</vt:lpwstr>
  </property>
</Properties>
</file>