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2248FDDC-1368-4720-9D1F-06A7090A58DE}" xr6:coauthVersionLast="47" xr6:coauthVersionMax="47" xr10:uidLastSave="{00000000-0000-0000-0000-000000000000}"/>
  <bookViews>
    <workbookView xWindow="-108" yWindow="-108" windowWidth="23256" windowHeight="1245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88" l="1"/>
  <c r="E21" i="88"/>
  <c r="E26" i="88"/>
  <c r="C38" i="110" l="1"/>
  <c r="G38" i="110" l="1"/>
  <c r="F38" i="110"/>
  <c r="T22" i="116"/>
  <c r="L22" i="116"/>
  <c r="E10" i="88"/>
  <c r="E11" i="88"/>
  <c r="E12" i="88"/>
  <c r="E13" i="88"/>
  <c r="E9" i="88"/>
  <c r="E30" i="88"/>
  <c r="C8" i="110"/>
  <c r="D8" i="110"/>
  <c r="F8" i="110"/>
  <c r="G8" i="110"/>
  <c r="B1" i="122" l="1"/>
  <c r="B1" i="121"/>
  <c r="G17" i="110" l="1"/>
  <c r="F17" i="110"/>
  <c r="L33" i="118"/>
  <c r="K33" i="118"/>
  <c r="J33" i="118"/>
  <c r="I33" i="118"/>
  <c r="H33" i="118"/>
  <c r="G33" i="118"/>
  <c r="F33" i="118"/>
  <c r="E33" i="118"/>
  <c r="D33" i="118"/>
  <c r="C33" i="118"/>
  <c r="H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33" i="97"/>
  <c r="F6" i="123"/>
  <c r="E6" i="123"/>
  <c r="D6" i="123"/>
  <c r="C6" i="123"/>
  <c r="E9" i="92"/>
  <c r="D9" i="92"/>
  <c r="E8" i="92"/>
  <c r="D8" i="92"/>
  <c r="E7" i="92"/>
  <c r="E6" i="92" s="1"/>
  <c r="D7" i="92"/>
  <c r="D6" i="92" s="1"/>
  <c r="K23" i="93"/>
  <c r="J23" i="93"/>
  <c r="I23" i="93"/>
  <c r="H23" i="93"/>
  <c r="G23" i="93"/>
  <c r="F23" i="93"/>
  <c r="D21" i="93"/>
  <c r="E21" i="93"/>
  <c r="F21" i="93"/>
  <c r="G21" i="93"/>
  <c r="H21" i="93"/>
  <c r="I21" i="93"/>
  <c r="J21" i="93"/>
  <c r="K21" i="93"/>
  <c r="C21" i="93"/>
  <c r="D16" i="93"/>
  <c r="E16" i="93"/>
  <c r="F16" i="93"/>
  <c r="F24" i="93" s="1"/>
  <c r="G16" i="93"/>
  <c r="H16" i="93"/>
  <c r="I16" i="93"/>
  <c r="J16" i="93"/>
  <c r="K16" i="93"/>
  <c r="C16" i="93"/>
  <c r="C10" i="69"/>
  <c r="C37" i="69"/>
  <c r="B2" i="121"/>
  <c r="B2" i="122"/>
  <c r="E35" i="88"/>
  <c r="E34" i="88"/>
  <c r="H24" i="93" l="1"/>
  <c r="H25" i="93" s="1"/>
  <c r="J24" i="93"/>
  <c r="I24" i="93"/>
  <c r="I25" i="93" s="1"/>
  <c r="G24" i="93"/>
  <c r="G25" i="93" s="1"/>
  <c r="K24" i="93"/>
  <c r="K25" i="93" s="1"/>
  <c r="F25" i="93"/>
  <c r="J25" i="93"/>
  <c r="C29" i="109"/>
  <c r="F59" i="108"/>
  <c r="C38" i="108"/>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N7" i="92"/>
  <c r="M7" i="92"/>
  <c r="L7" i="92"/>
  <c r="K7" i="92"/>
  <c r="J7" i="92"/>
  <c r="J6" i="92" s="1"/>
  <c r="G7" i="92"/>
  <c r="G6" i="92" s="1"/>
  <c r="F7" i="92"/>
  <c r="C7" i="92"/>
  <c r="E34" i="92"/>
  <c r="C13" i="95" s="1"/>
  <c r="D34" i="92"/>
  <c r="B2" i="123"/>
  <c r="B1" i="123"/>
  <c r="K6" i="92" l="1"/>
  <c r="K34" i="92" s="1"/>
  <c r="Q30" i="92"/>
  <c r="L6" i="92"/>
  <c r="N6" i="92"/>
  <c r="C6" i="92"/>
  <c r="C34" i="92" s="1"/>
  <c r="F6" i="92"/>
  <c r="F34" i="92" s="1"/>
  <c r="M6" i="92"/>
  <c r="M34" i="92" s="1"/>
  <c r="P6" i="92"/>
  <c r="Q18" i="92"/>
  <c r="Q9" i="92"/>
  <c r="O6" i="92"/>
  <c r="O34" i="92" s="1"/>
  <c r="Q22" i="92"/>
  <c r="I7" i="92"/>
  <c r="Q26" i="92"/>
  <c r="L34" i="92"/>
  <c r="G34" i="92"/>
  <c r="C11" i="95" s="1"/>
  <c r="Q14" i="92"/>
  <c r="J34" i="92"/>
  <c r="P34" i="92"/>
  <c r="I9" i="92"/>
  <c r="N34" i="92"/>
  <c r="Q10" i="92"/>
  <c r="Q8" i="92"/>
  <c r="I8" i="92"/>
  <c r="I6" i="92" s="1"/>
  <c r="Q7" i="92"/>
  <c r="Q6" i="92" s="1"/>
  <c r="I34" i="92" l="1"/>
  <c r="C12" i="95" s="1"/>
  <c r="C14" i="95" s="1"/>
  <c r="C10" i="95"/>
  <c r="Q34" i="92"/>
  <c r="D38" i="110"/>
  <c r="E38" i="110" l="1"/>
  <c r="A2" i="121" l="1"/>
  <c r="A1" i="121"/>
  <c r="E12" i="122"/>
  <c r="D12" i="122"/>
  <c r="C12" i="122"/>
  <c r="B12" i="122"/>
  <c r="F12" i="122" s="1"/>
  <c r="E11" i="122"/>
  <c r="D11" i="122"/>
  <c r="C11" i="122"/>
  <c r="B11" i="122"/>
  <c r="F10" i="122"/>
  <c r="E10" i="122"/>
  <c r="D10" i="122"/>
  <c r="C10" i="122"/>
  <c r="B10" i="122"/>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s="1"/>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C15" i="114"/>
  <c r="D15" i="114"/>
  <c r="H21" i="112"/>
  <c r="H22" i="111"/>
  <c r="C62" i="69"/>
  <c r="C58" i="69"/>
  <c r="C67" i="69" s="1"/>
  <c r="C46" i="69"/>
  <c r="C40" i="69"/>
  <c r="C52" i="69" s="1"/>
  <c r="C29" i="69"/>
  <c r="C26" i="69"/>
  <c r="C23" i="69"/>
  <c r="C18" i="69"/>
  <c r="C14" i="69"/>
  <c r="C6" i="69"/>
  <c r="E8" i="88"/>
  <c r="E16" i="88"/>
  <c r="E20" i="88"/>
  <c r="E25" i="88"/>
  <c r="E28" i="88"/>
  <c r="E31" i="88"/>
  <c r="D8" i="88"/>
  <c r="D16" i="88"/>
  <c r="D20" i="88"/>
  <c r="D25" i="88"/>
  <c r="D28" i="88"/>
  <c r="D31" i="88"/>
  <c r="C31" i="88"/>
  <c r="C28" i="88"/>
  <c r="C25" i="88"/>
  <c r="C20" i="88"/>
  <c r="C16" i="88"/>
  <c r="C8" i="88"/>
  <c r="C35" i="69" l="1"/>
  <c r="D37" i="88"/>
  <c r="C37" i="88"/>
  <c r="E37" i="88"/>
  <c r="C68"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E11" i="110" s="1"/>
  <c r="C11" i="110"/>
  <c r="H10" i="110"/>
  <c r="E10" i="110"/>
  <c r="H9" i="110"/>
  <c r="E9" i="110"/>
  <c r="E8" i="110"/>
  <c r="H7" i="110"/>
  <c r="E7" i="110"/>
  <c r="H6" i="110"/>
  <c r="E6" i="110"/>
  <c r="H44" i="109"/>
  <c r="E44" i="109"/>
  <c r="H42" i="109"/>
  <c r="E42" i="109"/>
  <c r="H41" i="109"/>
  <c r="E41" i="109"/>
  <c r="H40" i="109"/>
  <c r="E40" i="109"/>
  <c r="H39" i="109"/>
  <c r="E39" i="109"/>
  <c r="H38" i="109"/>
  <c r="E38" i="109"/>
  <c r="G37" i="109"/>
  <c r="F37" i="109"/>
  <c r="H37" i="109" s="1"/>
  <c r="D37" i="109"/>
  <c r="C37" i="109"/>
  <c r="H36" i="109"/>
  <c r="E36" i="109"/>
  <c r="H35" i="109"/>
  <c r="E35" i="109"/>
  <c r="G34" i="109"/>
  <c r="F34" i="109"/>
  <c r="H34" i="109" s="1"/>
  <c r="D34" i="109"/>
  <c r="C34" i="109"/>
  <c r="H33" i="109"/>
  <c r="E33" i="109"/>
  <c r="H32" i="109"/>
  <c r="E32" i="109"/>
  <c r="H31" i="109"/>
  <c r="E31" i="109"/>
  <c r="H30" i="109"/>
  <c r="E30" i="109"/>
  <c r="G29" i="109"/>
  <c r="F29" i="109"/>
  <c r="H29" i="109" s="1"/>
  <c r="D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H12" i="109"/>
  <c r="E12" i="109"/>
  <c r="H11" i="109"/>
  <c r="E11" i="109"/>
  <c r="H10" i="109"/>
  <c r="E10" i="109"/>
  <c r="H9" i="109"/>
  <c r="E9" i="109"/>
  <c r="H8" i="109"/>
  <c r="E8" i="109"/>
  <c r="H7" i="109"/>
  <c r="E7" i="109"/>
  <c r="G6" i="109"/>
  <c r="F6" i="109"/>
  <c r="D6" i="109"/>
  <c r="E6" i="109" s="1"/>
  <c r="C6" i="109"/>
  <c r="G68" i="108"/>
  <c r="F68" i="108"/>
  <c r="H67" i="108"/>
  <c r="E67" i="108"/>
  <c r="H66" i="108"/>
  <c r="E66" i="108"/>
  <c r="H65" i="108"/>
  <c r="E65" i="108"/>
  <c r="H64" i="108"/>
  <c r="E64" i="108"/>
  <c r="H63" i="108"/>
  <c r="D63" i="108"/>
  <c r="C63" i="108"/>
  <c r="E63" i="108" s="1"/>
  <c r="H62" i="108"/>
  <c r="E62" i="108"/>
  <c r="H61" i="108"/>
  <c r="E61" i="108"/>
  <c r="H60" i="108"/>
  <c r="E60" i="108"/>
  <c r="H59" i="108"/>
  <c r="D59" i="108"/>
  <c r="C59" i="108"/>
  <c r="E59"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E47" i="108" s="1"/>
  <c r="H46" i="108"/>
  <c r="E46" i="108"/>
  <c r="H45" i="108"/>
  <c r="E45" i="108"/>
  <c r="H44" i="108"/>
  <c r="E44" i="108"/>
  <c r="H43" i="108"/>
  <c r="E43" i="108"/>
  <c r="H42" i="108"/>
  <c r="E42" i="108"/>
  <c r="G41" i="108"/>
  <c r="F41" i="108"/>
  <c r="D41" i="108"/>
  <c r="D53" i="108" s="1"/>
  <c r="C41" i="108"/>
  <c r="C53" i="108" s="1"/>
  <c r="H40" i="108"/>
  <c r="E40" i="108"/>
  <c r="H39" i="108"/>
  <c r="E39" i="108"/>
  <c r="H38" i="108"/>
  <c r="E38" i="108"/>
  <c r="H35" i="108"/>
  <c r="E35" i="108"/>
  <c r="H34" i="108"/>
  <c r="E34" i="108"/>
  <c r="H33" i="108"/>
  <c r="E33" i="108"/>
  <c r="H32" i="108"/>
  <c r="E32" i="108"/>
  <c r="H31" i="108"/>
  <c r="E31" i="108"/>
  <c r="G30" i="108"/>
  <c r="F30" i="108"/>
  <c r="H30" i="108" s="1"/>
  <c r="D30" i="108"/>
  <c r="C30" i="108"/>
  <c r="H29" i="108"/>
  <c r="E29" i="108"/>
  <c r="H28" i="108"/>
  <c r="E28" i="108"/>
  <c r="G27" i="108"/>
  <c r="H27" i="108" s="1"/>
  <c r="F27" i="108"/>
  <c r="D27" i="108"/>
  <c r="C27" i="108"/>
  <c r="E27" i="108" s="1"/>
  <c r="H26" i="108"/>
  <c r="E26" i="108"/>
  <c r="H25" i="108"/>
  <c r="E25" i="108"/>
  <c r="G24" i="108"/>
  <c r="F24" i="108"/>
  <c r="D24" i="108"/>
  <c r="C24" i="108"/>
  <c r="E24" i="108" s="1"/>
  <c r="H23" i="108"/>
  <c r="E23" i="108"/>
  <c r="H22" i="108"/>
  <c r="E22" i="108"/>
  <c r="H21" i="108"/>
  <c r="E21" i="108"/>
  <c r="H20" i="108"/>
  <c r="E20" i="108"/>
  <c r="G19" i="108"/>
  <c r="F19" i="108"/>
  <c r="D19" i="108"/>
  <c r="C19" i="108"/>
  <c r="E19" i="108" s="1"/>
  <c r="H18" i="108"/>
  <c r="E18" i="108"/>
  <c r="H17" i="108"/>
  <c r="E17" i="108"/>
  <c r="H16" i="108"/>
  <c r="E16" i="108"/>
  <c r="G15" i="108"/>
  <c r="F15" i="108"/>
  <c r="H15" i="108" s="1"/>
  <c r="D15" i="108"/>
  <c r="C15" i="108"/>
  <c r="H14" i="108"/>
  <c r="E14" i="108"/>
  <c r="H13" i="108"/>
  <c r="E13" i="108"/>
  <c r="H12" i="108"/>
  <c r="E12" i="108"/>
  <c r="H11" i="108"/>
  <c r="E11" i="108"/>
  <c r="H10" i="108"/>
  <c r="E10" i="108"/>
  <c r="H9" i="108"/>
  <c r="E9" i="108"/>
  <c r="H8" i="108"/>
  <c r="E8" i="108"/>
  <c r="G7" i="108"/>
  <c r="G36" i="108" s="1"/>
  <c r="F7" i="108"/>
  <c r="D7" i="108"/>
  <c r="C7" i="108"/>
  <c r="E7" i="108" s="1"/>
  <c r="D14" i="110" l="1"/>
  <c r="C14" i="110"/>
  <c r="E14" i="110"/>
  <c r="E34" i="109"/>
  <c r="E15" i="108"/>
  <c r="H19" i="108"/>
  <c r="E30" i="110"/>
  <c r="H14" i="110"/>
  <c r="E37" i="109"/>
  <c r="E13" i="109"/>
  <c r="C43" i="109"/>
  <c r="C45" i="109" s="1"/>
  <c r="H41" i="108"/>
  <c r="H11" i="110"/>
  <c r="H8" i="110"/>
  <c r="D36" i="108"/>
  <c r="D68" i="108"/>
  <c r="D69" i="108" s="1"/>
  <c r="F43" i="109"/>
  <c r="F45" i="109" s="1"/>
  <c r="H30" i="110"/>
  <c r="H7" i="108"/>
  <c r="H24" i="108"/>
  <c r="G43" i="109"/>
  <c r="G45" i="109" s="1"/>
  <c r="C36" i="108"/>
  <c r="C68" i="108"/>
  <c r="F36" i="108"/>
  <c r="H36" i="108" s="1"/>
  <c r="E30" i="108"/>
  <c r="G53" i="108"/>
  <c r="G69" i="108" s="1"/>
  <c r="E17" i="110"/>
  <c r="H6" i="109"/>
  <c r="D43" i="109"/>
  <c r="D45" i="109" s="1"/>
  <c r="E53" i="108"/>
  <c r="H68" i="108"/>
  <c r="E41" i="108"/>
  <c r="F53" i="108"/>
  <c r="F69" i="108" s="1"/>
  <c r="E68" i="108" l="1"/>
  <c r="H69" i="108"/>
  <c r="E36" i="108"/>
  <c r="E45" i="109"/>
  <c r="H45" i="109"/>
  <c r="H53" i="108"/>
  <c r="C69" i="108"/>
  <c r="E69" i="108" s="1"/>
  <c r="H43" i="109"/>
  <c r="E43" i="109"/>
  <c r="B1" i="97" l="1"/>
  <c r="G33" i="97"/>
  <c r="F33" i="97"/>
  <c r="E33" i="97"/>
  <c r="D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C34" i="95" s="1"/>
  <c r="D6" i="86"/>
  <c r="D13" i="86"/>
  <c r="B19" i="121" l="1"/>
  <c r="C6" i="86"/>
  <c r="C13" i="86" s="1"/>
  <c r="B18" i="121" l="1"/>
  <c r="D21" i="94"/>
  <c r="D9" i="94"/>
  <c r="D11" i="94"/>
  <c r="D13" i="94"/>
  <c r="D17" i="94"/>
  <c r="D7" i="94"/>
  <c r="D12" i="94"/>
  <c r="D15" i="94"/>
  <c r="D20" i="94"/>
  <c r="D19" i="94"/>
  <c r="D16" i="94"/>
  <c r="D8"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<sst xmlns="http://schemas.openxmlformats.org/spreadsheetml/2006/main" count="1250" uniqueCount="780">
  <si>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</si>
  <si>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</si>
  <si>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</si>
  <si>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</si>
  <si>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</si>
  <si>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</si>
  <si>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</si>
  <si>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</si>
  <si>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</si>
  <si>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</si>
  <si>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</si>
  <si>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</si>
  <si>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</si>
  <si>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</si>
  <si>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</si>
  <si>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</si>
  <si>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</si>
  <si>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</si>
  <si>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</si>
  <si>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</si>
  <si>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</si>
  <si>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</si>
  <si>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</si>
  <si>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</si>
  <si>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</si>
  <si>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</si>
  <si>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</si>
  <si>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</si>
  <si>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</si>
  <si>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</si>
  <si>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</si>
  <si>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</si>
  <si>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</si>
  <si>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</si>
  <si>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</si>
  <si>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</si>
  <si>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</si>
  <si>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</si>
  <si>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</si>
  <si>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</si>
  <si>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</si>
  <si>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</si>
  <si>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</si>
  <si>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</si>
  <si>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</si>
  <si>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</si>
  <si>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</si>
  <si>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</si>
  <si>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</si>
  <si>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</si>
  <si>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</si>
  <si>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</si>
  <si>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</si>
  <si>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</si>
  <si>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</si>
  <si>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</si>
  <si>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</si>
  <si>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</si>
  <si>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</si>
  <si>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</si>
  <si>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</si>
  <si>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</si>
  <si>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</si>
  <si>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</si>
  <si>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</si>
  <si>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</si>
  <si>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</si>
  <si>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</si>
  <si>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</si>
  <si>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</si>
  <si>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</si>
  <si>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</si>
  <si>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</si>
  <si>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</si>
  <si>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</si>
  <si>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</si>
  <si>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</si>
  <si>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</si>
  <si>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</si>
  <si>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</si>
  <si>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</si>
  <si>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</si>
  <si>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</si>
  <si>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</si>
  <si>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</si>
  <si>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</si>
  <si>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</si>
  <si>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</si>
  <si>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</si>
  <si>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</si>
  <si>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</si>
  <si>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</si>
  <si>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</si>
  <si>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</si>
  <si>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</si>
  <si>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</si>
  <si>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</si>
  <si>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</si>
  <si>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</si>
  <si>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</si>
  <si>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</si>
  <si>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</si>
  <si>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</si>
  <si>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</si>
  <si>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</si>
  <si>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</si>
  <si>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</si>
  <si>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</si>
  <si>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</si>
  <si>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</si>
  <si>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</si>
  <si>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</si>
  <si>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</si>
  <si>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</si>
  <si>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</si>
  <si>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</si>
  <si>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</si>
  <si>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</si>
  <si>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</si>
  <si>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</si>
  <si>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</si>
  <si>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</si>
  <si>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</si>
  <si>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</si>
  <si>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</si>
  <si>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</si>
  <si>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</si>
  <si>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</si>
  <si>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</si>
  <si>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</si>
  <si>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</si>
  <si>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</si>
  <si>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</si>
  <si>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</si>
  <si>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</si>
  <si>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</si>
  <si>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</si>
  <si>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</si>
  <si>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</si>
  <si>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</si>
  <si>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</si>
  <si>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</si>
  <si>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</si>
  <si>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</si>
  <si>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</si>
  <si>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</si>
  <si>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</si>
  <si>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</si>
  <si>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</si>
  <si>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</si>
  <si>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</si>
  <si>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</si>
  <si>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</si>
  <si>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</si>
  <si>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</si>
  <si>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</si>
  <si>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</si>
  <si>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</si>
  <si>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</si>
  <si>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</si>
  <si>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</si>
  <si>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</si>
  <si>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</si>
  <si>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</si>
  <si>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</si>
  <si>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</si>
  <si>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</si>
  <si>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</si>
  <si>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</si>
  <si>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</si>
  <si>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</si>
  <si>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</si>
  <si>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</si>
  <si>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</si>
  <si>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</si>
  <si>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</si>
  <si>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</si>
  <si>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</si>
  <si>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</si>
  <si>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</si>
  <si>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</si>
  <si>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</si>
  <si>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</si>
  <si>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</si>
  <si>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</si>
  <si>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</si>
  <si>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</si>
  <si>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</si>
  <si>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</si>
  <si>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</si>
  <si>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</si>
  <si>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</si>
  <si>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</si>
  <si>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</si>
  <si>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</si>
  <si>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</si>
  <si>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</si>
  <si>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</si>
  <si>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</si>
  <si>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</si>
  <si>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</si>
  <si>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</si>
  <si>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</si>
  <si>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</si>
  <si>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</si>
  <si>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</si>
  <si>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</si>
  <si>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</si>
  <si>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</si>
  <si>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</si>
  <si>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</si>
  <si>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</si>
  <si>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</si>
  <si>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</si>
  <si>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</si>
  <si>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</si>
  <si>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</si>
  <si>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</si>
  <si>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</si>
  <si>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</si>
  <si>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</si>
  <si>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</si>
  <si>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</si>
  <si>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</si>
  <si>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</si>
  <si>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</si>
  <si>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</si>
  <si>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</si>
  <si>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</si>
  <si>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</si>
  <si>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</si>
  <si>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</si>
  <si>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</si>
  <si>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</si>
  <si>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</si>
  <si>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</si>
  <si>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</si>
  <si>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</si>
  <si>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</si>
  <si>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</si>
  <si>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</si>
  <si>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</si>
  <si>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</si>
  <si>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</si>
  <si>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</si>
  <si>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</si>
  <si>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</si>
  <si>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</si>
  <si>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</si>
  <si>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</si>
  <si>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</si>
  <si>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</si>
  <si>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</si>
  <si>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</si>
  <si>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</si>
  <si>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</si>
  <si>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</si>
  <si>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</si>
  <si>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</si>
  <si>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</si>
  <si>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</si>
  <si>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</si>
  <si>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</si>
  <si>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</si>
  <si>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</si>
  <si>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</si>
  <si>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</si>
  <si>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</si>
  <si>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</si>
  <si>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</si>
  <si>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</si>
  <si>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</si>
  <si>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</si>
  <si>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</si>
  <si>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</si>
  <si>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</si>
  <si>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</si>
  <si>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</si>
  <si>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</si>
  <si>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</si>
  <si>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</si>
  <si>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</si>
  <si>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</si>
  <si>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</si>
  <si>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</si>
  <si>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</si>
  <si>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</si>
  <si>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</si>
  <si>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</si>
  <si>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</si>
  <si>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</si>
  <si>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</si>
  <si>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</si>
  <si>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</si>
  <si>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</si>
  <si>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</si>
  <si>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</si>
  <si>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</si>
  <si>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</si>
  <si>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</si>
  <si>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</si>
  <si>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</si>
  <si>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</si>
  <si>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</si>
  <si>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</si>
  <si>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</si>
  <si>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</si>
  <si>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</si>
  <si>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</si>
  <si>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</si>
  <si>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</si>
  <si>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</si>
  <si>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</si>
  <si>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</si>
  <si>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</si>
  <si>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</si>
  <si>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</si>
  <si>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</si>
  <si>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</si>
  <si>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</si>
  <si>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</si>
  <si>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</si>
  <si>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</si>
  <si>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</si>
  <si>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</si>
  <si>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</si>
  <si>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</si>
  <si>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</si>
  <si>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</si>
  <si>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</si>
  <si>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</si>
  <si>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</si>
  <si>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</si>
  <si>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</si>
  <si>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</si>
  <si>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</si>
  <si>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</si>
  <si>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</si>
  <si>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</si>
  <si>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</si>
  <si>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</si>
  <si>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</si>
  <si>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</si>
  <si>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</si>
  <si>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</si>
  <si>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</si>
  <si>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</si>
  <si>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</si>
  <si>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</si>
  <si>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</si>
  <si>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</si>
  <si>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</si>
  <si>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</si>
  <si>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</si>
  <si>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</si>
  <si>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</si>
  <si>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</si>
  <si>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</si>
  <si>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</si>
  <si>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</si>
  <si>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</si>
  <si>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</si>
  <si>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</si>
  <si>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</si>
  <si>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</si>
  <si>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</si>
  <si>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</si>
  <si>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</si>
  <si>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</si>
  <si>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</si>
  <si>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</si>
  <si>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</si>
  <si>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</si>
  <si>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</si>
  <si>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</si>
  <si>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</si>
  <si>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</si>
  <si>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</si>
  <si>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</si>
  <si>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</si>
  <si>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</si>
  <si>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</si>
  <si>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</si>
  <si>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</si>
  <si>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</si>
  <si>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</si>
  <si>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</si>
  <si>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</si>
  <si>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</si>
  <si>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</si>
  <si>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</si>
  <si>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</si>
  <si>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</si>
  <si>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</si>
  <si>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</si>
  <si>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</si>
  <si>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</si>
  <si>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</si>
  <si>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</si>
  <si>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</si>
  <si>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</si>
  <si>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</si>
  <si>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</si>
  <si>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</si>
  <si>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</si>
  <si>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</si>
  <si>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</si>
  <si>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</si>
  <si>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</si>
  <si>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</si>
  <si>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</si>
  <si>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</si>
  <si>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</si>
  <si>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</si>
  <si>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</si>
  <si>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</si>
  <si>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</si>
  <si>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</si>
  <si>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</si>
  <si>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</si>
  <si>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</si>
  <si>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</si>
  <si>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</si>
  <si>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</si>
  <si>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</si>
  <si>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</si>
  <si>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</si>
  <si>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</si>
  <si>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</si>
  <si>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</si>
  <si>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</si>
  <si>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</si>
  <si>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</si>
  <si>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</si>
  <si>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</si>
  <si>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</si>
  <si>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</si>
  <si>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</si>
  <si>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</si>
  <si>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</si>
  <si>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</si>
  <si>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</si>
  <si>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</si>
  <si>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</si>
  <si>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</si>
  <si>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</si>
  <si>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</si>
  <si>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</si>
  <si>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</si>
  <si>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</si>
  <si>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</si>
  <si>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</si>
  <si>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</si>
  <si>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</si>
  <si>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</si>
  <si>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</si>
  <si>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</si>
  <si>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</si>
  <si>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</si>
  <si>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</si>
  <si>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</si>
  <si>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</si>
  <si>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</si>
  <si>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</si>
  <si>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</si>
  <si>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</si>
  <si>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</si>
  <si>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</si>
  <si>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</si>
  <si>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</si>
  <si>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</si>
  <si>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</si>
  <si>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</si>
  <si>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</si>
  <si>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</si>
  <si>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</si>
  <si>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</si>
  <si>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</si>
  <si>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</si>
  <si>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</si>
  <si>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</si>
  <si>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</si>
  <si>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</si>
  <si>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</si>
  <si>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</si>
  <si>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</si>
  <si>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</si>
  <si>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</si>
  <si>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</si>
  <si>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</si>
  <si>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</si>
  <si>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</si>
  <si>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</si>
  <si>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</si>
  <si>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</si>
  <si>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</si>
  <si>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</si>
  <si>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</si>
  <si>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</si>
  <si>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</si>
  <si>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</si>
  <si>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</si>
  <si>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</si>
  <si>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</si>
  <si>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</si>
  <si>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</si>
  <si>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</si>
  <si>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</si>
  <si>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</si>
  <si>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</si>
  <si>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</si>
  <si>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</si>
  <si>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</si>
  <si>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</si>
  <si>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</si>
  <si>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</si>
  <si>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</si>
  <si>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</si>
  <si>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</si>
  <si>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</si>
  <si>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</si>
  <si>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</si>
  <si>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</si>
  <si>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</si>
  <si>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</si>
  <si>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</si>
  <si>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</si>
  <si>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</si>
  <si>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</si>
  <si>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</si>
  <si>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</si>
  <si>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</si>
  <si>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</si>
  <si>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</si>
  <si>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</si>
  <si>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</si>
  <si>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</si>
  <si>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</si>
  <si>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</si>
  <si>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</si>
  <si>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</si>
  <si>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</si>
  <si>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</si>
  <si>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</si>
  <si>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</si>
  <si>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</si>
  <si>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</si>
  <si>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</si>
  <si>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</si>
  <si>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</si>
  <si>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</si>
  <si>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</si>
  <si>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</si>
  <si>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</si>
  <si>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</si>
  <si>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</si>
  <si>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</si>
  <si>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</si>
  <si>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</si>
  <si>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</si>
  <si>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</si>
  <si>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</si>
  <si>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</si>
  <si>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</si>
  <si>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</si>
  <si>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</si>
  <si>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</si>
  <si>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</si>
  <si>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</si>
  <si>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</si>
  <si>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</si>
  <si>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</si>
  <si>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</si>
  <si>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</si>
  <si>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</si>
  <si>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</si>
  <si>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</si>
  <si>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</si>
  <si>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</si>
  <si>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</si>
  <si>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</si>
  <si>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</si>
  <si>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</si>
  <si>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</si>
  <si>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</si>
  <si>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</si>
  <si>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</si>
  <si>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</si>
  <si>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</si>
  <si>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</si>
  <si>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</si>
  <si>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</si>
  <si>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</si>
  <si>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</si>
  <si>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</si>
  <si>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</si>
  <si>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</si>
  <si>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</si>
  <si>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</si>
  <si>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</si>
  <si>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</si>
  <si>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</si>
  <si>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</si>
  <si>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</si>
  <si>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</si>
  <si>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</si>
  <si>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</si>
  <si>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</si>
  <si>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</si>
  <si>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</si>
  <si>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</si>
  <si>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</si>
  <si>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</si>
  <si>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</si>
  <si>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</si>
  <si>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</si>
  <si>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</si>
  <si>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</si>
  <si>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</si>
  <si>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</si>
  <si>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</si>
  <si>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</si>
  <si>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</si>
  <si>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</si>
  <si>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</si>
  <si>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</si>
  <si>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</si>
  <si>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</si>
  <si>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</si>
  <si>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</si>
  <si>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</si>
  <si>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</si>
  <si>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</si>
  <si>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</si>
  <si>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</si>
  <si>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</si>
  <si>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</si>
  <si>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</si>
  <si>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</si>
  <si>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</si>
  <si>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</si>
  <si>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</si>
  <si>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</si>
  <si>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</si>
  <si>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</si>
  <si>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</si>
  <si>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</si>
  <si>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</si>
  <si>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</si>
  <si>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</si>
  <si>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</si>
  <si>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</si>
  <si>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</si>
  <si>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</si>
  <si>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</si>
  <si>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</si>
  <si>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</si>
  <si>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</si>
  <si>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</si>
  <si>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</si>
  <si>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</si>
  <si>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</si>
  <si>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</si>
  <si>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</si>
  <si>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</si>
  <si>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</si>
  <si>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</si>
  <si>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</si>
  <si>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</si>
  <si>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</si>
  <si>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</si>
  <si>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</si>
  <si>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</si>
  <si>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</si>
  <si>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</si>
  <si>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</si>
  <si>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</si>
  <si>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</si>
  <si>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</si>
  <si>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</si>
  <si>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</si>
  <si>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</si>
  <si>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</si>
  <si>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</si>
  <si>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</si>
  <si>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</si>
  <si>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</si>
  <si>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</si>
  <si>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</si>
  <si>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</si>
  <si>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</si>
  <si>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</si>
  <si>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</si>
  <si>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</si>
  <si>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</si>
  <si>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</si>
  <si>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</si>
  <si>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</si>
  <si>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</si>
  <si>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</si>
  <si>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</si>
  <si>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</si>
  <si>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</si>
  <si>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</si>
  <si>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</si>
  <si>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</si>
  <si>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</si>
  <si>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</si>
  <si>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</si>
  <si>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</si>
  <si>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</si>
  <si>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</si>
  <si>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</si>
  <si>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</si>
  <si>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</si>
  <si>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</si>
  <si>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</si>
  <si>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</si>
  <si>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</si>
  <si>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</si>
  <si>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</si>
  <si>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</si>
  <si>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</si>
  <si>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</si>
  <si>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</si>
  <si>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</si>
  <si>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</si>
  <si>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</si>
  <si>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</si>
  <si>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</si>
  <si>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</si>
  <si>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</si>
  <si>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</si>
  <si>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</si>
  <si>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</si>
  <si>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</si>
  <si>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</si>
  <si>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</si>
  <si>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</si>
  <si>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</si>
  <si>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</si>
  <si>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</si>
  <si>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</si>
  <si>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</si>
  <si>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</si>
  <si>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</si>
  <si>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</si>
  <si>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</si>
  <si>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</si>
  <si>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</si>
  <si>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</si>
  <si>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</si>
  <si>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 xml:space="preserve">PASHA Bank Georgia JSC </t>
  </si>
  <si>
    <t>Rovshan Allahverdiyev</t>
  </si>
  <si>
    <t>Ramil Imamov</t>
  </si>
  <si>
    <t>www.pashabank.ge</t>
  </si>
  <si>
    <t>Shahin Mammadov</t>
  </si>
  <si>
    <t>George Glonti</t>
  </si>
  <si>
    <t>Ebru Ogan Knottnerus</t>
  </si>
  <si>
    <t>Kamala Nuriyeva</t>
  </si>
  <si>
    <t>Non-independent member</t>
  </si>
  <si>
    <t>Independent member</t>
  </si>
  <si>
    <t>Non-independent chair</t>
  </si>
  <si>
    <t>Acting Chairman of Board of Directors​, CEO</t>
  </si>
  <si>
    <t>Parvin Mammadov</t>
  </si>
  <si>
    <t>Member of the Board of Directors, CFO</t>
  </si>
  <si>
    <t>Levan Aladashvili</t>
  </si>
  <si>
    <t>Member of the Board of Directors, Chief Risk Officer</t>
  </si>
  <si>
    <t>Anzor Mantskava</t>
  </si>
  <si>
    <t>Member of the Board of Directors, Chief Operating Officer</t>
  </si>
  <si>
    <t>PASHA Bank OJSC</t>
  </si>
  <si>
    <t>Pasha Holding LLC</t>
  </si>
  <si>
    <t xml:space="preserve">Mr. Arif Pashayev </t>
  </si>
  <si>
    <t>Mrs. Arzu Aliyeva</t>
  </si>
  <si>
    <t>Mrs. Leyla Aliyeva</t>
  </si>
  <si>
    <t>Mr. Mir Jamal Pashayev</t>
  </si>
  <si>
    <t>Table 9 (Capital), N15</t>
  </si>
  <si>
    <t>Table 9 (Capital), N38</t>
  </si>
  <si>
    <t>Table 9 (Capital), N2</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</si>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</sst>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333333"/>
      <name val="Sylfaen"/>
      <family val="1"/>
    </font>
    <font>
      <sz val="9"/>
      <color rgb="FFFF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8" fillId="0" borderId="0"/>
    <xf numFmtId="0" fontId="145"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6" fillId="0" borderId="0" applyFont="0" applyFill="0" applyBorder="0" applyAlignment="0" applyProtection="0"/>
    <xf numFmtId="8" fontId="147" fillId="0" borderId="0" applyFont="0" applyFill="0" applyBorder="0" applyAlignment="0" applyProtection="0"/>
    <xf numFmtId="8"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3" fontId="146" fillId="0" borderId="0" applyFont="0" applyFill="0" applyBorder="0" applyAlignment="0" applyProtection="0"/>
    <xf numFmtId="203" fontId="146" fillId="0" borderId="0" applyFont="0" applyFill="0" applyBorder="0" applyAlignment="0" applyProtection="0"/>
    <xf numFmtId="7" fontId="146" fillId="0" borderId="0" applyFont="0" applyFill="0" applyBorder="0" applyAlignment="0" applyProtection="0"/>
    <xf numFmtId="7" fontId="146" fillId="0" borderId="0" applyFont="0" applyFill="0" applyBorder="0" applyAlignment="0" applyProtection="0"/>
    <xf numFmtId="204" fontId="146" fillId="0" borderId="0" applyFont="0" applyFill="0" applyBorder="0" applyAlignment="0" applyProtection="0"/>
    <xf numFmtId="204"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5" fontId="102" fillId="0" borderId="0"/>
    <xf numFmtId="205" fontId="102" fillId="0" borderId="0"/>
    <xf numFmtId="205" fontId="102" fillId="0" borderId="0"/>
    <xf numFmtId="205" fontId="102" fillId="0" borderId="0"/>
    <xf numFmtId="0" fontId="102" fillId="0" borderId="0"/>
    <xf numFmtId="205" fontId="102" fillId="0" borderId="0"/>
    <xf numFmtId="5" fontId="147" fillId="0" borderId="0" applyFont="0" applyFill="0" applyBorder="0" applyAlignment="0" applyProtection="0"/>
    <xf numFmtId="5"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10" fontId="147" fillId="0" borderId="0" applyFont="0" applyFill="0" applyBorder="0" applyAlignment="0" applyProtection="0"/>
    <xf numFmtId="10" fontId="147" fillId="0" borderId="0" applyFon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2" fillId="0" borderId="0" applyNumberForma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206" fontId="151" fillId="0" borderId="0" applyFont="0" applyFill="0" applyBorder="0" applyAlignment="0" applyProtection="0"/>
    <xf numFmtId="0" fontId="19" fillId="0" borderId="0" applyFont="0" applyFill="0" applyBorder="0" applyAlignment="0" applyProtection="0"/>
    <xf numFmtId="207" fontId="152" fillId="0" borderId="0" applyFont="0" applyFill="0" applyBorder="0" applyAlignment="0" applyProtection="0"/>
    <xf numFmtId="208" fontId="152" fillId="0" borderId="0" applyFont="0" applyFill="0" applyBorder="0" applyAlignment="0" applyProtection="0"/>
    <xf numFmtId="209" fontId="152" fillId="0" borderId="0" applyFont="0" applyFill="0" applyBorder="0" applyAlignment="0" applyProtection="0"/>
    <xf numFmtId="210" fontId="152" fillId="0" borderId="0" applyFont="0" applyFill="0" applyBorder="0" applyAlignment="0" applyProtection="0"/>
    <xf numFmtId="0" fontId="152" fillId="0" borderId="0"/>
    <xf numFmtId="0" fontId="19" fillId="0" borderId="0" applyFont="0" applyFill="0" applyBorder="0" applyAlignment="0" applyProtection="0"/>
    <xf numFmtId="211" fontId="151" fillId="0" borderId="0" applyFont="0" applyFill="0" applyBorder="0" applyAlignment="0" applyProtection="0"/>
    <xf numFmtId="0" fontId="147"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3"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56" fillId="0" borderId="0"/>
    <xf numFmtId="0" fontId="156"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6" fillId="0" borderId="0"/>
    <xf numFmtId="0" fontId="2" fillId="0" borderId="0"/>
    <xf numFmtId="0" fontId="2" fillId="0" borderId="0">
      <alignment horizontal="left" wrapText="1"/>
    </xf>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7" fillId="0" borderId="0"/>
    <xf numFmtId="0" fontId="2" fillId="85" borderId="0"/>
    <xf numFmtId="0" fontId="2" fillId="0" borderId="0"/>
    <xf numFmtId="0" fontId="2" fillId="0" borderId="0"/>
    <xf numFmtId="0" fontId="2" fillId="0" borderId="0" applyFont="0" applyFill="0" applyBorder="0" applyAlignment="0" applyProtection="0"/>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60" fillId="89"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6" fillId="0" borderId="0"/>
    <xf numFmtId="0" fontId="156" fillId="0" borderId="0"/>
    <xf numFmtId="0" fontId="156" fillId="0" borderId="0"/>
    <xf numFmtId="0" fontId="156"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6"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6"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1"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6" fillId="0" borderId="0"/>
    <xf numFmtId="0" fontId="156" fillId="0" borderId="0"/>
    <xf numFmtId="0" fontId="2" fillId="0" borderId="0"/>
    <xf numFmtId="0" fontId="156" fillId="0" borderId="0"/>
    <xf numFmtId="0" fontId="156" fillId="0" borderId="0"/>
    <xf numFmtId="0" fontId="156" fillId="0" borderId="0"/>
    <xf numFmtId="0" fontId="8" fillId="0" borderId="0"/>
    <xf numFmtId="0" fontId="157" fillId="0" borderId="0"/>
    <xf numFmtId="0" fontId="2" fillId="0" borderId="0"/>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156" fillId="0" borderId="0"/>
    <xf numFmtId="0" fontId="156"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6"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2" fillId="0" borderId="0">
      <alignment horizontal="left" wrapText="1"/>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lignment horizontal="left" wrapText="1"/>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56" fillId="0" borderId="0"/>
    <xf numFmtId="0" fontId="156" fillId="0" borderId="0"/>
    <xf numFmtId="0" fontId="2" fillId="0" borderId="0"/>
    <xf numFmtId="0" fontId="2" fillId="0" borderId="0"/>
    <xf numFmtId="0" fontId="156" fillId="0" borderId="0"/>
    <xf numFmtId="0" fontId="156"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156" fillId="0"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xf numFmtId="0" fontId="2" fillId="0" borderId="0"/>
    <xf numFmtId="0" fontId="2" fillId="0" borderId="0"/>
    <xf numFmtId="0" fontId="158"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8" fillId="0" borderId="0">
      <alignment horizontal="left" vertical="center"/>
    </xf>
    <xf numFmtId="0" fontId="156" fillId="0" borderId="0"/>
    <xf numFmtId="0" fontId="168"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9" fillId="0" borderId="0"/>
    <xf numFmtId="1" fontId="170"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1" fillId="0" borderId="0" applyFill="0" applyBorder="0" applyAlignment="0" applyProtection="0"/>
    <xf numFmtId="239" fontId="171" fillId="0" borderId="0" applyFill="0" applyBorder="0" applyAlignment="0" applyProtection="0"/>
    <xf numFmtId="239"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2" fillId="0" borderId="68"/>
    <xf numFmtId="0" fontId="158"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0" fontId="147" fillId="0" borderId="0" applyFont="0" applyFill="0" applyBorder="0" applyAlignment="0" applyProtection="0"/>
    <xf numFmtId="14" fontId="173" fillId="0" borderId="0" applyFill="0" applyBorder="0" applyProtection="0">
      <alignment horizontal="right"/>
    </xf>
    <xf numFmtId="16" fontId="173" fillId="0" borderId="0" applyFill="0" applyBorder="0" applyProtection="0">
      <alignment horizontal="right"/>
    </xf>
    <xf numFmtId="18" fontId="173" fillId="0" borderId="0" applyFill="0" applyBorder="0" applyProtection="0">
      <alignment horizontal="right"/>
    </xf>
    <xf numFmtId="16" fontId="173" fillId="0" borderId="0" applyFill="0" applyBorder="0" applyProtection="0">
      <alignment horizontal="right"/>
    </xf>
    <xf numFmtId="22" fontId="173" fillId="0" borderId="0" applyFill="0" applyBorder="0" applyProtection="0">
      <alignment horizontal="right"/>
    </xf>
    <xf numFmtId="14" fontId="173" fillId="0" borderId="0" applyFill="0" applyBorder="0" applyProtection="0">
      <alignment horizontal="right"/>
    </xf>
    <xf numFmtId="20" fontId="173" fillId="0" borderId="0" applyFill="0" applyBorder="0" applyProtection="0">
      <alignment horizontal="right"/>
    </xf>
    <xf numFmtId="16" fontId="173" fillId="0" borderId="0" applyFill="0" applyBorder="0" applyProtection="0">
      <alignment horizontal="right"/>
    </xf>
    <xf numFmtId="16" fontId="173" fillId="0" borderId="0" applyFill="0" applyBorder="0" applyProtection="0">
      <alignment horizontal="right"/>
    </xf>
    <xf numFmtId="14"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4"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6"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4"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0" fontId="177" fillId="0" borderId="0" applyNumberForma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0" fontId="178"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0" fontId="15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80"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1" fillId="108" borderId="142" applyNumberFormat="0" applyAlignment="0" applyProtection="0"/>
    <xf numFmtId="0" fontId="181" fillId="108" borderId="142" applyNumberFormat="0" applyAlignment="0" applyProtection="0"/>
    <xf numFmtId="0" fontId="182" fillId="0" borderId="0" applyNumberFormat="0" applyFill="0" applyAlignment="0"/>
    <xf numFmtId="0" fontId="183" fillId="0" borderId="143" applyNumberFormat="0" applyFont="0" applyFill="0" applyAlignment="0"/>
    <xf numFmtId="248"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21" fillId="63" borderId="144" applyNumberFormat="0" applyAlignment="0" applyProtection="0"/>
    <xf numFmtId="0" fontId="185" fillId="0" borderId="0" applyNumberFormat="0" applyFill="0" applyBorder="0" applyAlignment="0">
      <alignment horizontal="right"/>
    </xf>
    <xf numFmtId="38" fontId="186"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7"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8" fillId="0" borderId="0" applyFont="0" applyFill="0" applyBorder="0" applyAlignment="0" applyProtection="0"/>
    <xf numFmtId="250" fontId="189" fillId="0" borderId="0"/>
    <xf numFmtId="0" fontId="190" fillId="0" borderId="145"/>
    <xf numFmtId="251" fontId="2" fillId="0" borderId="0"/>
    <xf numFmtId="0" fontId="190" fillId="0" borderId="146"/>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81" fillId="108" borderId="147">
      <alignment horizontal="center" vertical="center"/>
    </xf>
    <xf numFmtId="0" fontId="181" fillId="108" borderId="147">
      <alignment horizontal="center" vertical="center"/>
    </xf>
    <xf numFmtId="0" fontId="194" fillId="0" borderId="0" applyProtection="0">
      <alignment horizontal="center"/>
    </xf>
    <xf numFmtId="0" fontId="194"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58" fillId="0" borderId="0">
      <alignment vertical="top"/>
    </xf>
    <xf numFmtId="172" fontId="158" fillId="0" borderId="0">
      <alignment vertical="top"/>
    </xf>
    <xf numFmtId="172" fontId="158" fillId="0" borderId="0">
      <alignment vertical="top"/>
    </xf>
    <xf numFmtId="0" fontId="45" fillId="0" borderId="0" applyNumberFormat="0" applyFill="0" applyBorder="0" applyProtection="0">
      <alignment horizontal="right"/>
    </xf>
    <xf numFmtId="172" fontId="197" fillId="0" borderId="0">
      <alignment horizontal="right"/>
    </xf>
    <xf numFmtId="172" fontId="197" fillId="0" borderId="0">
      <alignment horizontal="right"/>
    </xf>
    <xf numFmtId="172" fontId="197" fillId="0" borderId="0">
      <alignment horizontal="right"/>
    </xf>
    <xf numFmtId="0" fontId="197" fillId="0" borderId="0">
      <alignment horizontal="left"/>
    </xf>
    <xf numFmtId="0" fontId="198" fillId="74" borderId="0" applyNumberFormat="0" applyBorder="0" applyAlignment="0" applyProtection="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2" fillId="72" borderId="0"/>
    <xf numFmtId="0" fontId="199" fillId="0" borderId="1" applyNumberFormat="0" applyFont="0" applyFill="0" applyAlignment="0" applyProtection="0"/>
    <xf numFmtId="0" fontId="199" fillId="0" borderId="148" applyNumberFormat="0" applyFont="0" applyFill="0" applyAlignment="0" applyProtection="0"/>
    <xf numFmtId="0" fontId="147" fillId="0" borderId="108" applyNumberFormat="0" applyFont="0" applyFill="0" applyAlignment="0" applyProtection="0"/>
    <xf numFmtId="0" fontId="147" fillId="0" borderId="108"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68" applyNumberFormat="0" applyFont="0" applyFill="0" applyAlignment="0" applyProtection="0"/>
    <xf numFmtId="0" fontId="147" fillId="0" borderId="68"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0" fontId="29"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0"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7" fontId="8"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8" fontId="200"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4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9" fontId="200"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1" fillId="109" borderId="144" applyNumberFormat="0" applyAlignment="0" applyProtection="0"/>
    <xf numFmtId="0" fontId="143" fillId="8" borderId="32" applyNumberFormat="0" applyAlignment="0" applyProtection="0"/>
    <xf numFmtId="3" fontId="45" fillId="41" borderId="70">
      <protection hidden="1"/>
    </xf>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40" fontId="147" fillId="0" borderId="0" applyFont="0" applyFill="0" applyBorder="0" applyAlignment="0" applyProtection="0"/>
    <xf numFmtId="40" fontId="147"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2" fillId="0" borderId="70" applyBorder="0"/>
    <xf numFmtId="260" fontId="203"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10" fontId="205" fillId="0" borderId="0">
      <alignment vertical="center"/>
    </xf>
    <xf numFmtId="3" fontId="205"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6" fillId="0" borderId="149"/>
    <xf numFmtId="201" fontId="207" fillId="0" borderId="0" applyFont="0" applyFill="0" applyBorder="0" applyAlignment="0" applyProtection="0"/>
    <xf numFmtId="0" fontId="208" fillId="0" borderId="0"/>
    <xf numFmtId="0" fontId="208" fillId="0" borderId="0"/>
    <xf numFmtId="0" fontId="208" fillId="0" borderId="0"/>
    <xf numFmtId="0" fontId="208" fillId="0" borderId="0"/>
    <xf numFmtId="261" fontId="2" fillId="0" borderId="0"/>
    <xf numFmtId="261" fontId="2" fillId="0" borderId="0"/>
    <xf numFmtId="261" fontId="2" fillId="0" borderId="0"/>
    <xf numFmtId="261" fontId="2" fillId="0" borderId="0"/>
    <xf numFmtId="217" fontId="209" fillId="0" borderId="0">
      <alignment horizontal="right" vertical="center" wrapText="1"/>
    </xf>
    <xf numFmtId="217" fontId="209" fillId="0" borderId="0">
      <alignment horizontal="right" vertical="center" wrapText="1"/>
    </xf>
    <xf numFmtId="217" fontId="209"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4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38" fontId="210"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1" fillId="0" borderId="0">
      <alignment horizontal="center"/>
      <protection locked="0"/>
    </xf>
    <xf numFmtId="0" fontId="2" fillId="0" borderId="0" applyFont="0" applyFill="0" applyBorder="0" applyAlignment="0" applyProtection="0"/>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0" fillId="0" borderId="0" applyFont="0" applyFill="0" applyBorder="0" applyAlignment="0" applyProtection="0">
      <alignment horizontal="right"/>
    </xf>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3" fontId="160"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21" fontId="146" fillId="0" borderId="0" applyFont="0" applyFill="0" applyBorder="0" applyAlignment="0" applyProtection="0"/>
    <xf numFmtId="221" fontId="146" fillId="0" borderId="0" applyFont="0" applyFill="0" applyBorder="0" applyAlignment="0" applyProtection="0"/>
    <xf numFmtId="3" fontId="207" fillId="0" borderId="133">
      <alignment vertical="center"/>
    </xf>
    <xf numFmtId="39"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3" fillId="111" borderId="0" applyBorder="0">
      <alignment horizontal="left"/>
    </xf>
    <xf numFmtId="0" fontId="214"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7"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5" fillId="0" borderId="0" applyFill="0" applyBorder="0">
      <alignment horizontal="left"/>
    </xf>
    <xf numFmtId="0" fontId="216"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7" fillId="0" borderId="0" applyNumberFormat="0" applyAlignment="0">
      <alignment horizontal="left"/>
    </xf>
    <xf numFmtId="0" fontId="218" fillId="0" borderId="128" applyNumberFormat="0" applyFill="0" applyBorder="0" applyAlignment="0" applyProtection="0">
      <alignment horizontal="center"/>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3" fontId="220" fillId="0" borderId="151" applyNumberFormat="0" applyAlignment="0">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3" fontId="207" fillId="0" borderId="133">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 fillId="0" borderId="0" applyFont="0" applyFill="0" applyBorder="0" applyAlignment="0" applyProtection="0"/>
    <xf numFmtId="265" fontId="221"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7"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21"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0" fillId="0" borderId="0" applyFont="0" applyFill="0" applyBorder="0" applyAlignment="0" applyProtection="0">
      <alignment horizontal="right"/>
    </xf>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267" fontId="160" fillId="0" borderId="0" applyFont="0" applyFill="0" applyBorder="0" applyAlignment="0" applyProtection="0">
      <alignment horizontal="right"/>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7" fillId="0" borderId="133">
      <alignment vertical="center"/>
    </xf>
    <xf numFmtId="3" fontId="207" fillId="0" borderId="133">
      <alignment vertical="center"/>
    </xf>
    <xf numFmtId="268" fontId="222" fillId="0" borderId="0"/>
    <xf numFmtId="0" fontId="2" fillId="0" borderId="0" applyNumberFormat="0" applyFont="0" applyFill="0" applyBorder="0" applyAlignment="0" applyProtection="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 fillId="0" borderId="0" applyNumberFormat="0" applyFont="0" applyFill="0" applyBorder="0" applyAlignment="0" applyProtection="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7" fillId="0" borderId="133">
      <alignment vertical="center"/>
    </xf>
    <xf numFmtId="0" fontId="185" fillId="0" borderId="0" applyNumberFormat="0" applyBorder="0" applyAlignment="0">
      <alignment horizontal="center"/>
    </xf>
    <xf numFmtId="0" fontId="185" fillId="117" borderId="0" applyNumberFormat="0" applyBorder="0" applyAlignment="0">
      <alignment horizontal="center"/>
    </xf>
    <xf numFmtId="0" fontId="181" fillId="118" borderId="0" applyNumberFormat="0" applyBorder="0" applyAlignment="0"/>
    <xf numFmtId="0" fontId="224"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14" fontId="226" fillId="0" borderId="0"/>
    <xf numFmtId="271" fontId="209" fillId="0" borderId="0">
      <alignment horizontal="left" vertical="center" wrapText="1"/>
    </xf>
    <xf numFmtId="271" fontId="209" fillId="0" borderId="0">
      <alignment horizontal="left" vertical="center" wrapText="1"/>
    </xf>
    <xf numFmtId="271" fontId="209" fillId="0" borderId="0">
      <alignment horizontal="left" vertical="center" wrapText="1"/>
    </xf>
    <xf numFmtId="17" fontId="209" fillId="0" borderId="0">
      <alignment horizontal="left" vertical="center" wrapText="1"/>
    </xf>
    <xf numFmtId="0" fontId="2" fillId="0" borderId="0" applyNumberFormat="0" applyFont="0" applyFill="0" applyBorder="0" applyAlignment="0" applyProtection="0"/>
    <xf numFmtId="21" fontId="209" fillId="0" borderId="0">
      <alignment horizontal="left" vertical="center" wrapText="1"/>
    </xf>
    <xf numFmtId="19" fontId="209" fillId="0" borderId="0">
      <alignment horizontal="left" vertical="center" wrapText="1"/>
    </xf>
    <xf numFmtId="3" fontId="207" fillId="0" borderId="133">
      <alignment vertical="center"/>
    </xf>
    <xf numFmtId="0" fontId="209" fillId="0" borderId="0">
      <alignment horizontal="left" vertical="center" wrapText="1"/>
    </xf>
    <xf numFmtId="3" fontId="207" fillId="0" borderId="133">
      <alignment vertical="center"/>
    </xf>
    <xf numFmtId="0" fontId="209" fillId="0" borderId="0">
      <alignment horizontal="left" vertical="center" wrapText="1"/>
    </xf>
    <xf numFmtId="19" fontId="209" fillId="0" borderId="0">
      <alignment horizontal="left" vertical="center" wrapText="1"/>
    </xf>
    <xf numFmtId="19" fontId="209" fillId="0" borderId="0">
      <alignment horizontal="left" vertical="center" wrapText="1"/>
    </xf>
    <xf numFmtId="17" fontId="209"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6" fillId="0" borderId="0"/>
    <xf numFmtId="273" fontId="160"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7" fillId="0" borderId="133">
      <alignment vertical="center"/>
    </xf>
    <xf numFmtId="22" fontId="29" fillId="0" borderId="0" applyFill="0" applyBorder="0" applyAlignment="0"/>
    <xf numFmtId="3" fontId="207"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7" fillId="0" borderId="133">
      <alignment vertical="center"/>
    </xf>
    <xf numFmtId="172" fontId="199" fillId="0" borderId="0" applyFont="0" applyFill="0" applyBorder="0" applyProtection="0">
      <alignment horizontal="right"/>
    </xf>
    <xf numFmtId="179" fontId="158"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7"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0" fontId="229"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31"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9"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0"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3" fillId="1" borderId="0" applyNumberFormat="0" applyBorder="0" applyAlignment="0" applyProtection="0"/>
    <xf numFmtId="0" fontId="10" fillId="0" borderId="0"/>
    <xf numFmtId="0" fontId="10" fillId="0" borderId="0"/>
    <xf numFmtId="0" fontId="10" fillId="0" borderId="0"/>
    <xf numFmtId="0" fontId="10" fillId="0" borderId="0"/>
    <xf numFmtId="0"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7" fontId="235"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36"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16"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3"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85" fontId="237" fillId="0" borderId="0">
      <alignment horizontal="right" vertical="top"/>
    </xf>
    <xf numFmtId="286" fontId="238" fillId="0" borderId="0" applyBorder="0">
      <alignment horizontal="right" vertical="top"/>
    </xf>
    <xf numFmtId="286" fontId="238" fillId="0" borderId="0" applyBorder="0">
      <alignment horizontal="right" vertical="top"/>
    </xf>
    <xf numFmtId="3" fontId="207" fillId="0" borderId="133">
      <alignment vertical="center"/>
    </xf>
    <xf numFmtId="287" fontId="20" fillId="0" borderId="0">
      <alignment horizontal="right" vertical="top"/>
    </xf>
    <xf numFmtId="288" fontId="153" fillId="0" borderId="0" applyBorder="0">
      <alignment horizontal="right" vertical="top"/>
    </xf>
    <xf numFmtId="288" fontId="153" fillId="0" borderId="0" applyBorder="0">
      <alignment horizontal="right" vertical="top"/>
    </xf>
    <xf numFmtId="3" fontId="207" fillId="0" borderId="133">
      <alignment vertical="center"/>
    </xf>
    <xf numFmtId="287" fontId="237" fillId="0" borderId="0">
      <alignment horizontal="right" vertical="top"/>
    </xf>
    <xf numFmtId="288" fontId="238" fillId="0" borderId="0" applyBorder="0">
      <alignment horizontal="right" vertical="top"/>
    </xf>
    <xf numFmtId="288" fontId="238" fillId="0" borderId="0" applyBorder="0">
      <alignment horizontal="right" vertical="top"/>
    </xf>
    <xf numFmtId="3" fontId="207"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3" fillId="0" borderId="0" applyFill="0" applyBorder="0">
      <alignment horizontal="right" vertical="top"/>
    </xf>
    <xf numFmtId="212" fontId="153" fillId="0" borderId="0" applyFill="0" applyBorder="0">
      <alignment horizontal="right" vertical="top"/>
    </xf>
    <xf numFmtId="3" fontId="207" fillId="0" borderId="133">
      <alignment vertical="center"/>
    </xf>
    <xf numFmtId="291" fontId="20" fillId="0" borderId="0" applyFill="0" applyBorder="0">
      <alignment horizontal="right" vertical="top"/>
    </xf>
    <xf numFmtId="292" fontId="153" fillId="0" borderId="0" applyFill="0" applyBorder="0">
      <alignment horizontal="right" vertical="top"/>
    </xf>
    <xf numFmtId="292" fontId="153" fillId="0" borderId="0" applyFill="0" applyBorder="0">
      <alignment horizontal="right" vertical="top"/>
    </xf>
    <xf numFmtId="3" fontId="207" fillId="0" borderId="133">
      <alignment vertical="center"/>
    </xf>
    <xf numFmtId="293" fontId="20" fillId="0" borderId="0" applyFill="0" applyBorder="0">
      <alignment horizontal="right" vertical="top"/>
    </xf>
    <xf numFmtId="294" fontId="153" fillId="0" borderId="0" applyFill="0" applyBorder="0">
      <alignment horizontal="right" vertical="top"/>
    </xf>
    <xf numFmtId="294" fontId="153" fillId="0" borderId="0" applyFill="0" applyBorder="0">
      <alignment horizontal="right" vertical="top"/>
    </xf>
    <xf numFmtId="3" fontId="207" fillId="0" borderId="133">
      <alignment vertical="center"/>
    </xf>
    <xf numFmtId="295" fontId="20" fillId="0" borderId="0" applyFill="0" applyBorder="0">
      <alignment horizontal="right" vertical="top"/>
    </xf>
    <xf numFmtId="296" fontId="153" fillId="0" borderId="0" applyFill="0" applyBorder="0">
      <alignment horizontal="right" vertical="top"/>
    </xf>
    <xf numFmtId="296" fontId="153" fillId="0" borderId="0" applyFill="0" applyBorder="0">
      <alignment horizontal="right" vertical="top"/>
    </xf>
    <xf numFmtId="3" fontId="207" fillId="0" borderId="133">
      <alignment vertical="center"/>
    </xf>
    <xf numFmtId="0" fontId="239" fillId="0" borderId="0">
      <alignment horizontal="left"/>
    </xf>
    <xf numFmtId="0" fontId="240" fillId="0" borderId="0">
      <alignment horizontal="center"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97" fontId="241"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right"/>
    </xf>
    <xf numFmtId="297" fontId="241" fillId="0" borderId="154">
      <alignment horizontal="right"/>
    </xf>
    <xf numFmtId="297" fontId="241" fillId="0" borderId="154">
      <alignment horizontal="right"/>
    </xf>
    <xf numFmtId="0" fontId="2" fillId="0" borderId="0" applyNumberFormat="0" applyFont="0" applyFill="0" applyBorder="0" applyAlignment="0" applyProtection="0"/>
    <xf numFmtId="0" fontId="242" fillId="0" borderId="0">
      <alignment vertical="center"/>
    </xf>
    <xf numFmtId="298" fontId="242" fillId="0" borderId="0">
      <alignment horizontal="left" vertical="center"/>
    </xf>
    <xf numFmtId="299" fontId="243" fillId="0" borderId="0">
      <alignment vertical="center"/>
    </xf>
    <xf numFmtId="0" fontId="42" fillId="0" borderId="0">
      <alignment vertical="center"/>
    </xf>
    <xf numFmtId="297" fontId="241"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left"/>
    </xf>
    <xf numFmtId="297" fontId="241" fillId="0" borderId="154">
      <alignment horizontal="left"/>
    </xf>
    <xf numFmtId="0" fontId="2" fillId="0" borderId="0" applyNumberFormat="0" applyFont="0" applyFill="0" applyBorder="0" applyAlignment="0" applyProtection="0"/>
    <xf numFmtId="297" fontId="215" fillId="0" borderId="0" applyFill="0" applyBorder="0">
      <alignment vertical="top"/>
    </xf>
    <xf numFmtId="297" fontId="226" fillId="0" borderId="0" applyFill="0" applyBorder="0" applyProtection="0">
      <alignment vertical="top"/>
    </xf>
    <xf numFmtId="297" fontId="244" fillId="0" borderId="0">
      <alignment vertical="top"/>
    </xf>
    <xf numFmtId="297" fontId="153" fillId="0" borderId="0">
      <alignment horizontal="center"/>
    </xf>
    <xf numFmtId="297" fontId="245"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5" fillId="0" borderId="154">
      <alignment horizontal="center"/>
    </xf>
    <xf numFmtId="297" fontId="245"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8" fillId="0" borderId="0"/>
    <xf numFmtId="297"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7" fillId="0" borderId="133">
      <alignment vertical="center"/>
    </xf>
    <xf numFmtId="297" fontId="247"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3" fillId="0" borderId="0" applyFill="0" applyBorder="0">
      <alignment horizontal="left" vertical="top" wrapText="1"/>
    </xf>
    <xf numFmtId="0" fontId="153" fillId="0" borderId="0" applyFill="0" applyBorder="0">
      <alignment horizontal="left" vertical="top" wrapText="1"/>
    </xf>
    <xf numFmtId="3" fontId="207" fillId="0" borderId="133">
      <alignment vertical="center"/>
    </xf>
    <xf numFmtId="0" fontId="248" fillId="0" borderId="0">
      <alignment horizontal="left" vertical="top" wrapText="1"/>
    </xf>
    <xf numFmtId="0" fontId="249" fillId="0" borderId="0">
      <alignment horizontal="left" vertical="top" wrapText="1"/>
    </xf>
    <xf numFmtId="0" fontId="238" fillId="0" borderId="0">
      <alignment horizontal="left" vertical="top" wrapText="1"/>
    </xf>
    <xf numFmtId="3" fontId="250" fillId="85" borderId="70">
      <alignment horizontal="centerContinuous"/>
    </xf>
    <xf numFmtId="0" fontId="163" fillId="0" borderId="63" applyNumberFormat="0" applyFill="0" applyBorder="0" applyAlignment="0"/>
    <xf numFmtId="300" fontId="251" fillId="0" borderId="0"/>
    <xf numFmtId="0" fontId="2" fillId="0" borderId="0" applyNumberFormat="0" applyFont="0" applyFill="0" applyBorder="0" applyAlignment="0" applyProtection="0"/>
    <xf numFmtId="0" fontId="10" fillId="0" borderId="0"/>
    <xf numFmtId="38" fontId="199" fillId="0" borderId="0"/>
    <xf numFmtId="301" fontId="252"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7" fillId="0" borderId="133">
      <alignment vertical="center"/>
    </xf>
    <xf numFmtId="0" fontId="10" fillId="0" borderId="0"/>
    <xf numFmtId="0" fontId="253" fillId="0" borderId="0" applyFill="0" applyBorder="0" applyProtection="0">
      <alignment horizontal="left"/>
    </xf>
    <xf numFmtId="0" fontId="254" fillId="68" borderId="0"/>
    <xf numFmtId="37" fontId="255" fillId="68" borderId="0" applyNumberFormat="0" applyBorder="0" applyAlignment="0" applyProtection="0"/>
    <xf numFmtId="295" fontId="255" fillId="68" borderId="0" applyNumberFormat="0" applyBorder="0" applyAlignment="0" applyProtection="0"/>
    <xf numFmtId="3" fontId="207" fillId="0" borderId="133">
      <alignment vertical="center"/>
    </xf>
    <xf numFmtId="0" fontId="256"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7" fillId="0" borderId="0">
      <alignment horizontal="centerContinuous" vertical="center"/>
    </xf>
    <xf numFmtId="304" fontId="2" fillId="0" borderId="0" applyFont="0" applyFill="0" applyBorder="0" applyAlignment="0" applyProtection="0"/>
    <xf numFmtId="0" fontId="216" fillId="115" borderId="0">
      <alignment horizontal="left"/>
    </xf>
    <xf numFmtId="1" fontId="258" fillId="0" borderId="156">
      <alignment horizontal="left"/>
    </xf>
    <xf numFmtId="248" fontId="259"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1" fillId="123" borderId="0" applyNumberFormat="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9" fontId="171" fillId="123" borderId="0" applyNumberFormat="0" applyBorder="0" applyAlignment="0" applyProtection="0"/>
    <xf numFmtId="0" fontId="2" fillId="0" borderId="0" applyNumberFormat="0" applyFont="0" applyFill="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71"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45" fillId="68" borderId="136"/>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5" fillId="111" borderId="0" applyBorder="0" applyAlignment="0"/>
    <xf numFmtId="306" fontId="160"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1" fillId="126" borderId="125" applyNumberFormat="0" applyFont="0" applyBorder="0" applyAlignment="0">
      <alignment horizontal="centerContinuous"/>
    </xf>
    <xf numFmtId="0" fontId="260" fillId="0" borderId="0" applyProtection="0">
      <alignment horizontal="right"/>
    </xf>
    <xf numFmtId="0" fontId="260"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0"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61"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10" fillId="0" borderId="0"/>
    <xf numFmtId="0" fontId="10" fillId="0" borderId="0"/>
    <xf numFmtId="0" fontId="10" fillId="0" borderId="0"/>
    <xf numFmtId="0" fontId="10" fillId="0" borderId="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3"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33"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1"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55" fillId="0" borderId="0" applyNumberFormat="0" applyBorder="0" applyAlignment="0" applyProtection="0"/>
    <xf numFmtId="295" fontId="255" fillId="0" borderId="0" applyNumberFormat="0" applyBorder="0" applyAlignment="0" applyProtection="0"/>
    <xf numFmtId="3" fontId="207" fillId="0" borderId="133">
      <alignment vertical="center"/>
    </xf>
    <xf numFmtId="37" fontId="45" fillId="0" borderId="0"/>
    <xf numFmtId="295" fontId="45" fillId="0" borderId="0"/>
    <xf numFmtId="3" fontId="207" fillId="0" borderId="133">
      <alignment vertical="center"/>
    </xf>
    <xf numFmtId="0" fontId="267"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8" fontId="268"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69" fillId="0" borderId="76">
      <protection locked="0"/>
    </xf>
    <xf numFmtId="0" fontId="269" fillId="0" borderId="76">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9" fillId="88" borderId="160">
      <alignment horizontal="right" vertical="center"/>
      <protection locked="0"/>
    </xf>
    <xf numFmtId="310" fontId="269" fillId="88" borderId="160">
      <alignment horizontal="right" vertical="center"/>
      <protection locked="0"/>
    </xf>
    <xf numFmtId="310" fontId="269" fillId="88" borderId="160">
      <alignment horizontal="right" vertical="center"/>
      <protection locked="0"/>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 fontId="231"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7" fillId="0" borderId="133">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71" borderId="124" applyFont="0" applyAlignment="0">
      <protection locked="0"/>
    </xf>
    <xf numFmtId="0" fontId="10" fillId="0" borderId="0"/>
    <xf numFmtId="0" fontId="10" fillId="0" borderId="0"/>
    <xf numFmtId="3" fontId="207" fillId="0" borderId="133">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8" fontId="258" fillId="0" borderId="0" applyNumberFormat="0" applyFill="0" applyBorder="0" applyAlignment="0" applyProtection="0"/>
    <xf numFmtId="0" fontId="2" fillId="0" borderId="0" applyNumberFormat="0" applyFont="0" applyFill="0" applyBorder="0" applyAlignment="0" applyProtection="0"/>
    <xf numFmtId="0" fontId="182"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81" fillId="53" borderId="0" applyNumberFormat="0" applyBorder="0" applyProtection="0">
      <alignment horizontal="center"/>
    </xf>
    <xf numFmtId="314" fontId="271"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5" fontId="2" fillId="0" borderId="0" applyFont="0" applyFill="0" applyBorder="0" applyAlignment="0" applyProtection="0"/>
    <xf numFmtId="316" fontId="27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7" fontId="158"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17" fontId="226"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6"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2" fillId="0" borderId="0" applyNumberFormat="0" applyFill="0" applyBorder="0">
      <alignment horizontal="right"/>
    </xf>
    <xf numFmtId="0" fontId="273" fillId="0" borderId="0">
      <protection locked="0"/>
    </xf>
    <xf numFmtId="0" fontId="10" fillId="0" borderId="0"/>
    <xf numFmtId="38" fontId="199"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7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5"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43" fontId="37" fillId="68" borderId="0" applyNumberFormat="0" applyFont="0" applyBorder="0" applyAlignment="0"/>
    <xf numFmtId="0" fontId="2" fillId="68" borderId="0"/>
    <xf numFmtId="319"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58"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17" fontId="278" fillId="0" borderId="134" applyAlignment="0" applyProtection="0">
      <alignment horizontal="centerContinuous"/>
    </xf>
    <xf numFmtId="19" fontId="278" fillId="0" borderId="134" applyAlignment="0" applyProtection="0">
      <alignment horizontal="centerContinuous"/>
    </xf>
    <xf numFmtId="3" fontId="207"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7"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6"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1"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8"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7" fillId="0" borderId="133">
      <alignment vertical="center"/>
    </xf>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24" fontId="209" fillId="0" borderId="0">
      <alignment horizontal="right" vertical="center" wrapText="1"/>
    </xf>
    <xf numFmtId="325" fontId="209"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9"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9" fillId="72" borderId="0" applyNumberFormat="0" applyBorder="0" applyAlignment="0" applyProtection="0"/>
    <xf numFmtId="0" fontId="279" fillId="72" borderId="0" applyNumberFormat="0" applyBorder="0" applyAlignment="0" applyProtection="0"/>
    <xf numFmtId="0" fontId="279"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7" fontId="280" fillId="0" borderId="0"/>
    <xf numFmtId="295" fontId="28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35"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0"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8"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7"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7" fontId="199"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xf>
    <xf numFmtId="0" fontId="281"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70" borderId="128"/>
    <xf numFmtId="0" fontId="282"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6">
      <alignment horizontal="center" vertical="center"/>
    </xf>
    <xf numFmtId="0" fontId="281" fillId="132" borderId="126">
      <alignment horizontal="center" vertical="center"/>
    </xf>
    <xf numFmtId="0" fontId="2" fillId="0" borderId="0" applyNumberFormat="0" applyFont="0" applyFill="0" applyBorder="0" applyAlignment="0" applyProtection="0"/>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 fillId="0" borderId="0" applyNumberFormat="0" applyFont="0" applyFill="0" applyBorder="0" applyAlignment="0" applyProtection="0"/>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04" borderId="126">
      <alignment horizontal="center" vertical="center"/>
    </xf>
    <xf numFmtId="0" fontId="281" fillId="104" borderId="126">
      <alignment horizontal="center" vertical="center"/>
    </xf>
    <xf numFmtId="0" fontId="2" fillId="0" borderId="0" applyNumberFormat="0" applyFont="0" applyFill="0" applyBorder="0" applyAlignment="0" applyProtection="0"/>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84"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235" fillId="0" borderId="76" applyNumberFormat="0" applyBorder="0" applyAlignment="0" applyProtection="0">
      <alignment horizontal="right"/>
      <protection locked="0"/>
    </xf>
    <xf numFmtId="0" fontId="183"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1"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2"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5"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86"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87" fillId="0" borderId="0" applyFill="0" applyBorder="0" applyProtection="0">
      <alignment horizontal="left"/>
    </xf>
    <xf numFmtId="0" fontId="288" fillId="0" borderId="0" applyFill="0" applyBorder="0" applyProtection="0">
      <alignment horizontal="left"/>
    </xf>
    <xf numFmtId="1" fontId="289"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58"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9"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51"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91"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7"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2" fillId="0" borderId="0">
      <protection locked="0"/>
    </xf>
    <xf numFmtId="0" fontId="292"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93" fillId="0" borderId="0" applyNumberFormat="0" applyFill="0" applyBorder="0" applyAlignment="0" applyProtection="0"/>
    <xf numFmtId="295" fontId="293" fillId="0" borderId="0" applyNumberFormat="0" applyFill="0" applyBorder="0" applyAlignment="0" applyProtection="0"/>
    <xf numFmtId="3" fontId="207" fillId="0" borderId="133">
      <alignment vertical="center"/>
    </xf>
    <xf numFmtId="0" fontId="10" fillId="0" borderId="0"/>
    <xf numFmtId="0" fontId="175" fillId="111"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7" fillId="0" borderId="0"/>
    <xf numFmtId="0" fontId="10" fillId="0" borderId="0"/>
    <xf numFmtId="38" fontId="294" fillId="0" borderId="0">
      <alignment horizontal="center"/>
    </xf>
    <xf numFmtId="0" fontId="10" fillId="0" borderId="0"/>
    <xf numFmtId="0" fontId="295"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65" fontId="296"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8"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99" fillId="0" borderId="0"/>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300" fillId="0" borderId="0"/>
    <xf numFmtId="341" fontId="158" fillId="0" borderId="0"/>
    <xf numFmtId="342" fontId="158" fillId="0" borderId="0"/>
    <xf numFmtId="0" fontId="208" fillId="0" borderId="27"/>
    <xf numFmtId="0" fontId="301"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2" fillId="141" borderId="0"/>
    <xf numFmtId="0" fontId="303" fillId="141" borderId="0"/>
    <xf numFmtId="0" fontId="304" fillId="141" borderId="172">
      <alignment horizontal="right"/>
    </xf>
    <xf numFmtId="0" fontId="304" fillId="141" borderId="0"/>
    <xf numFmtId="0" fontId="302" fillId="69" borderId="172">
      <protection locked="0"/>
    </xf>
    <xf numFmtId="0" fontId="302" fillId="141" borderId="0"/>
    <xf numFmtId="0" fontId="305" fillId="71" borderId="0"/>
    <xf numFmtId="0" fontId="305" fillId="98" borderId="0"/>
    <xf numFmtId="0" fontId="305"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6" fillId="0" borderId="0">
      <alignment horizontal="right"/>
    </xf>
    <xf numFmtId="0" fontId="229" fillId="0" borderId="0"/>
    <xf numFmtId="164" fontId="199" fillId="142" borderId="0" applyNumberFormat="0" applyFont="0"/>
    <xf numFmtId="0" fontId="158" fillId="143" borderId="0" applyNumberFormat="0" applyFont="0" applyBorder="0" applyAlignment="0" applyProtection="0"/>
    <xf numFmtId="346" fontId="306"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65" fontId="307"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38" fontId="171" fillId="0" borderId="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7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45" fillId="0" borderId="0" applyNumberFormat="0"/>
    <xf numFmtId="0" fontId="10" fillId="0" borderId="0"/>
    <xf numFmtId="165" fontId="309"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58"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0" fillId="0" borderId="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1"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9" fillId="68" borderId="0">
      <alignment horizontal="center"/>
    </xf>
    <xf numFmtId="0" fontId="2" fillId="0" borderId="0" applyNumberFormat="0" applyFont="0" applyFill="0" applyBorder="0" applyAlignment="0" applyProtection="0"/>
    <xf numFmtId="0" fontId="10" fillId="0" borderId="0"/>
    <xf numFmtId="236" fontId="309"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8" fillId="0" borderId="0"/>
    <xf numFmtId="40" fontId="312" fillId="0" borderId="0" applyBorder="0">
      <alignment horizontal="right"/>
    </xf>
    <xf numFmtId="0" fontId="313" fillId="0" borderId="0" applyNumberFormat="0" applyFont="0" applyBorder="0" applyAlignment="0">
      <alignment horizontal="left"/>
    </xf>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2" fillId="0" borderId="0" applyNumberFormat="0" applyFont="0" applyFill="0" applyBorder="0" applyAlignment="0" applyProtection="0"/>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144"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93"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314" fillId="0" borderId="174" applyNumberFormat="0" applyAlignment="0" applyProtection="0"/>
    <xf numFmtId="0" fontId="315"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Alignment="0" applyProtection="0"/>
    <xf numFmtId="0" fontId="316" fillId="0" borderId="0" applyNumberFormat="0" applyFill="0" applyBorder="0" applyProtection="0"/>
    <xf numFmtId="0" fontId="317" fillId="0" borderId="0" applyNumberFormat="0" applyFill="0" applyBorder="0" applyProtection="0">
      <alignmen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126" applyNumberFormat="0" applyProtection="0">
      <alignment horizontal="lef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19" fillId="0" borderId="0" applyNumberFormat="0" applyFill="0" applyBorder="0" applyProtection="0">
      <alignment horizontal="right" vertical="top"/>
    </xf>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5" fillId="0" borderId="108" applyNumberFormat="0" applyFill="0" applyAlignment="0" applyProtection="0">
      <alignment vertical="top"/>
    </xf>
    <xf numFmtId="0" fontId="315" fillId="0" borderId="108" applyNumberFormat="0" applyFill="0" applyAlignment="0" applyProtection="0">
      <alignment vertical="top"/>
    </xf>
    <xf numFmtId="349"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1" fillId="0" borderId="0" applyFill="0" applyBorder="0" applyProtection="0">
      <alignment horizontal="center" vertical="center"/>
    </xf>
    <xf numFmtId="0" fontId="320" fillId="0" borderId="0" applyBorder="0" applyProtection="0">
      <alignment vertical="center"/>
    </xf>
    <xf numFmtId="277" fontId="320"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1"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1"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59" fillId="0" borderId="0" applyBorder="0" applyProtection="0">
      <alignment horizontal="left"/>
    </xf>
    <xf numFmtId="0" fontId="101"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2"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lignment horizontal="centerContinuous"/>
    </xf>
    <xf numFmtId="0" fontId="10" fillId="0" borderId="0"/>
    <xf numFmtId="0" fontId="10" fillId="0" borderId="0"/>
    <xf numFmtId="3" fontId="207" fillId="0" borderId="133">
      <alignment vertical="center"/>
    </xf>
    <xf numFmtId="0" fontId="323"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3"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4"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5" fillId="148" borderId="0" applyNumberFormat="0">
      <alignment horizontal="left"/>
    </xf>
    <xf numFmtId="0" fontId="325" fillId="148" borderId="0" applyNumberFormat="0">
      <alignment horizontal="left"/>
    </xf>
    <xf numFmtId="0" fontId="325"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6"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1" fontId="326" fillId="0" borderId="0">
      <protection locked="0"/>
    </xf>
    <xf numFmtId="351" fontId="326" fillId="0" borderId="0">
      <protection locked="0"/>
    </xf>
    <xf numFmtId="0" fontId="10" fillId="0" borderId="0"/>
    <xf numFmtId="0" fontId="76" fillId="0" borderId="0" applyNumberForma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7" fillId="149" borderId="0">
      <alignment horizontal="centerContinuous"/>
    </xf>
    <xf numFmtId="0" fontId="328" fillId="63" borderId="0" applyNumberFormat="0" applyBorder="0" applyAlignment="0">
      <alignment horizontal="center"/>
    </xf>
    <xf numFmtId="0" fontId="329" fillId="0" borderId="103"/>
    <xf numFmtId="0" fontId="10" fillId="0" borderId="0"/>
    <xf numFmtId="0" fontId="329" fillId="0" borderId="103"/>
    <xf numFmtId="0" fontId="10" fillId="0" borderId="0"/>
    <xf numFmtId="0" fontId="329" fillId="0" borderId="103"/>
    <xf numFmtId="0" fontId="10" fillId="0" borderId="0"/>
    <xf numFmtId="0" fontId="329" fillId="0" borderId="103"/>
    <xf numFmtId="0" fontId="329" fillId="0" borderId="103"/>
    <xf numFmtId="246" fontId="251"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7"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199" fillId="0" borderId="180">
      <alignment horizontal="right"/>
    </xf>
    <xf numFmtId="0" fontId="270"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2" fillId="69" borderId="0">
      <alignment horizontal="center"/>
    </xf>
    <xf numFmtId="0" fontId="102" fillId="69" borderId="0">
      <alignment horizontal="center"/>
    </xf>
    <xf numFmtId="3" fontId="207" fillId="0" borderId="133">
      <alignment vertical="center"/>
    </xf>
    <xf numFmtId="0" fontId="330" fillId="104" borderId="0" applyNumberFormat="0" applyBorder="0"/>
    <xf numFmtId="0" fontId="183" fillId="0" borderId="182" applyNumberFormat="0" applyFont="0" applyFill="0" applyAlignment="0"/>
    <xf numFmtId="0" fontId="331"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77" fillId="0" borderId="63" applyNumberFormat="0" applyBorder="0">
      <protection locked="0"/>
    </xf>
    <xf numFmtId="37" fontId="332" fillId="111" borderId="0"/>
    <xf numFmtId="37" fontId="158" fillId="150" borderId="124" applyNumberFormat="0" applyAlignment="0" applyProtection="0"/>
    <xf numFmtId="0" fontId="2" fillId="0" borderId="0" applyNumberFormat="0" applyFont="0" applyFill="0" applyBorder="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 fontId="207" fillId="0" borderId="133">
      <alignment vertical="center"/>
    </xf>
    <xf numFmtId="0" fontId="2" fillId="0" borderId="0" applyNumberFormat="0" applyFont="0" applyFill="0" applyBorder="0" applyAlignment="0" applyProtection="0"/>
    <xf numFmtId="0" fontId="146" fillId="0" borderId="0" applyNumberFormat="0" applyFill="0" applyBorder="0" applyAlignment="0" applyProtection="0"/>
    <xf numFmtId="0" fontId="10" fillId="0" borderId="0"/>
    <xf numFmtId="0" fontId="10" fillId="0" borderId="0"/>
    <xf numFmtId="221" fontId="3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4" fillId="0" borderId="108">
      <alignment horizontal="center"/>
    </xf>
    <xf numFmtId="43" fontId="2" fillId="0" borderId="0" applyNumberFormat="0" applyFont="0" applyBorder="0" applyAlignment="0">
      <protection locked="0"/>
    </xf>
    <xf numFmtId="2" fontId="332" fillId="111" borderId="0" applyNumberFormat="0" applyFill="0" applyBorder="0" applyAlignment="0" applyProtection="0"/>
    <xf numFmtId="352" fontId="335" fillId="111" borderId="0" applyNumberFormat="0" applyFill="0" applyBorder="0" applyAlignment="0" applyProtection="0"/>
    <xf numFmtId="37" fontId="336" fillId="110" borderId="0" applyNumberFormat="0" applyFill="0" applyBorder="0" applyAlignment="0"/>
    <xf numFmtId="0" fontId="148"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8" fontId="2" fillId="0" borderId="0"/>
    <xf numFmtId="2" fontId="231"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65" fontId="337"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4" fontId="2" fillId="0" borderId="0" applyFont="0" applyFill="0" applyBorder="0" applyAlignment="0" applyProtection="0"/>
    <xf numFmtId="355" fontId="252"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8"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39"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0">
      <alignment horizontal="center"/>
    </xf>
    <xf numFmtId="0" fontId="10" fillId="0" borderId="0"/>
    <xf numFmtId="3" fontId="207" fillId="0" borderId="133">
      <alignment vertical="center"/>
    </xf>
    <xf numFmtId="0" fontId="307" fillId="0" borderId="0" applyProtection="0">
      <alignment horizontal="center"/>
    </xf>
    <xf numFmtId="0" fontId="10" fillId="0" borderId="0"/>
    <xf numFmtId="3" fontId="207" fillId="0" borderId="133">
      <alignment vertical="center"/>
    </xf>
    <xf numFmtId="0" fontId="2" fillId="0" borderId="0" applyNumberFormat="0" applyFont="0" applyFill="0" applyBorder="0" applyAlignment="0" applyProtection="0"/>
    <xf numFmtId="0" fontId="340" fillId="0" borderId="0" applyProtection="0">
      <alignment horizontal="center"/>
    </xf>
    <xf numFmtId="0" fontId="10" fillId="0" borderId="0"/>
    <xf numFmtId="3" fontId="207" fillId="0" borderId="133">
      <alignment vertical="center"/>
    </xf>
    <xf numFmtId="0" fontId="45" fillId="0" borderId="0" applyNumberFormat="0" applyFill="0" applyBorder="0" applyProtection="0">
      <alignment horizontal="left"/>
    </xf>
    <xf numFmtId="331" fontId="158" fillId="0" borderId="0" applyNumberFormat="0" applyFont="0" applyFill="0" applyBorder="0" applyProtection="0">
      <alignment vertical="top" wrapText="1"/>
    </xf>
    <xf numFmtId="0" fontId="204" fillId="0" borderId="0" applyNumberFormat="0" applyFill="0" applyBorder="0" applyProtection="0">
      <alignment horizontal="right"/>
    </xf>
    <xf numFmtId="0" fontId="177" fillId="0" borderId="0" applyNumberFormat="0" applyFill="0" applyBorder="0" applyProtection="0">
      <alignment horizontal="center"/>
    </xf>
    <xf numFmtId="15" fontId="177" fillId="0" borderId="0" applyFill="0" applyBorder="0" applyProtection="0">
      <alignment horizontal="center"/>
    </xf>
    <xf numFmtId="357" fontId="102" fillId="0" borderId="0"/>
    <xf numFmtId="357" fontId="10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45" fillId="0" borderId="183" applyNumberFormat="0"/>
    <xf numFmtId="14" fontId="158" fillId="0" borderId="0" applyFont="0" applyFill="0" applyBorder="0" applyProtection="0"/>
    <xf numFmtId="16" fontId="158" fillId="0" borderId="0" applyFont="0" applyFill="0" applyBorder="0" applyProtection="0"/>
    <xf numFmtId="3" fontId="207" fillId="0" borderId="133">
      <alignment vertical="center"/>
    </xf>
    <xf numFmtId="358" fontId="341"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16"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2" fillId="0" borderId="0" applyNumberFormat="0" applyFont="0" applyBorder="0" applyAlignment="0"/>
    <xf numFmtId="0" fontId="343" fillId="0" borderId="0"/>
    <xf numFmtId="0" fontId="6" fillId="0" borderId="0" applyNumberFormat="0" applyFill="0" applyBorder="0" applyAlignment="0" applyProtection="0">
      <alignment vertical="top"/>
      <protection locked="0"/>
    </xf>
    <xf numFmtId="208" fontId="343" fillId="0" borderId="0" applyFont="0" applyFill="0" applyBorder="0" applyAlignment="0" applyProtection="0"/>
    <xf numFmtId="209" fontId="343" fillId="0" borderId="0" applyFont="0" applyFill="0" applyBorder="0" applyAlignment="0" applyProtection="0"/>
    <xf numFmtId="207" fontId="343" fillId="0" borderId="0" applyFont="0" applyFill="0" applyBorder="0" applyAlignment="0" applyProtection="0"/>
    <xf numFmtId="210" fontId="3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4"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5" fillId="69" borderId="189" applyNumberFormat="0" applyFill="0" applyBorder="0" applyAlignment="0" applyProtection="0">
      <alignment horizontal="left"/>
    </xf>
    <xf numFmtId="0" fontId="1" fillId="0" borderId="0"/>
    <xf numFmtId="0" fontId="172" fillId="0" borderId="194"/>
    <xf numFmtId="244" fontId="174"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81" fillId="108" borderId="196" applyNumberFormat="0" applyAlignment="0" applyProtection="0"/>
    <xf numFmtId="0" fontId="181" fillId="108" borderId="196" applyNumberFormat="0" applyAlignment="0" applyProtection="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99" fillId="0" borderId="185"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94" applyNumberFormat="0" applyFont="0" applyFill="0" applyAlignment="0" applyProtection="0"/>
    <xf numFmtId="0" fontId="147" fillId="0" borderId="194"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2" fillId="0" borderId="189" applyBorder="0"/>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vertical="center"/>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201" fontId="20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0" fillId="0" borderId="0" applyFont="0" applyFill="0" applyBorder="0" applyAlignment="0" applyProtection="0">
      <alignment horizontal="righ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0" fillId="120" borderId="190" applyNumberFormat="0" applyBorder="0" applyAlignment="0">
      <alignment horizontal="center"/>
      <protection locked="0"/>
    </xf>
    <xf numFmtId="0" fontId="230" fillId="120" borderId="190" applyNumberFormat="0" applyBorder="0" applyAlignment="0">
      <alignment horizontal="center"/>
      <protection locked="0"/>
    </xf>
    <xf numFmtId="3" fontId="231"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2" fontId="231"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8" fillId="0" borderId="195" applyBorder="0"/>
    <xf numFmtId="253" fontId="226"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1" fillId="107" borderId="190" applyNumberFormat="0" applyBorder="0" applyAlignment="0">
      <protection locked="0"/>
    </xf>
    <xf numFmtId="3" fontId="207" fillId="0" borderId="133">
      <alignment vertical="center"/>
    </xf>
    <xf numFmtId="37" fontId="199" fillId="0" borderId="0" applyNumberFormat="0" applyFill="0" applyAlignment="0"/>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1" fillId="132" borderId="191">
      <alignment horizontal="center" vertical="top"/>
    </xf>
    <xf numFmtId="0" fontId="281"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2" fillId="70" borderId="197"/>
    <xf numFmtId="0" fontId="282"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1" fillId="132" borderId="192">
      <alignment horizontal="center" vertical="center"/>
    </xf>
    <xf numFmtId="0" fontId="281" fillId="132" borderId="192">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92">
      <alignment horizontal="center" vertical="center"/>
    </xf>
    <xf numFmtId="0" fontId="281" fillId="104" borderId="192">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4"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1" fillId="134" borderId="195" applyNumberFormat="0" applyBorder="0" applyAlignment="0" applyProtection="0">
      <alignment horizontal="center"/>
      <protection hidden="1"/>
    </xf>
    <xf numFmtId="3" fontId="285" fillId="57" borderId="190" applyNumberFormat="0" applyBorder="0" applyAlignment="0" applyProtection="0">
      <protection hidden="1"/>
    </xf>
    <xf numFmtId="3" fontId="286"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8"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5"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1" fillId="0" borderId="195" applyNumberFormat="0" applyFill="0" applyBorder="0" applyAlignment="0" applyProtection="0">
      <alignment horizontal="center"/>
      <protection locked="0"/>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3" fillId="0" borderId="189" applyFill="0" applyBorder="0" applyProtection="0">
      <alignment horizontal="left" vertical="top"/>
    </xf>
    <xf numFmtId="0" fontId="183" fillId="131" borderId="201" applyNumberFormat="0" applyFont="0">
      <alignment horizontal="center" vertical="center"/>
    </xf>
    <xf numFmtId="350" fontId="45" fillId="68" borderId="197" applyNumberFormat="0" applyBorder="0" applyAlignment="0">
      <alignment horizontal="right"/>
    </xf>
    <xf numFmtId="0" fontId="329" fillId="0" borderId="187"/>
    <xf numFmtId="0" fontId="329" fillId="0" borderId="187"/>
    <xf numFmtId="0" fontId="329" fillId="0" borderId="187"/>
    <xf numFmtId="0" fontId="329" fillId="0" borderId="187"/>
    <xf numFmtId="0" fontId="329"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331" fillId="0" borderId="197" applyNumberFormat="0" applyFill="0" applyBorder="0" applyAlignment="0" applyProtection="0">
      <alignment horizontal="center"/>
      <protection locked="0"/>
    </xf>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1" fillId="69" borderId="190" applyBorder="0" applyAlignment="0"/>
    <xf numFmtId="165" fontId="337" fillId="69" borderId="189">
      <alignment horizontal="center"/>
    </xf>
    <xf numFmtId="0" fontId="344" fillId="0" borderId="0" applyNumberFormat="0" applyFill="0" applyBorder="0" applyAlignment="0" applyProtection="0"/>
    <xf numFmtId="0" fontId="1" fillId="0" borderId="0"/>
    <xf numFmtId="0" fontId="1" fillId="0" borderId="0"/>
  </cellStyleXfs>
  <cellXfs count="84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84" fillId="0" borderId="61" xfId="0" applyNumberFormat="1" applyFont="1" applyBorder="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89"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0"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1" fillId="0" borderId="0" xfId="11" applyFont="1"/>
    <xf numFmtId="0" fontId="92"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4" fillId="0" borderId="0" xfId="0" applyFont="1"/>
    <xf numFmtId="0" fontId="3" fillId="0" borderId="63"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3" fillId="0" borderId="0" xfId="0" applyFont="1" applyAlignment="1">
      <alignment wrapText="1"/>
    </xf>
    <xf numFmtId="0" fontId="2" fillId="0" borderId="0" xfId="0" applyFont="1" applyAlignment="1">
      <alignment wrapText="1"/>
    </xf>
    <xf numFmtId="0" fontId="96" fillId="3" borderId="78" xfId="0" applyFont="1" applyFill="1" applyBorder="1" applyAlignment="1">
      <alignment horizontal="left"/>
    </xf>
    <xf numFmtId="0" fontId="96"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7"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7" fillId="0" borderId="0" xfId="0" applyFont="1" applyAlignment="1">
      <alignment horizontal="left" vertical="center"/>
    </xf>
    <xf numFmtId="49" fontId="98" fillId="0" borderId="21" xfId="5" applyNumberFormat="1" applyFont="1" applyBorder="1" applyAlignment="1" applyProtection="1">
      <alignment horizontal="left" vertical="center"/>
      <protection locked="0"/>
    </xf>
    <xf numFmtId="0" fontId="99"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0" fillId="35" borderId="81" xfId="0" applyNumberFormat="1" applyFont="1" applyFill="1" applyBorder="1" applyAlignment="1">
      <alignment vertical="center" wrapText="1"/>
    </xf>
    <xf numFmtId="3" fontId="100" fillId="35" borderId="22" xfId="0" applyNumberFormat="1" applyFont="1" applyFill="1" applyBorder="1" applyAlignment="1">
      <alignment vertical="center" wrapText="1"/>
    </xf>
    <xf numFmtId="3" fontId="100"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7" fillId="0" borderId="96" xfId="0" applyFont="1" applyBorder="1" applyAlignment="1">
      <alignment horizontal="left" vertical="center" wrapText="1"/>
    </xf>
    <xf numFmtId="10" fontId="97"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99" fillId="0" borderId="22"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0" fontId="4" fillId="35" borderId="82" xfId="0" applyFont="1" applyFill="1" applyBorder="1" applyAlignment="1">
      <alignment vertical="center" wrapText="1"/>
    </xf>
    <xf numFmtId="0" fontId="4" fillId="35" borderId="95"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0" fillId="35" borderId="96" xfId="0" applyNumberFormat="1" applyFont="1" applyFill="1" applyBorder="1" applyAlignment="1">
      <alignment vertical="center" wrapText="1"/>
    </xf>
    <xf numFmtId="3" fontId="100" fillId="35" borderId="97" xfId="0" applyNumberFormat="1" applyFont="1" applyFill="1" applyBorder="1" applyAlignment="1">
      <alignment vertical="center" wrapText="1"/>
    </xf>
    <xf numFmtId="3" fontId="100" fillId="35" borderId="24" xfId="0" applyNumberFormat="1" applyFont="1" applyFill="1" applyBorder="1" applyAlignment="1">
      <alignment vertical="center" wrapText="1"/>
    </xf>
    <xf numFmtId="3" fontId="100" fillId="35" borderId="84" xfId="0" applyNumberFormat="1" applyFont="1" applyFill="1" applyBorder="1" applyAlignment="1">
      <alignment vertical="center" wrapText="1"/>
    </xf>
    <xf numFmtId="3" fontId="100"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5" xfId="0" applyFont="1" applyFill="1" applyBorder="1" applyAlignment="1">
      <alignment horizontal="center" wrapText="1"/>
    </xf>
    <xf numFmtId="0" fontId="3" fillId="0" borderId="96"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7" applyNumberFormat="1" applyFont="1" applyBorder="1"/>
    <xf numFmtId="164" fontId="3" fillId="0" borderId="81" xfId="7" applyNumberFormat="1" applyFont="1" applyBorder="1"/>
    <xf numFmtId="0" fontId="96" fillId="0" borderId="96" xfId="0" applyFont="1" applyBorder="1" applyAlignment="1">
      <alignment horizontal="left" wrapText="1" indent="2"/>
    </xf>
    <xf numFmtId="169" fontId="9" fillId="36" borderId="96" xfId="20" applyBorder="1"/>
    <xf numFmtId="164" fontId="3" fillId="0" borderId="96" xfId="7"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81" xfId="7" applyNumberFormat="1" applyFont="1" applyBorder="1"/>
    <xf numFmtId="0" fontId="106" fillId="3" borderId="63" xfId="0" applyFont="1" applyFill="1" applyBorder="1" applyAlignment="1">
      <alignment horizontal="left"/>
    </xf>
    <xf numFmtId="0" fontId="106"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164" fontId="3" fillId="0" borderId="96" xfId="7" applyNumberFormat="1" applyFont="1" applyFill="1" applyBorder="1"/>
    <xf numFmtId="164" fontId="3" fillId="0" borderId="96" xfId="7" applyNumberFormat="1" applyFont="1" applyFill="1" applyBorder="1" applyAlignment="1">
      <alignment vertical="center"/>
    </xf>
    <xf numFmtId="0" fontId="96"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4" xfId="0" applyFont="1" applyBorder="1" applyAlignment="1">
      <alignment vertical="center" wrapText="1"/>
    </xf>
    <xf numFmtId="0" fontId="107" fillId="0" borderId="0" xfId="11" applyFont="1"/>
    <xf numFmtId="0" fontId="109" fillId="0" borderId="0" xfId="11" applyFont="1"/>
    <xf numFmtId="0" fontId="108" fillId="0" borderId="0" xfId="0" applyFont="1"/>
    <xf numFmtId="0" fontId="110" fillId="0" borderId="68" xfId="0" applyFont="1" applyBorder="1" applyAlignment="1">
      <alignment horizontal="left" vertical="center" wrapText="1"/>
    </xf>
    <xf numFmtId="0" fontId="6" fillId="0" borderId="111" xfId="17" applyBorder="1" applyAlignment="1" applyProtection="1"/>
    <xf numFmtId="0" fontId="108" fillId="0" borderId="0" xfId="0" applyFont="1" applyAlignment="1">
      <alignment horizontal="left" vertical="top" wrapText="1"/>
    </xf>
    <xf numFmtId="191" fontId="2" fillId="3" borderId="81" xfId="2" applyNumberFormat="1" applyFont="1" applyFill="1" applyBorder="1" applyAlignment="1" applyProtection="1">
      <alignment vertical="top" wrapText="1"/>
      <protection locked="0"/>
    </xf>
    <xf numFmtId="0" fontId="0" fillId="0" borderId="111" xfId="0" applyBorder="1" applyAlignment="1">
      <alignment horizontal="center"/>
    </xf>
    <xf numFmtId="0" fontId="119" fillId="3" borderId="111" xfId="20954" applyFont="1" applyFill="1" applyBorder="1" applyAlignment="1">
      <alignment horizontal="left" vertical="center" wrapText="1"/>
    </xf>
    <xf numFmtId="0" fontId="120" fillId="0" borderId="111" xfId="20954" applyFont="1" applyBorder="1" applyAlignment="1">
      <alignment horizontal="left" vertical="center" wrapText="1" indent="1"/>
    </xf>
    <xf numFmtId="0" fontId="121" fillId="3" borderId="121" xfId="0" applyFont="1" applyFill="1" applyBorder="1" applyAlignment="1">
      <alignment horizontal="left" vertical="center" wrapText="1"/>
    </xf>
    <xf numFmtId="0" fontId="120" fillId="3" borderId="111" xfId="20954" applyFont="1" applyFill="1" applyBorder="1" applyAlignment="1">
      <alignment horizontal="left" vertical="center" wrapText="1" indent="1"/>
    </xf>
    <xf numFmtId="0" fontId="119" fillId="0" borderId="121" xfId="0" applyFont="1" applyBorder="1" applyAlignment="1">
      <alignment horizontal="left" vertical="center" wrapText="1"/>
    </xf>
    <xf numFmtId="0" fontId="121" fillId="0" borderId="121" xfId="0" applyFont="1" applyBorder="1" applyAlignment="1">
      <alignment horizontal="left"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indent="1"/>
    </xf>
    <xf numFmtId="0" fontId="122" fillId="3" borderId="121" xfId="0" applyFont="1" applyFill="1" applyBorder="1" applyAlignment="1">
      <alignment horizontal="left" vertical="center" wrapText="1" indent="1"/>
    </xf>
    <xf numFmtId="0" fontId="121" fillId="3" borderId="122" xfId="0" applyFont="1" applyFill="1" applyBorder="1" applyAlignment="1">
      <alignment horizontal="left" vertical="center" wrapText="1"/>
    </xf>
    <xf numFmtId="0" fontId="122" fillId="0" borderId="111" xfId="20954" applyFont="1" applyBorder="1" applyAlignment="1">
      <alignment horizontal="left" vertical="center" wrapText="1" indent="1"/>
    </xf>
    <xf numFmtId="0" fontId="121" fillId="0" borderId="111" xfId="0" applyFont="1" applyBorder="1" applyAlignment="1">
      <alignment horizontal="left" vertical="center" wrapText="1"/>
    </xf>
    <xf numFmtId="0" fontId="123" fillId="0" borderId="111" xfId="20954" applyFont="1" applyBorder="1" applyAlignment="1">
      <alignment horizontal="center" vertical="center" wrapText="1"/>
    </xf>
    <xf numFmtId="0" fontId="121" fillId="3" borderId="123" xfId="0" applyFont="1" applyFill="1" applyBorder="1" applyAlignment="1">
      <alignment horizontal="left" vertical="center" wrapText="1"/>
    </xf>
    <xf numFmtId="0" fontId="0" fillId="0" borderId="124" xfId="0" applyBorder="1" applyAlignment="1">
      <alignment horizontal="center"/>
    </xf>
    <xf numFmtId="0" fontId="120" fillId="3" borderId="124" xfId="20954" applyFont="1" applyFill="1" applyBorder="1" applyAlignment="1">
      <alignment horizontal="left" vertical="center" wrapText="1" indent="1"/>
    </xf>
    <xf numFmtId="0" fontId="120" fillId="3" borderId="121" xfId="0" applyFont="1" applyFill="1" applyBorder="1" applyAlignment="1">
      <alignment horizontal="left" vertical="center" wrapText="1" indent="1"/>
    </xf>
    <xf numFmtId="0" fontId="120" fillId="0" borderId="124" xfId="20954" applyFont="1" applyBorder="1" applyAlignment="1">
      <alignment horizontal="left" vertical="center" wrapText="1" indent="1"/>
    </xf>
    <xf numFmtId="0" fontId="121" fillId="0" borderId="124" xfId="20954" applyFont="1" applyBorder="1" applyAlignment="1">
      <alignment horizontal="left" vertical="center" wrapText="1"/>
    </xf>
    <xf numFmtId="0" fontId="121" fillId="0" borderId="124" xfId="0" applyFont="1" applyBorder="1" applyAlignment="1">
      <alignment vertical="center" wrapText="1"/>
    </xf>
    <xf numFmtId="0" fontId="123" fillId="0" borderId="124" xfId="20954" applyFont="1" applyBorder="1" applyAlignment="1">
      <alignment horizontal="center" vertical="center" wrapText="1"/>
    </xf>
    <xf numFmtId="0" fontId="121" fillId="3" borderId="124" xfId="20954" applyFont="1" applyFill="1" applyBorder="1" applyAlignment="1">
      <alignment horizontal="left" vertical="center" wrapText="1"/>
    </xf>
    <xf numFmtId="0" fontId="121"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1" fillId="0" borderId="0" xfId="0" applyNumberFormat="1" applyFont="1" applyAlignment="1">
      <alignment horizontal="right"/>
    </xf>
    <xf numFmtId="43" fontId="84" fillId="0" borderId="124" xfId="7" applyFont="1" applyFill="1" applyBorder="1" applyAlignment="1">
      <alignment horizontal="center" vertical="center"/>
    </xf>
    <xf numFmtId="0" fontId="120" fillId="3" borderId="122" xfId="0" applyFont="1" applyFill="1" applyBorder="1" applyAlignment="1">
      <alignment horizontal="left" vertical="center" wrapText="1" indent="1"/>
    </xf>
    <xf numFmtId="0" fontId="120"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0" fillId="0" borderId="124" xfId="0" applyFont="1" applyBorder="1" applyAlignment="1">
      <alignment horizontal="left" vertical="center" wrapText="1" indent="1"/>
    </xf>
    <xf numFmtId="0" fontId="121" fillId="3" borderId="124" xfId="0" applyFont="1" applyFill="1" applyBorder="1" applyAlignment="1">
      <alignment horizontal="left" vertical="center" wrapText="1"/>
    </xf>
    <xf numFmtId="0" fontId="122" fillId="3" borderId="124" xfId="0" applyFont="1" applyFill="1" applyBorder="1" applyAlignment="1">
      <alignment horizontal="left" vertical="center" wrapText="1" indent="1"/>
    </xf>
    <xf numFmtId="0" fontId="124" fillId="0" borderId="124" xfId="0" applyFont="1" applyBorder="1" applyAlignment="1">
      <alignment horizontal="justify"/>
    </xf>
    <xf numFmtId="167" fontId="86" fillId="0" borderId="124" xfId="0" applyNumberFormat="1" applyFont="1" applyBorder="1" applyAlignment="1">
      <alignment horizontal="center"/>
    </xf>
    <xf numFmtId="167" fontId="86" fillId="0" borderId="56" xfId="0" applyNumberFormat="1" applyFont="1" applyBorder="1" applyAlignment="1">
      <alignment horizontal="center"/>
    </xf>
    <xf numFmtId="167" fontId="87"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4" xfId="0" applyFont="1" applyBorder="1" applyAlignment="1">
      <alignment horizontal="center"/>
    </xf>
    <xf numFmtId="0" fontId="111" fillId="0" borderId="124" xfId="0" applyFont="1" applyBorder="1"/>
    <xf numFmtId="49" fontId="113" fillId="0" borderId="124" xfId="5" applyNumberFormat="1" applyFont="1" applyBorder="1" applyAlignment="1" applyProtection="1">
      <alignment horizontal="right" vertical="center"/>
      <protection locked="0"/>
    </xf>
    <xf numFmtId="0" fontId="112" fillId="3" borderId="124" xfId="13" applyFont="1" applyFill="1" applyBorder="1" applyAlignment="1" applyProtection="1">
      <alignment horizontal="left" vertical="center" wrapText="1"/>
      <protection locked="0"/>
    </xf>
    <xf numFmtId="49" fontId="112" fillId="3" borderId="124" xfId="5" applyNumberFormat="1" applyFont="1" applyFill="1" applyBorder="1" applyAlignment="1" applyProtection="1">
      <alignment horizontal="right" vertical="center"/>
      <protection locked="0"/>
    </xf>
    <xf numFmtId="0" fontId="112" fillId="0" borderId="124" xfId="13" applyFont="1" applyBorder="1" applyAlignment="1" applyProtection="1">
      <alignment horizontal="left" vertical="center" wrapText="1"/>
      <protection locked="0"/>
    </xf>
    <xf numFmtId="49" fontId="112" fillId="0" borderId="124" xfId="5" applyNumberFormat="1" applyFont="1" applyBorder="1" applyAlignment="1" applyProtection="1">
      <alignment horizontal="right" vertical="center"/>
      <protection locked="0"/>
    </xf>
    <xf numFmtId="0" fontId="114" fillId="0" borderId="124" xfId="13" applyFont="1" applyBorder="1" applyAlignment="1" applyProtection="1">
      <alignment horizontal="left" vertical="center" wrapText="1"/>
      <protection locked="0"/>
    </xf>
    <xf numFmtId="0" fontId="111" fillId="0" borderId="124" xfId="0" applyFont="1" applyBorder="1" applyAlignment="1">
      <alignment horizontal="center" vertical="center" wrapText="1"/>
    </xf>
    <xf numFmtId="14" fontId="108" fillId="0" borderId="0" xfId="0" applyNumberFormat="1" applyFont="1"/>
    <xf numFmtId="43" fontId="93" fillId="0" borderId="0" xfId="7" applyFont="1"/>
    <xf numFmtId="0" fontId="108" fillId="0" borderId="0" xfId="0" applyFont="1" applyAlignment="1">
      <alignment wrapText="1"/>
    </xf>
    <xf numFmtId="0" fontId="107" fillId="0" borderId="124" xfId="0" applyFont="1" applyBorder="1"/>
    <xf numFmtId="0" fontId="107" fillId="0" borderId="124" xfId="0" applyFont="1" applyBorder="1" applyAlignment="1">
      <alignment horizontal="left" indent="8"/>
    </xf>
    <xf numFmtId="0" fontId="107" fillId="0" borderId="124" xfId="0" applyFont="1" applyBorder="1" applyAlignment="1">
      <alignment wrapText="1"/>
    </xf>
    <xf numFmtId="0" fontId="111" fillId="0" borderId="0" xfId="0" applyFont="1"/>
    <xf numFmtId="0" fontId="110" fillId="0" borderId="124" xfId="0" applyFont="1" applyBorder="1"/>
    <xf numFmtId="49" fontId="113" fillId="0" borderId="124" xfId="5" applyNumberFormat="1" applyFont="1" applyBorder="1" applyAlignment="1" applyProtection="1">
      <alignment horizontal="right" vertical="center" wrapText="1"/>
      <protection locked="0"/>
    </xf>
    <xf numFmtId="49" fontId="112" fillId="3" borderId="124" xfId="5" applyNumberFormat="1" applyFont="1" applyFill="1" applyBorder="1" applyAlignment="1" applyProtection="1">
      <alignment horizontal="right" vertical="center" wrapText="1"/>
      <protection locked="0"/>
    </xf>
    <xf numFmtId="49" fontId="112" fillId="0" borderId="124" xfId="5" applyNumberFormat="1" applyFont="1" applyBorder="1" applyAlignment="1" applyProtection="1">
      <alignment horizontal="right" vertical="center" wrapText="1"/>
      <protection locked="0"/>
    </xf>
    <xf numFmtId="0" fontId="107" fillId="0" borderId="124"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124" xfId="0" applyFont="1" applyBorder="1" applyAlignment="1">
      <alignment horizontal="center" vertical="center"/>
    </xf>
    <xf numFmtId="0" fontId="107" fillId="0" borderId="0" xfId="0" applyFont="1"/>
    <xf numFmtId="0" fontId="107" fillId="0" borderId="0" xfId="0" applyFont="1" applyAlignment="1">
      <alignment wrapText="1"/>
    </xf>
    <xf numFmtId="14" fontId="107" fillId="0" borderId="0" xfId="0" applyNumberFormat="1" applyFont="1"/>
    <xf numFmtId="0" fontId="108" fillId="0" borderId="0" xfId="0" applyFont="1" applyAlignment="1">
      <alignment horizontal="left"/>
    </xf>
    <xf numFmtId="0" fontId="107" fillId="0" borderId="124" xfId="0" applyFont="1" applyBorder="1" applyAlignment="1">
      <alignment horizontal="left" vertical="center" wrapText="1"/>
    </xf>
    <xf numFmtId="0" fontId="110" fillId="0" borderId="124" xfId="0" applyFont="1" applyBorder="1" applyAlignment="1">
      <alignment horizontal="left" wrapText="1" indent="1"/>
    </xf>
    <xf numFmtId="0" fontId="110" fillId="0" borderId="124" xfId="0" applyFont="1" applyBorder="1" applyAlignment="1">
      <alignment horizontal="left" vertical="center" indent="1"/>
    </xf>
    <xf numFmtId="0" fontId="108" fillId="0" borderId="124" xfId="0" applyFont="1" applyBorder="1"/>
    <xf numFmtId="0" fontId="107" fillId="0" borderId="124" xfId="0" applyFont="1" applyBorder="1" applyAlignment="1">
      <alignment horizontal="left" wrapText="1" indent="1"/>
    </xf>
    <xf numFmtId="0" fontId="107" fillId="0" borderId="124" xfId="0" applyFont="1" applyBorder="1" applyAlignment="1">
      <alignment horizontal="left" indent="1"/>
    </xf>
    <xf numFmtId="0" fontId="107" fillId="0" borderId="124" xfId="0" applyFont="1" applyBorder="1" applyAlignment="1">
      <alignment horizontal="left" wrapText="1" indent="4"/>
    </xf>
    <xf numFmtId="0" fontId="107" fillId="0" borderId="124" xfId="0" applyFont="1" applyBorder="1" applyAlignment="1">
      <alignment horizontal="left" indent="3"/>
    </xf>
    <xf numFmtId="0" fontId="110" fillId="0" borderId="124" xfId="0" applyFont="1" applyBorder="1" applyAlignment="1">
      <alignment horizontal="left" indent="1"/>
    </xf>
    <xf numFmtId="0" fontId="108" fillId="77" borderId="124" xfId="0" applyFont="1" applyFill="1" applyBorder="1"/>
    <xf numFmtId="0" fontId="111" fillId="0" borderId="7" xfId="0" applyFont="1" applyBorder="1"/>
    <xf numFmtId="0" fontId="108" fillId="0" borderId="124" xfId="0" applyFont="1" applyBorder="1" applyAlignment="1">
      <alignment horizontal="left" wrapText="1" indent="2"/>
    </xf>
    <xf numFmtId="0" fontId="108" fillId="0" borderId="124" xfId="0" applyFont="1" applyBorder="1" applyAlignment="1">
      <alignment horizontal="left" wrapText="1"/>
    </xf>
    <xf numFmtId="0" fontId="107" fillId="0" borderId="124" xfId="0" applyFont="1" applyBorder="1" applyAlignment="1">
      <alignment horizontal="center"/>
    </xf>
    <xf numFmtId="0" fontId="107" fillId="0" borderId="0" xfId="0" applyFont="1" applyAlignment="1">
      <alignment horizontal="center" vertical="center"/>
    </xf>
    <xf numFmtId="0" fontId="107" fillId="0" borderId="7" xfId="0" applyFont="1" applyBorder="1" applyAlignment="1">
      <alignment horizontal="center" vertical="center" wrapText="1"/>
    </xf>
    <xf numFmtId="0" fontId="107" fillId="0" borderId="7" xfId="0" applyFont="1" applyBorder="1" applyAlignment="1">
      <alignment wrapText="1"/>
    </xf>
    <xf numFmtId="0" fontId="107" fillId="0" borderId="0" xfId="0" applyFont="1" applyAlignment="1">
      <alignment horizontal="center" vertical="center" wrapText="1"/>
    </xf>
    <xf numFmtId="0" fontId="107" fillId="0" borderId="103" xfId="0" applyFont="1" applyBorder="1" applyAlignment="1">
      <alignment horizontal="center" vertical="center" wrapText="1"/>
    </xf>
    <xf numFmtId="0" fontId="107" fillId="0" borderId="127" xfId="0" applyFont="1" applyBorder="1" applyAlignment="1">
      <alignment horizontal="center" vertical="center" wrapText="1"/>
    </xf>
    <xf numFmtId="0" fontId="107" fillId="0" borderId="104" xfId="0" applyFont="1" applyBorder="1" applyAlignment="1">
      <alignment horizontal="center" vertical="center" wrapText="1"/>
    </xf>
    <xf numFmtId="49" fontId="107" fillId="0" borderId="23" xfId="0" applyNumberFormat="1" applyFont="1" applyBorder="1" applyAlignment="1">
      <alignment horizontal="left" wrapText="1" indent="1"/>
    </xf>
    <xf numFmtId="0" fontId="107" fillId="0" borderId="21" xfId="0" applyFont="1" applyBorder="1" applyAlignment="1">
      <alignment horizontal="left" wrapText="1" indent="1"/>
    </xf>
    <xf numFmtId="49" fontId="107" fillId="0" borderId="81" xfId="0" applyNumberFormat="1" applyFont="1" applyBorder="1" applyAlignment="1">
      <alignment horizontal="left" wrapText="1" indent="1"/>
    </xf>
    <xf numFmtId="0" fontId="107" fillId="0" borderId="18" xfId="0" applyFont="1" applyBorder="1" applyAlignment="1">
      <alignment horizontal="left" wrapText="1" indent="1"/>
    </xf>
    <xf numFmtId="49" fontId="107" fillId="0" borderId="18" xfId="0" applyNumberFormat="1" applyFont="1" applyBorder="1" applyAlignment="1">
      <alignment horizontal="left" wrapText="1" indent="3"/>
    </xf>
    <xf numFmtId="49" fontId="107" fillId="0" borderId="81" xfId="0" applyNumberFormat="1" applyFont="1" applyBorder="1" applyAlignment="1">
      <alignment horizontal="left" wrapText="1" indent="3"/>
    </xf>
    <xf numFmtId="49" fontId="107" fillId="0" borderId="18" xfId="0" applyNumberFormat="1" applyFont="1" applyBorder="1" applyAlignment="1">
      <alignment horizontal="left" wrapText="1" indent="2"/>
    </xf>
    <xf numFmtId="49" fontId="107" fillId="0" borderId="81" xfId="0" applyNumberFormat="1" applyFont="1" applyBorder="1" applyAlignment="1">
      <alignment horizontal="left" wrapText="1" indent="2"/>
    </xf>
    <xf numFmtId="49" fontId="107" fillId="0" borderId="81" xfId="0" applyNumberFormat="1" applyFont="1" applyBorder="1" applyAlignment="1">
      <alignment horizontal="left" vertical="top" wrapText="1" indent="2"/>
    </xf>
    <xf numFmtId="49" fontId="107" fillId="0" borderId="81" xfId="0" applyNumberFormat="1" applyFont="1" applyBorder="1" applyAlignment="1">
      <alignment horizontal="left" indent="1"/>
    </xf>
    <xf numFmtId="0" fontId="107" fillId="0" borderId="18" xfId="0" applyFont="1" applyBorder="1" applyAlignment="1">
      <alignment horizontal="left" indent="1"/>
    </xf>
    <xf numFmtId="49" fontId="107" fillId="0" borderId="18" xfId="0" applyNumberFormat="1" applyFont="1" applyBorder="1" applyAlignment="1">
      <alignment horizontal="left" indent="1"/>
    </xf>
    <xf numFmtId="49" fontId="107" fillId="0" borderId="18" xfId="0" applyNumberFormat="1" applyFont="1" applyBorder="1" applyAlignment="1">
      <alignment horizontal="left" indent="3"/>
    </xf>
    <xf numFmtId="49" fontId="107" fillId="0" borderId="81" xfId="0" applyNumberFormat="1" applyFont="1" applyBorder="1" applyAlignment="1">
      <alignment horizontal="left" indent="3"/>
    </xf>
    <xf numFmtId="0" fontId="107" fillId="0" borderId="18" xfId="0" applyFont="1" applyBorder="1" applyAlignment="1">
      <alignment horizontal="left" indent="2"/>
    </xf>
    <xf numFmtId="0" fontId="107" fillId="0" borderId="81" xfId="0" applyFont="1" applyBorder="1" applyAlignment="1">
      <alignment horizontal="left" indent="2"/>
    </xf>
    <xf numFmtId="0" fontId="107" fillId="0" borderId="81" xfId="0" applyFont="1" applyBorder="1" applyAlignment="1">
      <alignment horizontal="left" indent="1"/>
    </xf>
    <xf numFmtId="0" fontId="110" fillId="0" borderId="64" xfId="0" applyFont="1" applyBorder="1"/>
    <xf numFmtId="0" fontId="107" fillId="0" borderId="67" xfId="0" applyFont="1" applyBorder="1"/>
    <xf numFmtId="0" fontId="107" fillId="0" borderId="75" xfId="0" applyFont="1" applyBorder="1" applyAlignment="1">
      <alignment horizontal="center" vertical="center" wrapText="1"/>
    </xf>
    <xf numFmtId="0" fontId="107" fillId="0" borderId="81" xfId="0" applyFont="1" applyBorder="1" applyAlignment="1">
      <alignment horizontal="center" vertical="center" wrapText="1"/>
    </xf>
    <xf numFmtId="0" fontId="107" fillId="0" borderId="0" xfId="0" applyFont="1" applyAlignment="1">
      <alignment horizontal="left"/>
    </xf>
    <xf numFmtId="0" fontId="110" fillId="0" borderId="124" xfId="0" applyFont="1" applyBorder="1" applyAlignment="1">
      <alignment horizontal="left" vertical="center" wrapText="1"/>
    </xf>
    <xf numFmtId="0" fontId="112" fillId="0" borderId="0" xfId="0" applyFont="1"/>
    <xf numFmtId="0" fontId="91" fillId="0" borderId="0" xfId="0" applyFont="1" applyAlignment="1">
      <alignment wrapText="1"/>
    </xf>
    <xf numFmtId="0" fontId="110" fillId="0" borderId="124" xfId="0" applyFont="1" applyBorder="1" applyAlignment="1">
      <alignment horizontal="center" vertical="center" wrapText="1"/>
    </xf>
    <xf numFmtId="0" fontId="112" fillId="0" borderId="0" xfId="0" applyFont="1" applyAlignment="1">
      <alignment horizontal="center" vertical="center"/>
    </xf>
    <xf numFmtId="0" fontId="128" fillId="0" borderId="0" xfId="0" applyFont="1"/>
    <xf numFmtId="0" fontId="107" fillId="0" borderId="119" xfId="0" applyFont="1" applyBorder="1" applyAlignment="1">
      <alignment horizontal="left" vertical="center" wrapText="1" indent="1" readingOrder="1"/>
    </xf>
    <xf numFmtId="0" fontId="128" fillId="0" borderId="124" xfId="0" applyFont="1" applyBorder="1" applyAlignment="1">
      <alignment horizontal="left" indent="3"/>
    </xf>
    <xf numFmtId="0" fontId="110" fillId="0" borderId="124" xfId="0" applyFont="1" applyBorder="1" applyAlignment="1">
      <alignment vertical="center" wrapText="1" readingOrder="1"/>
    </xf>
    <xf numFmtId="0" fontId="128" fillId="0" borderId="124" xfId="0" applyFont="1" applyBorder="1" applyAlignment="1">
      <alignment horizontal="left" indent="2"/>
    </xf>
    <xf numFmtId="0" fontId="107" fillId="0" borderId="120" xfId="0" applyFont="1" applyBorder="1" applyAlignment="1">
      <alignment vertical="center" wrapText="1" readingOrder="1"/>
    </xf>
    <xf numFmtId="0" fontId="128" fillId="0" borderId="128" xfId="0" applyFont="1" applyBorder="1" applyAlignment="1">
      <alignment horizontal="left" indent="2"/>
    </xf>
    <xf numFmtId="0" fontId="107" fillId="0" borderId="119" xfId="0" applyFont="1" applyBorder="1" applyAlignment="1">
      <alignment vertical="center" wrapText="1" readingOrder="1"/>
    </xf>
    <xf numFmtId="0" fontId="107" fillId="0" borderId="118" xfId="0" applyFont="1" applyBorder="1" applyAlignment="1">
      <alignment vertical="center" wrapText="1" readingOrder="1"/>
    </xf>
    <xf numFmtId="0" fontId="128" fillId="0" borderId="7" xfId="0" applyFont="1" applyBorder="1"/>
    <xf numFmtId="167" fontId="129" fillId="79" borderId="57" xfId="0" applyNumberFormat="1" applyFont="1" applyFill="1" applyBorder="1" applyAlignment="1">
      <alignment horizontal="center"/>
    </xf>
    <xf numFmtId="0" fontId="93" fillId="0" borderId="0" xfId="11" applyFont="1"/>
    <xf numFmtId="0" fontId="93" fillId="0" borderId="0" xfId="0" applyFont="1"/>
    <xf numFmtId="14" fontId="3" fillId="0" borderId="0" xfId="0" applyNumberFormat="1" applyFont="1"/>
    <xf numFmtId="0" fontId="130" fillId="0" borderId="0" xfId="11" applyFont="1"/>
    <xf numFmtId="0" fontId="131" fillId="0" borderId="0" xfId="0" applyFont="1"/>
    <xf numFmtId="0" fontId="132" fillId="80" borderId="16" xfId="0" applyFont="1" applyFill="1" applyBorder="1" applyAlignment="1">
      <alignment horizontal="center" vertical="center"/>
    </xf>
    <xf numFmtId="0" fontId="132" fillId="80" borderId="17" xfId="0" applyFont="1" applyFill="1" applyBorder="1" applyAlignment="1">
      <alignment horizontal="center" vertical="center"/>
    </xf>
    <xf numFmtId="0" fontId="132" fillId="81" borderId="124" xfId="0" applyFont="1" applyFill="1" applyBorder="1" applyAlignment="1">
      <alignment horizontal="left" vertical="center"/>
    </xf>
    <xf numFmtId="192" fontId="132" fillId="81" borderId="81" xfId="7" applyNumberFormat="1" applyFont="1" applyFill="1" applyBorder="1" applyAlignment="1">
      <alignment horizontal="left" vertical="center"/>
    </xf>
    <xf numFmtId="49" fontId="134" fillId="0" borderId="124" xfId="0" applyNumberFormat="1" applyFont="1" applyBorder="1" applyAlignment="1">
      <alignment horizontal="left" vertical="center"/>
    </xf>
    <xf numFmtId="192" fontId="134" fillId="0" borderId="81" xfId="7" applyNumberFormat="1" applyFont="1" applyFill="1" applyBorder="1" applyAlignment="1">
      <alignment horizontal="left" vertical="center"/>
    </xf>
    <xf numFmtId="0" fontId="134" fillId="0" borderId="124" xfId="0" applyFont="1" applyBorder="1" applyAlignment="1">
      <alignment horizontal="left" vertical="center"/>
    </xf>
    <xf numFmtId="0" fontId="132" fillId="0" borderId="124" xfId="0" applyFont="1" applyBorder="1" applyAlignment="1">
      <alignment horizontal="left" vertical="center"/>
    </xf>
    <xf numFmtId="10" fontId="93" fillId="0" borderId="81" xfId="0" applyNumberFormat="1" applyFont="1" applyBorder="1" applyAlignment="1">
      <alignment horizontal="right" vertical="center" wrapText="1"/>
    </xf>
    <xf numFmtId="0" fontId="136" fillId="82" borderId="22" xfId="0" applyFont="1" applyFill="1" applyBorder="1" applyAlignment="1">
      <alignment horizontal="left" vertical="center"/>
    </xf>
    <xf numFmtId="10" fontId="130" fillId="83" borderId="23" xfId="0" applyNumberFormat="1" applyFont="1" applyFill="1" applyBorder="1" applyAlignment="1">
      <alignment horizontal="right" vertical="center" wrapText="1"/>
    </xf>
    <xf numFmtId="0" fontId="137" fillId="0" borderId="0" xfId="0" applyFont="1" applyAlignment="1">
      <alignment vertical="top" wrapText="1"/>
    </xf>
    <xf numFmtId="0" fontId="139" fillId="0" borderId="0" xfId="0" applyFont="1" applyAlignment="1">
      <alignment vertical="top"/>
    </xf>
    <xf numFmtId="0" fontId="139"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1" xfId="7" applyNumberFormat="1" applyFont="1" applyFill="1" applyBorder="1" applyAlignment="1">
      <alignment vertical="center"/>
    </xf>
    <xf numFmtId="0" fontId="134"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0" fillId="81" borderId="124" xfId="0" applyFont="1" applyFill="1" applyBorder="1" applyAlignment="1">
      <alignment horizontal="left" vertical="center" wrapText="1" indent="5"/>
    </xf>
    <xf numFmtId="0" fontId="141" fillId="80" borderId="124" xfId="0" applyFont="1" applyFill="1" applyBorder="1" applyAlignment="1">
      <alignment horizontal="left" vertical="center" wrapText="1" indent="1"/>
    </xf>
    <xf numFmtId="192" fontId="141" fillId="80" borderId="124" xfId="7" applyNumberFormat="1" applyFont="1" applyFill="1" applyBorder="1" applyAlignment="1">
      <alignment vertical="center"/>
    </xf>
    <xf numFmtId="192" fontId="141" fillId="82" borderId="81" xfId="7" applyNumberFormat="1" applyFont="1" applyFill="1" applyBorder="1" applyAlignment="1">
      <alignment vertical="center"/>
    </xf>
    <xf numFmtId="192" fontId="142" fillId="81" borderId="124" xfId="7" applyNumberFormat="1" applyFont="1" applyFill="1" applyBorder="1" applyAlignment="1">
      <alignment vertical="center"/>
    </xf>
    <xf numFmtId="192" fontId="142" fillId="82" borderId="81" xfId="7" applyNumberFormat="1" applyFont="1" applyFill="1" applyBorder="1" applyAlignment="1">
      <alignment vertical="center"/>
    </xf>
    <xf numFmtId="192" fontId="142" fillId="81" borderId="22" xfId="7" applyNumberFormat="1" applyFont="1" applyFill="1" applyBorder="1" applyAlignment="1">
      <alignment vertical="center"/>
    </xf>
    <xf numFmtId="192" fontId="142" fillId="82" borderId="23" xfId="7" applyNumberFormat="1" applyFont="1" applyFill="1" applyBorder="1" applyAlignment="1">
      <alignment vertical="center"/>
    </xf>
    <xf numFmtId="169" fontId="9" fillId="36" borderId="93" xfId="20" applyBorder="1"/>
    <xf numFmtId="0" fontId="91" fillId="0" borderId="184" xfId="0" applyFont="1" applyBorder="1" applyAlignment="1">
      <alignment horizontal="center" vertical="center" wrapText="1"/>
    </xf>
    <xf numFmtId="0" fontId="91" fillId="0" borderId="0" xfId="0" applyFont="1"/>
    <xf numFmtId="0" fontId="346" fillId="0" borderId="0" xfId="0" applyFont="1"/>
    <xf numFmtId="14" fontId="91" fillId="0" borderId="0" xfId="0" applyNumberFormat="1" applyFont="1"/>
    <xf numFmtId="0" fontId="91" fillId="0" borderId="111" xfId="0" applyFont="1" applyBorder="1" applyAlignment="1">
      <alignment horizontal="center" vertical="center" wrapText="1"/>
    </xf>
    <xf numFmtId="0" fontId="347" fillId="0" borderId="111" xfId="0" applyFont="1" applyBorder="1" applyAlignment="1">
      <alignment horizontal="center" vertical="center"/>
    </xf>
    <xf numFmtId="0" fontId="346" fillId="0" borderId="111" xfId="0" applyFont="1" applyBorder="1" applyAlignment="1">
      <alignment horizontal="center"/>
    </xf>
    <xf numFmtId="0" fontId="348" fillId="0" borderId="111" xfId="20954" applyFont="1" applyBorder="1" applyAlignment="1">
      <alignment horizontal="center" vertical="center" wrapText="1"/>
    </xf>
    <xf numFmtId="0" fontId="346" fillId="0" borderId="124" xfId="0" applyFont="1" applyBorder="1" applyAlignment="1">
      <alignment horizontal="center"/>
    </xf>
    <xf numFmtId="0" fontId="348" fillId="0" borderId="124" xfId="0" applyFont="1" applyBorder="1" applyAlignment="1">
      <alignment vertical="center" wrapText="1"/>
    </xf>
    <xf numFmtId="0" fontId="348" fillId="0" borderId="124" xfId="20954" applyFont="1" applyBorder="1" applyAlignment="1">
      <alignment horizontal="center" vertical="center" wrapText="1"/>
    </xf>
    <xf numFmtId="0" fontId="350" fillId="0" borderId="0" xfId="0" applyFont="1" applyAlignment="1">
      <alignment horizontal="justify"/>
    </xf>
    <xf numFmtId="0" fontId="348" fillId="0" borderId="124" xfId="0" applyFont="1" applyBorder="1" applyAlignment="1">
      <alignment horizontal="left" vertical="center" wrapText="1"/>
    </xf>
    <xf numFmtId="0" fontId="346" fillId="0" borderId="0" xfId="0" applyFont="1" applyAlignment="1">
      <alignment horizontal="center"/>
    </xf>
    <xf numFmtId="0" fontId="346" fillId="0" borderId="0" xfId="0" applyFont="1" applyAlignment="1">
      <alignment horizontal="left" vertical="center"/>
    </xf>
    <xf numFmtId="191" fontId="2" fillId="0" borderId="124" xfId="0" applyNumberFormat="1" applyFont="1" applyBorder="1" applyAlignment="1">
      <alignment horizontal="right"/>
    </xf>
    <xf numFmtId="191" fontId="2" fillId="35" borderId="124"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4" xfId="0" applyFont="1" applyBorder="1" applyAlignment="1">
      <alignment vertical="center"/>
    </xf>
    <xf numFmtId="0" fontId="45" fillId="0" borderId="124" xfId="0" applyFont="1" applyBorder="1" applyAlignment="1">
      <alignment vertical="center" wrapText="1"/>
    </xf>
    <xf numFmtId="191" fontId="91" fillId="35" borderId="190" xfId="0" applyNumberFormat="1" applyFont="1" applyFill="1" applyBorder="1" applyAlignment="1">
      <alignment horizontal="right"/>
    </xf>
    <xf numFmtId="0" fontId="348" fillId="0" borderId="190" xfId="20954" applyFont="1" applyBorder="1" applyAlignment="1">
      <alignment horizontal="left" vertical="center" wrapText="1"/>
    </xf>
    <xf numFmtId="191" fontId="91"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1" fillId="3" borderId="0" xfId="37364" applyFont="1" applyFill="1" applyAlignment="1" applyProtection="1">
      <alignment vertical="center"/>
      <protection locked="0"/>
    </xf>
    <xf numFmtId="0" fontId="128" fillId="3" borderId="190" xfId="5" applyFont="1" applyFill="1" applyBorder="1" applyAlignment="1" applyProtection="1">
      <alignment vertical="center" wrapText="1"/>
      <protection locked="0"/>
    </xf>
    <xf numFmtId="0" fontId="128" fillId="0" borderId="190" xfId="37365" applyFont="1" applyBorder="1" applyAlignment="1" applyProtection="1">
      <alignment horizontal="center" vertical="center" wrapText="1"/>
      <protection locked="0"/>
    </xf>
    <xf numFmtId="3" fontId="128" fillId="3" borderId="190" xfId="1" applyNumberFormat="1" applyFont="1" applyFill="1" applyBorder="1" applyAlignment="1" applyProtection="1">
      <alignment horizontal="center" vertical="center" wrapText="1"/>
      <protection locked="0"/>
    </xf>
    <xf numFmtId="9" fontId="128" fillId="3" borderId="190" xfId="15" applyNumberFormat="1" applyFont="1" applyFill="1" applyBorder="1" applyAlignment="1" applyProtection="1">
      <alignment horizontal="center" vertical="center" wrapText="1"/>
      <protection locked="0"/>
    </xf>
    <xf numFmtId="0" fontId="128" fillId="3" borderId="190" xfId="37365" applyFont="1" applyFill="1" applyBorder="1" applyAlignment="1" applyProtection="1">
      <alignment horizontal="center" vertical="center" wrapText="1"/>
      <protection locked="0"/>
    </xf>
    <xf numFmtId="0" fontId="351" fillId="3" borderId="190" xfId="37365" applyFont="1" applyFill="1" applyBorder="1" applyProtection="1">
      <protection locked="0"/>
    </xf>
    <xf numFmtId="3" fontId="128" fillId="151" borderId="190" xfId="5" applyNumberFormat="1" applyFont="1" applyFill="1" applyBorder="1"/>
    <xf numFmtId="0" fontId="352" fillId="3" borderId="190" xfId="37365" applyFont="1" applyFill="1" applyBorder="1" applyAlignment="1" applyProtection="1">
      <alignment horizontal="right"/>
      <protection locked="0"/>
    </xf>
    <xf numFmtId="359" fontId="128" fillId="151" borderId="190" xfId="5" applyNumberFormat="1" applyFont="1" applyFill="1" applyBorder="1" applyProtection="1">
      <protection locked="0"/>
    </xf>
    <xf numFmtId="164" fontId="128" fillId="151" borderId="190" xfId="1" applyNumberFormat="1" applyFont="1" applyFill="1" applyBorder="1" applyAlignment="1" applyProtection="1"/>
    <xf numFmtId="0" fontId="128" fillId="3" borderId="190" xfId="37365" applyFont="1" applyFill="1" applyBorder="1" applyAlignment="1" applyProtection="1">
      <alignment horizontal="left" vertical="center"/>
      <protection locked="0"/>
    </xf>
    <xf numFmtId="3" fontId="128" fillId="3" borderId="190" xfId="5" applyNumberFormat="1" applyFont="1" applyFill="1" applyBorder="1" applyProtection="1">
      <protection locked="0"/>
    </xf>
    <xf numFmtId="0" fontId="128" fillId="3" borderId="190" xfId="5" applyFont="1" applyFill="1" applyBorder="1" applyProtection="1">
      <protection locked="0"/>
    </xf>
    <xf numFmtId="0" fontId="353" fillId="3" borderId="190" xfId="37365" applyFont="1" applyFill="1" applyBorder="1" applyAlignment="1" applyProtection="1">
      <alignment horizontal="right"/>
      <protection locked="0"/>
    </xf>
    <xf numFmtId="0" fontId="128" fillId="0" borderId="190" xfId="37365" applyFont="1" applyBorder="1" applyAlignment="1" applyProtection="1">
      <alignment horizontal="left" vertical="center"/>
      <protection locked="0"/>
    </xf>
    <xf numFmtId="0" fontId="351" fillId="3" borderId="190" xfId="16" applyFont="1" applyFill="1" applyBorder="1" applyProtection="1">
      <protection locked="0"/>
    </xf>
    <xf numFmtId="3" fontId="351" fillId="75" borderId="190" xfId="16" applyNumberFormat="1" applyFont="1" applyFill="1" applyBorder="1"/>
    <xf numFmtId="0" fontId="356" fillId="0" borderId="0" xfId="37364" applyFont="1" applyAlignment="1" applyProtection="1">
      <alignment vertical="center"/>
      <protection locked="0"/>
    </xf>
    <xf numFmtId="0" fontId="128" fillId="0" borderId="190" xfId="37365" applyFont="1" applyBorder="1" applyAlignment="1" applyProtection="1">
      <alignment horizontal="center" vertical="top" wrapText="1"/>
      <protection locked="0"/>
    </xf>
    <xf numFmtId="0" fontId="351" fillId="3" borderId="190" xfId="37365" applyFont="1" applyFill="1" applyBorder="1" applyAlignment="1" applyProtection="1">
      <alignment wrapText="1"/>
      <protection locked="0"/>
    </xf>
    <xf numFmtId="3" fontId="128" fillId="0" borderId="190" xfId="5" applyNumberFormat="1" applyFont="1" applyBorder="1"/>
    <xf numFmtId="0" fontId="117" fillId="75" borderId="97" xfId="20952" applyFont="1" applyFill="1" applyBorder="1">
      <alignment vertical="center"/>
    </xf>
    <xf numFmtId="0" fontId="117" fillId="75" borderId="98" xfId="20952" applyFont="1" applyFill="1" applyBorder="1">
      <alignment vertical="center"/>
    </xf>
    <xf numFmtId="0" fontId="117" fillId="75" borderId="95" xfId="20952" applyFont="1" applyFill="1" applyBorder="1">
      <alignment vertical="center"/>
    </xf>
    <xf numFmtId="164" fontId="117" fillId="75" borderId="95" xfId="7" applyNumberFormat="1" applyFont="1" applyFill="1" applyBorder="1" applyAlignment="1">
      <alignment horizontal="right" vertical="center"/>
    </xf>
    <xf numFmtId="0" fontId="117" fillId="76" borderId="98" xfId="20952" applyFont="1" applyFill="1" applyBorder="1">
      <alignment vertical="center"/>
    </xf>
    <xf numFmtId="0" fontId="117" fillId="3" borderId="98" xfId="20952" applyFont="1" applyFill="1" applyBorder="1">
      <alignment vertical="center"/>
    </xf>
    <xf numFmtId="0" fontId="91" fillId="69" borderId="94" xfId="20952" applyFont="1" applyFill="1" applyBorder="1" applyAlignment="1">
      <alignment horizontal="center" vertical="center"/>
    </xf>
    <xf numFmtId="0" fontId="91" fillId="69" borderId="95" xfId="20952" applyFont="1" applyFill="1" applyBorder="1" applyAlignment="1">
      <alignment horizontal="left" vertical="center" wrapText="1"/>
    </xf>
    <xf numFmtId="164" fontId="91" fillId="0" borderId="96" xfId="7" applyNumberFormat="1" applyFont="1" applyFill="1" applyBorder="1" applyAlignment="1" applyProtection="1">
      <alignment horizontal="right" vertical="center"/>
      <protection locked="0"/>
    </xf>
    <xf numFmtId="0" fontId="117" fillId="76" borderId="96" xfId="20952" applyFont="1" applyFill="1" applyBorder="1" applyAlignment="1">
      <alignment horizontal="center" vertical="center"/>
    </xf>
    <xf numFmtId="0" fontId="117" fillId="76" borderId="98" xfId="20952" applyFont="1" applyFill="1" applyBorder="1" applyAlignment="1">
      <alignment vertical="top" wrapText="1"/>
    </xf>
    <xf numFmtId="0" fontId="91" fillId="69" borderId="98" xfId="20952" applyFont="1" applyFill="1" applyBorder="1" applyAlignment="1">
      <alignment vertical="center" wrapText="1"/>
    </xf>
    <xf numFmtId="0" fontId="91" fillId="69" borderId="95" xfId="20952" applyFont="1" applyFill="1" applyBorder="1" applyAlignment="1">
      <alignment horizontal="left" vertical="center"/>
    </xf>
    <xf numFmtId="0" fontId="91" fillId="3" borderId="94" xfId="20952" applyFont="1" applyFill="1" applyBorder="1" applyAlignment="1">
      <alignment horizontal="center" vertical="center"/>
    </xf>
    <xf numFmtId="164" fontId="91" fillId="76" borderId="96" xfId="7" applyNumberFormat="1" applyFont="1" applyFill="1" applyBorder="1" applyAlignment="1" applyProtection="1">
      <alignment horizontal="right" vertical="center"/>
      <protection locked="0"/>
    </xf>
    <xf numFmtId="164" fontId="91" fillId="3" borderId="96" xfId="7" applyNumberFormat="1" applyFont="1" applyFill="1" applyBorder="1" applyAlignment="1" applyProtection="1">
      <alignment horizontal="right" vertical="center"/>
      <protection locked="0"/>
    </xf>
    <xf numFmtId="0" fontId="91" fillId="69" borderId="96" xfId="20952" applyFont="1" applyFill="1" applyBorder="1" applyAlignment="1">
      <alignment horizontal="center" vertical="center"/>
    </xf>
    <xf numFmtId="0" fontId="346" fillId="0" borderId="0" xfId="0" applyFont="1" applyAlignment="1">
      <alignment wrapText="1"/>
    </xf>
    <xf numFmtId="0" fontId="103" fillId="69" borderId="197" xfId="20952" applyFont="1" applyFill="1" applyBorder="1" applyAlignment="1" applyProtection="1">
      <alignment horizontal="center" vertical="center"/>
      <protection locked="0"/>
    </xf>
    <xf numFmtId="0" fontId="104" fillId="76" borderId="190" xfId="20952" applyFont="1" applyFill="1" applyBorder="1" applyAlignment="1" applyProtection="1">
      <alignment horizontal="center" vertical="center"/>
      <protection locked="0"/>
    </xf>
    <xf numFmtId="10" fontId="3" fillId="0" borderId="190" xfId="20950" applyNumberFormat="1" applyFont="1" applyFill="1" applyBorder="1" applyAlignment="1" applyProtection="1">
      <alignment horizontal="right" vertical="center" wrapText="1"/>
      <protection locked="0"/>
    </xf>
    <xf numFmtId="191" fontId="93" fillId="0" borderId="190" xfId="0" applyNumberFormat="1" applyFont="1" applyBorder="1" applyAlignment="1" applyProtection="1">
      <alignment vertical="center" wrapText="1"/>
      <protection locked="0"/>
    </xf>
    <xf numFmtId="164" fontId="346" fillId="0" borderId="124" xfId="7" applyNumberFormat="1" applyFont="1" applyBorder="1"/>
    <xf numFmtId="164" fontId="346" fillId="35" borderId="124" xfId="7" applyNumberFormat="1" applyFont="1" applyFill="1" applyBorder="1"/>
    <xf numFmtId="164" fontId="0" fillId="0" borderId="190" xfId="7" applyNumberFormat="1" applyFont="1" applyBorder="1"/>
    <xf numFmtId="164" fontId="346" fillId="0" borderId="111" xfId="7" applyNumberFormat="1" applyFont="1" applyBorder="1"/>
    <xf numFmtId="164" fontId="346" fillId="35" borderId="111" xfId="7" applyNumberFormat="1" applyFont="1" applyFill="1" applyBorder="1"/>
    <xf numFmtId="164" fontId="346" fillId="0" borderId="111" xfId="7" applyNumberFormat="1" applyFont="1" applyBorder="1" applyAlignment="1">
      <alignment vertical="center"/>
    </xf>
    <xf numFmtId="164" fontId="346" fillId="35" borderId="111" xfId="7" applyNumberFormat="1" applyFont="1" applyFill="1" applyBorder="1" applyAlignment="1">
      <alignment vertical="center"/>
    </xf>
    <xf numFmtId="164" fontId="346" fillId="0" borderId="0" xfId="0" applyNumberFormat="1" applyFont="1"/>
    <xf numFmtId="0" fontId="121" fillId="0" borderId="204" xfId="0" applyFont="1" applyBorder="1" applyAlignment="1">
      <alignment horizontal="justify" vertical="center" wrapText="1"/>
    </xf>
    <xf numFmtId="0" fontId="120" fillId="0" borderId="204" xfId="0" applyFont="1" applyBorder="1" applyAlignment="1">
      <alignment horizontal="left" vertical="center" wrapText="1" indent="1"/>
    </xf>
    <xf numFmtId="0" fontId="119" fillId="0" borderId="204" xfId="0" applyFont="1" applyBorder="1" applyAlignment="1">
      <alignment horizontal="justify" vertical="center" wrapText="1"/>
    </xf>
    <xf numFmtId="0" fontId="121" fillId="3" borderId="204" xfId="0" applyFont="1" applyFill="1" applyBorder="1" applyAlignment="1">
      <alignment horizontal="justify" vertical="center" wrapText="1"/>
    </xf>
    <xf numFmtId="0" fontId="122" fillId="0" borderId="204" xfId="0" applyFont="1" applyBorder="1" applyAlignment="1">
      <alignment horizontal="left" vertical="center" wrapText="1" indent="1"/>
    </xf>
    <xf numFmtId="0" fontId="121" fillId="0" borderId="204" xfId="0" applyFont="1" applyBorder="1" applyAlignment="1">
      <alignment horizontal="left" vertical="center" wrapText="1"/>
    </xf>
    <xf numFmtId="0" fontId="119" fillId="0" borderId="204" xfId="0" applyFont="1" applyBorder="1" applyAlignment="1">
      <alignment vertical="center" wrapText="1"/>
    </xf>
    <xf numFmtId="0" fontId="120" fillId="0" borderId="204" xfId="0" applyFont="1" applyBorder="1" applyAlignment="1">
      <alignment horizontal="left" vertical="center" wrapText="1"/>
    </xf>
    <xf numFmtId="0" fontId="121" fillId="0" borderId="204" xfId="0" applyFont="1" applyBorder="1" applyAlignment="1">
      <alignment vertical="center" wrapText="1"/>
    </xf>
    <xf numFmtId="0" fontId="121" fillId="3" borderId="204" xfId="0" applyFont="1" applyFill="1" applyBorder="1" applyAlignment="1">
      <alignment vertical="center" wrapText="1"/>
    </xf>
    <xf numFmtId="164" fontId="0" fillId="0" borderId="124" xfId="7" applyNumberFormat="1" applyFont="1" applyBorder="1"/>
    <xf numFmtId="164" fontId="0" fillId="0" borderId="0" xfId="0" applyNumberFormat="1"/>
    <xf numFmtId="164" fontId="0" fillId="35" borderId="124" xfId="7" applyNumberFormat="1" applyFont="1" applyFill="1" applyBorder="1"/>
    <xf numFmtId="164" fontId="0" fillId="35" borderId="190" xfId="7" applyNumberFormat="1" applyFont="1" applyFill="1" applyBorder="1"/>
    <xf numFmtId="164" fontId="100" fillId="0" borderId="96" xfId="7" applyNumberFormat="1" applyFont="1" applyBorder="1" applyAlignment="1">
      <alignment vertical="center" wrapText="1"/>
    </xf>
    <xf numFmtId="164" fontId="100" fillId="0" borderId="97" xfId="7" applyNumberFormat="1" applyFont="1" applyBorder="1" applyAlignment="1">
      <alignment vertical="center" wrapText="1"/>
    </xf>
    <xf numFmtId="164" fontId="100" fillId="0" borderId="84" xfId="7" applyNumberFormat="1" applyFont="1" applyBorder="1" applyAlignment="1">
      <alignment vertical="center" wrapText="1"/>
    </xf>
    <xf numFmtId="43" fontId="88" fillId="0" borderId="0" xfId="7" applyFont="1"/>
    <xf numFmtId="191" fontId="85" fillId="0" borderId="0" xfId="0" applyNumberFormat="1" applyFont="1"/>
    <xf numFmtId="43" fontId="85" fillId="0" borderId="0" xfId="7" applyFont="1"/>
    <xf numFmtId="164" fontId="85" fillId="0" borderId="0" xfId="7" applyNumberFormat="1" applyFont="1"/>
    <xf numFmtId="10" fontId="3" fillId="0" borderId="205" xfId="20950" applyNumberFormat="1" applyFont="1" applyBorder="1"/>
    <xf numFmtId="0" fontId="2" fillId="0" borderId="87" xfId="0" applyFont="1" applyBorder="1" applyAlignment="1">
      <alignment vertical="center"/>
    </xf>
    <xf numFmtId="0" fontId="2" fillId="0" borderId="187" xfId="0" applyFont="1" applyBorder="1" applyAlignment="1">
      <alignment wrapText="1"/>
    </xf>
    <xf numFmtId="10" fontId="3" fillId="0" borderId="206" xfId="20950" applyNumberFormat="1" applyFont="1" applyBorder="1"/>
    <xf numFmtId="164" fontId="84" fillId="0" borderId="80" xfId="7" applyNumberFormat="1" applyFont="1" applyFill="1" applyBorder="1" applyAlignment="1">
      <alignment horizontal="center" vertical="center"/>
    </xf>
    <xf numFmtId="164" fontId="84" fillId="0" borderId="124" xfId="7" applyNumberFormat="1" applyFont="1" applyFill="1" applyBorder="1" applyAlignment="1">
      <alignment horizontal="center" vertical="center"/>
    </xf>
    <xf numFmtId="164" fontId="3" fillId="0" borderId="207" xfId="7" applyNumberFormat="1" applyFont="1" applyFill="1" applyBorder="1" applyAlignment="1">
      <alignment vertical="center" wrapText="1"/>
    </xf>
    <xf numFmtId="43" fontId="85" fillId="0" borderId="0" xfId="0" applyNumberFormat="1" applyFont="1"/>
    <xf numFmtId="191" fontId="84" fillId="0" borderId="0" xfId="0" applyNumberFormat="1" applyFont="1"/>
    <xf numFmtId="43" fontId="84" fillId="0" borderId="0" xfId="7" applyFont="1"/>
    <xf numFmtId="10" fontId="3" fillId="0" borderId="0" xfId="0" applyNumberFormat="1" applyFont="1" applyAlignment="1">
      <alignment horizontal="left" vertical="center"/>
    </xf>
    <xf numFmtId="43" fontId="3" fillId="0" borderId="0" xfId="7" applyFont="1"/>
    <xf numFmtId="43" fontId="91" fillId="0" borderId="0" xfId="7" applyFont="1"/>
    <xf numFmtId="43" fontId="3" fillId="0" borderId="0" xfId="7" applyFont="1" applyAlignment="1">
      <alignment horizontal="center" vertical="center"/>
    </xf>
    <xf numFmtId="43" fontId="3" fillId="0" borderId="0" xfId="7" applyFont="1" applyAlignment="1">
      <alignment horizontal="left" vertical="center"/>
    </xf>
    <xf numFmtId="164" fontId="86" fillId="0" borderId="31" xfId="7" applyNumberFormat="1" applyFont="1" applyBorder="1" applyAlignment="1">
      <alignment vertical="center"/>
    </xf>
    <xf numFmtId="164" fontId="84" fillId="0" borderId="11" xfId="7" applyNumberFormat="1" applyFont="1" applyBorder="1" applyAlignment="1">
      <alignment vertical="center"/>
    </xf>
    <xf numFmtId="164" fontId="86" fillId="0" borderId="11" xfId="7" applyNumberFormat="1" applyFont="1" applyBorder="1" applyAlignment="1">
      <alignment vertical="center"/>
    </xf>
    <xf numFmtId="164" fontId="87" fillId="0" borderId="11" xfId="7" applyNumberFormat="1" applyFont="1" applyBorder="1" applyAlignment="1">
      <alignment vertical="center"/>
    </xf>
    <xf numFmtId="164" fontId="84" fillId="0" borderId="12" xfId="7" applyNumberFormat="1" applyFont="1" applyBorder="1" applyAlignment="1">
      <alignment vertical="center"/>
    </xf>
    <xf numFmtId="164" fontId="86" fillId="0" borderId="13" xfId="7" applyNumberFormat="1" applyFont="1" applyBorder="1" applyAlignment="1">
      <alignment vertical="center"/>
    </xf>
    <xf numFmtId="164" fontId="86" fillId="0" borderId="14" xfId="7" applyNumberFormat="1" applyFont="1" applyBorder="1" applyAlignment="1">
      <alignment vertical="center"/>
    </xf>
    <xf numFmtId="164" fontId="86" fillId="0" borderId="12" xfId="7" applyNumberFormat="1" applyFont="1" applyBorder="1" applyAlignment="1">
      <alignment vertical="center"/>
    </xf>
    <xf numFmtId="164" fontId="87" fillId="0" borderId="12" xfId="7" applyNumberFormat="1" applyFont="1" applyBorder="1" applyAlignment="1">
      <alignment vertical="center"/>
    </xf>
    <xf numFmtId="164" fontId="84" fillId="0" borderId="124" xfId="7" applyNumberFormat="1" applyFont="1" applyBorder="1" applyAlignment="1">
      <alignment vertical="center"/>
    </xf>
    <xf numFmtId="164" fontId="86" fillId="0" borderId="124" xfId="7" applyNumberFormat="1" applyFont="1" applyBorder="1" applyAlignment="1">
      <alignment vertical="center"/>
    </xf>
    <xf numFmtId="164" fontId="84" fillId="0" borderId="124" xfId="7" applyNumberFormat="1" applyFont="1" applyBorder="1" applyAlignment="1"/>
    <xf numFmtId="164" fontId="86" fillId="0" borderId="124" xfId="7" applyNumberFormat="1" applyFont="1" applyBorder="1" applyAlignment="1"/>
    <xf numFmtId="191" fontId="3" fillId="0" borderId="0" xfId="0" applyNumberFormat="1" applyFont="1"/>
    <xf numFmtId="164" fontId="3" fillId="0" borderId="208" xfId="7" applyNumberFormat="1" applyFont="1" applyBorder="1" applyAlignment="1">
      <alignment vertical="center"/>
    </xf>
    <xf numFmtId="164" fontId="3" fillId="0" borderId="209" xfId="7" applyNumberFormat="1" applyFont="1" applyBorder="1" applyAlignment="1">
      <alignment vertical="center"/>
    </xf>
    <xf numFmtId="164" fontId="3" fillId="0" borderId="187" xfId="7" applyNumberFormat="1" applyFont="1" applyBorder="1" applyAlignment="1">
      <alignment vertical="center"/>
    </xf>
    <xf numFmtId="164" fontId="3" fillId="0" borderId="90" xfId="7" applyNumberFormat="1" applyFont="1" applyBorder="1" applyAlignment="1">
      <alignment vertical="center"/>
    </xf>
    <xf numFmtId="165" fontId="3" fillId="0" borderId="210" xfId="20950" applyNumberFormat="1" applyFont="1" applyBorder="1" applyAlignment="1">
      <alignment vertical="center"/>
    </xf>
    <xf numFmtId="3" fontId="84" fillId="0" borderId="0" xfId="0" applyNumberFormat="1" applyFont="1"/>
    <xf numFmtId="10" fontId="102" fillId="76" borderId="190" xfId="20950" applyNumberFormat="1" applyFont="1" applyFill="1" applyBorder="1" applyAlignment="1" applyProtection="1">
      <alignment horizontal="right" vertical="center"/>
    </xf>
    <xf numFmtId="3" fontId="0" fillId="0" borderId="0" xfId="0" applyNumberFormat="1"/>
    <xf numFmtId="164" fontId="108" fillId="0" borderId="124" xfId="7" applyNumberFormat="1" applyFont="1" applyBorder="1"/>
    <xf numFmtId="164" fontId="111" fillId="0" borderId="124" xfId="7" applyNumberFormat="1" applyFont="1" applyBorder="1"/>
    <xf numFmtId="164" fontId="108" fillId="0" borderId="0" xfId="0" applyNumberFormat="1" applyFont="1"/>
    <xf numFmtId="164" fontId="107" fillId="0" borderId="124" xfId="7" applyNumberFormat="1" applyFont="1" applyBorder="1"/>
    <xf numFmtId="164" fontId="107" fillId="35" borderId="124" xfId="7" applyNumberFormat="1" applyFont="1" applyFill="1" applyBorder="1"/>
    <xf numFmtId="164" fontId="110" fillId="0" borderId="124" xfId="7" applyNumberFormat="1" applyFont="1" applyBorder="1"/>
    <xf numFmtId="43" fontId="110" fillId="0" borderId="190" xfId="7" applyFont="1" applyBorder="1"/>
    <xf numFmtId="0" fontId="107" fillId="0" borderId="190" xfId="0" applyFont="1" applyBorder="1" applyAlignment="1">
      <alignment horizontal="left" indent="1"/>
    </xf>
    <xf numFmtId="0" fontId="107" fillId="0" borderId="190" xfId="0" applyFont="1" applyBorder="1"/>
    <xf numFmtId="43" fontId="107" fillId="0" borderId="190" xfId="7" applyFont="1" applyBorder="1"/>
    <xf numFmtId="43" fontId="107" fillId="0" borderId="190" xfId="7" applyFont="1" applyFill="1" applyBorder="1" applyAlignment="1">
      <alignment horizontal="left" indent="1"/>
    </xf>
    <xf numFmtId="43" fontId="107" fillId="0" borderId="190" xfId="7" applyFont="1" applyFill="1" applyBorder="1"/>
    <xf numFmtId="43" fontId="107" fillId="0" borderId="190" xfId="7" applyFont="1" applyBorder="1" applyAlignment="1">
      <alignment horizontal="left" indent="1"/>
    </xf>
    <xf numFmtId="43" fontId="110" fillId="151" borderId="190" xfId="7" applyFont="1" applyFill="1" applyBorder="1"/>
    <xf numFmtId="43" fontId="107" fillId="0" borderId="0" xfId="0" applyNumberFormat="1" applyFont="1"/>
    <xf numFmtId="164" fontId="110" fillId="0" borderId="67" xfId="7" applyNumberFormat="1" applyFont="1" applyBorder="1"/>
    <xf numFmtId="164" fontId="107" fillId="0" borderId="190" xfId="7" applyNumberFormat="1" applyFont="1" applyBorder="1"/>
    <xf numFmtId="164" fontId="107" fillId="0" borderId="81" xfId="7" applyNumberFormat="1" applyFont="1" applyBorder="1"/>
    <xf numFmtId="164" fontId="107" fillId="0" borderId="184" xfId="7" applyNumberFormat="1" applyFont="1" applyBorder="1" applyAlignment="1">
      <alignment horizontal="left" indent="1"/>
    </xf>
    <xf numFmtId="164" fontId="107" fillId="0" borderId="184" xfId="7" applyNumberFormat="1" applyFont="1" applyBorder="1" applyAlignment="1">
      <alignment horizontal="left" indent="2"/>
    </xf>
    <xf numFmtId="164" fontId="107" fillId="0" borderId="184" xfId="7" applyNumberFormat="1" applyFont="1" applyBorder="1" applyAlignment="1">
      <alignment horizontal="left" indent="3"/>
    </xf>
    <xf numFmtId="164" fontId="107" fillId="78" borderId="184" xfId="7" applyNumberFormat="1" applyFont="1" applyFill="1" applyBorder="1"/>
    <xf numFmtId="164" fontId="107" fillId="78" borderId="190" xfId="7" applyNumberFormat="1" applyFont="1" applyFill="1" applyBorder="1"/>
    <xf numFmtId="164" fontId="107" fillId="78" borderId="81" xfId="7" applyNumberFormat="1" applyFont="1" applyFill="1" applyBorder="1"/>
    <xf numFmtId="164" fontId="107" fillId="0" borderId="184" xfId="7" applyNumberFormat="1" applyFont="1" applyBorder="1" applyAlignment="1">
      <alignment horizontal="left" vertical="top" wrapText="1" indent="2"/>
    </xf>
    <xf numFmtId="164" fontId="107" fillId="0" borderId="184" xfId="7" applyNumberFormat="1" applyFont="1" applyBorder="1" applyAlignment="1">
      <alignment horizontal="left" wrapText="1" indent="3"/>
    </xf>
    <xf numFmtId="164" fontId="107" fillId="0" borderId="184" xfId="7" applyNumberFormat="1" applyFont="1" applyBorder="1" applyAlignment="1">
      <alignment horizontal="left" wrapText="1" indent="2"/>
    </xf>
    <xf numFmtId="164" fontId="107" fillId="0" borderId="184" xfId="7" applyNumberFormat="1" applyFont="1" applyBorder="1" applyAlignment="1">
      <alignment horizontal="left" wrapText="1" indent="1"/>
    </xf>
    <xf numFmtId="164" fontId="107" fillId="0" borderId="211" xfId="7" applyNumberFormat="1" applyFont="1" applyBorder="1" applyAlignment="1">
      <alignment horizontal="left" wrapText="1" indent="1"/>
    </xf>
    <xf numFmtId="164" fontId="107" fillId="0" borderId="203" xfId="7" applyNumberFormat="1" applyFont="1" applyBorder="1"/>
    <xf numFmtId="164" fontId="107" fillId="0" borderId="212" xfId="7" applyNumberFormat="1" applyFont="1" applyBorder="1"/>
    <xf numFmtId="164" fontId="107" fillId="0" borderId="0" xfId="0" applyNumberFormat="1" applyFont="1"/>
    <xf numFmtId="164" fontId="107" fillId="0" borderId="190" xfId="7" applyNumberFormat="1" applyFont="1" applyBorder="1" applyAlignment="1">
      <alignment horizontal="left" vertical="center" wrapText="1"/>
    </xf>
    <xf numFmtId="164" fontId="107" fillId="0" borderId="190" xfId="7" applyNumberFormat="1" applyFont="1" applyBorder="1" applyAlignment="1">
      <alignment horizontal="center" vertical="center" textRotation="90" wrapText="1"/>
    </xf>
    <xf numFmtId="164" fontId="107" fillId="0" borderId="190" xfId="7" applyNumberFormat="1" applyFont="1" applyBorder="1" applyAlignment="1">
      <alignment horizontal="center" vertical="center" wrapText="1"/>
    </xf>
    <xf numFmtId="164" fontId="107" fillId="0" borderId="190" xfId="7" applyNumberFormat="1" applyFont="1" applyBorder="1" applyAlignment="1">
      <alignment horizontal="center" vertical="center"/>
    </xf>
    <xf numFmtId="43" fontId="110" fillId="0" borderId="190" xfId="7" applyFont="1" applyBorder="1" applyAlignment="1">
      <alignment horizontal="left" vertical="center" wrapText="1"/>
    </xf>
    <xf numFmtId="43" fontId="112" fillId="0" borderId="0" xfId="7" applyFont="1"/>
    <xf numFmtId="43" fontId="112" fillId="0" borderId="190" xfId="7" applyFont="1" applyBorder="1"/>
    <xf numFmtId="0" fontId="112" fillId="0" borderId="190" xfId="0" applyFont="1" applyBorder="1"/>
    <xf numFmtId="43" fontId="112" fillId="0" borderId="197" xfId="7" applyFont="1" applyBorder="1"/>
    <xf numFmtId="0" fontId="112" fillId="0" borderId="197" xfId="0" applyFont="1" applyBorder="1"/>
    <xf numFmtId="10" fontId="112" fillId="0" borderId="197" xfId="20950" applyNumberFormat="1" applyFont="1" applyBorder="1"/>
    <xf numFmtId="43" fontId="128" fillId="0" borderId="0" xfId="0" applyNumberFormat="1" applyFont="1"/>
    <xf numFmtId="0" fontId="348" fillId="0" borderId="190" xfId="0" applyFont="1" applyBorder="1" applyAlignment="1">
      <alignment horizontal="left" vertical="center" wrapText="1"/>
    </xf>
    <xf numFmtId="0" fontId="91" fillId="3" borderId="190" xfId="0" applyFont="1" applyFill="1" applyBorder="1" applyAlignment="1">
      <alignment horizontal="left" vertical="center" wrapText="1" indent="1"/>
    </xf>
    <xf numFmtId="0" fontId="348" fillId="3" borderId="190" xfId="20954" applyFont="1" applyFill="1" applyBorder="1" applyAlignment="1">
      <alignment horizontal="left" vertical="center" wrapText="1"/>
    </xf>
    <xf numFmtId="0" fontId="349" fillId="3" borderId="190" xfId="0" applyFont="1" applyFill="1" applyBorder="1" applyAlignment="1">
      <alignment horizontal="left" vertical="center" wrapText="1" indent="1"/>
    </xf>
    <xf numFmtId="0" fontId="91" fillId="0" borderId="190" xfId="0" applyFont="1" applyBorder="1" applyAlignment="1">
      <alignment horizontal="left" vertical="center" wrapText="1" indent="1"/>
    </xf>
    <xf numFmtId="0" fontId="348" fillId="3" borderId="190" xfId="0" applyFont="1" applyFill="1" applyBorder="1" applyAlignment="1">
      <alignment horizontal="left" vertical="center" wrapText="1"/>
    </xf>
    <xf numFmtId="0" fontId="91" fillId="3" borderId="190" xfId="20954" applyFont="1" applyFill="1" applyBorder="1" applyAlignment="1">
      <alignment horizontal="left" vertical="center" wrapText="1" indent="1"/>
    </xf>
    <xf numFmtId="0" fontId="91" fillId="0" borderId="190" xfId="20954" applyFont="1" applyBorder="1" applyAlignment="1">
      <alignment horizontal="left" vertical="center" wrapText="1" indent="1"/>
    </xf>
    <xf numFmtId="0" fontId="117" fillId="3" borderId="190" xfId="20954" applyFont="1" applyFill="1" applyBorder="1" applyAlignment="1">
      <alignment horizontal="left" vertical="center" wrapText="1"/>
    </xf>
    <xf numFmtId="0" fontId="117" fillId="0" borderId="190" xfId="0" applyFont="1" applyBorder="1" applyAlignment="1">
      <alignment horizontal="left" vertical="center" wrapText="1"/>
    </xf>
    <xf numFmtId="0" fontId="348" fillId="0" borderId="190" xfId="0" applyFont="1" applyBorder="1" applyAlignment="1">
      <alignment vertical="center" wrapText="1"/>
    </xf>
    <xf numFmtId="0" fontId="349" fillId="0" borderId="190" xfId="0" applyFont="1" applyBorder="1" applyAlignment="1">
      <alignment horizontal="left" vertical="center" wrapText="1" indent="1"/>
    </xf>
    <xf numFmtId="0" fontId="349" fillId="0" borderId="190" xfId="20954" applyFont="1" applyBorder="1" applyAlignment="1">
      <alignment horizontal="left" vertical="center" wrapText="1" indent="1"/>
    </xf>
    <xf numFmtId="10" fontId="85" fillId="0" borderId="0" xfId="0" applyNumberFormat="1" applyFont="1"/>
    <xf numFmtId="192" fontId="0" fillId="0" borderId="0" xfId="0" applyNumberFormat="1"/>
    <xf numFmtId="191" fontId="346" fillId="0" borderId="0" xfId="0" applyNumberFormat="1" applyFont="1"/>
    <xf numFmtId="0" fontId="345" fillId="0" borderId="0" xfId="0" applyFont="1"/>
    <xf numFmtId="192" fontId="345" fillId="0" borderId="0" xfId="0" applyNumberFormat="1" applyFont="1"/>
    <xf numFmtId="164" fontId="112" fillId="0" borderId="124" xfId="7" applyNumberFormat="1" applyFont="1" applyBorder="1"/>
    <xf numFmtId="2" fontId="112" fillId="0" borderId="190" xfId="20950" applyNumberFormat="1" applyFont="1" applyBorder="1"/>
    <xf numFmtId="2" fontId="112" fillId="0" borderId="197" xfId="20950" applyNumberFormat="1" applyFont="1" applyBorder="1"/>
    <xf numFmtId="2" fontId="112" fillId="0" borderId="190" xfId="0" applyNumberFormat="1" applyFont="1" applyBorder="1"/>
    <xf numFmtId="43" fontId="3" fillId="0" borderId="207" xfId="7" applyFont="1" applyFill="1" applyBorder="1" applyAlignment="1">
      <alignment vertical="center" wrapText="1"/>
    </xf>
    <xf numFmtId="164" fontId="9" fillId="36" borderId="0" xfId="7" applyNumberFormat="1" applyFont="1" applyFill="1"/>
    <xf numFmtId="164" fontId="3" fillId="0" borderId="85" xfId="7" applyNumberFormat="1" applyFont="1" applyBorder="1" applyAlignment="1">
      <alignment vertical="center"/>
    </xf>
    <xf numFmtId="164" fontId="3" fillId="0" borderId="64" xfId="7" applyNumberFormat="1" applyFont="1" applyBorder="1" applyAlignment="1">
      <alignment vertical="center"/>
    </xf>
    <xf numFmtId="164" fontId="3" fillId="3" borderId="83" xfId="7" applyNumberFormat="1" applyFont="1" applyFill="1" applyBorder="1" applyAlignment="1">
      <alignment vertical="center"/>
    </xf>
    <xf numFmtId="164" fontId="3" fillId="3" borderId="84" xfId="7" applyNumberFormat="1" applyFont="1" applyFill="1" applyBorder="1" applyAlignment="1">
      <alignment vertical="center"/>
    </xf>
    <xf numFmtId="164" fontId="3" fillId="0" borderId="80" xfId="7" applyNumberFormat="1" applyFont="1" applyBorder="1" applyAlignment="1">
      <alignment vertical="center"/>
    </xf>
    <xf numFmtId="164" fontId="3" fillId="0" borderId="86" xfId="7" applyNumberFormat="1" applyFont="1" applyBorder="1" applyAlignment="1">
      <alignment vertical="center"/>
    </xf>
    <xf numFmtId="164" fontId="3" fillId="0" borderId="81" xfId="7" applyNumberFormat="1" applyFont="1" applyBorder="1" applyAlignment="1">
      <alignment vertical="center"/>
    </xf>
    <xf numFmtId="164" fontId="3" fillId="76" borderId="204" xfId="7" applyNumberFormat="1" applyFont="1" applyFill="1" applyBorder="1" applyAlignment="1">
      <alignment vertical="center"/>
    </xf>
    <xf numFmtId="164" fontId="3" fillId="76" borderId="203" xfId="7" applyNumberFormat="1" applyFont="1" applyFill="1" applyBorder="1" applyAlignment="1">
      <alignment vertical="center"/>
    </xf>
    <xf numFmtId="10" fontId="3" fillId="0" borderId="204" xfId="20950" applyNumberFormat="1" applyFont="1" applyFill="1" applyBorder="1" applyAlignment="1" applyProtection="1">
      <alignment horizontal="right" vertical="center" wrapText="1"/>
      <protection locked="0"/>
    </xf>
    <xf numFmtId="10" fontId="3" fillId="0" borderId="204" xfId="20950" applyNumberFormat="1" applyFont="1" applyBorder="1" applyAlignment="1" applyProtection="1">
      <alignment vertical="center" wrapText="1"/>
      <protection locked="0"/>
    </xf>
    <xf numFmtId="10" fontId="3" fillId="0" borderId="207" xfId="20950" applyNumberFormat="1" applyFont="1" applyBorder="1" applyAlignment="1" applyProtection="1">
      <alignment vertical="center" wrapText="1"/>
      <protection locked="0"/>
    </xf>
    <xf numFmtId="10" fontId="91" fillId="2" borderId="204" xfId="20950" applyNumberFormat="1" applyFont="1" applyFill="1" applyBorder="1" applyAlignment="1" applyProtection="1">
      <alignment vertical="center"/>
      <protection locked="0"/>
    </xf>
    <xf numFmtId="10" fontId="358" fillId="2" borderId="204" xfId="20950" applyNumberFormat="1" applyFont="1" applyFill="1" applyBorder="1" applyAlignment="1" applyProtection="1">
      <alignment vertical="center"/>
      <protection locked="0"/>
    </xf>
    <xf numFmtId="10" fontId="358" fillId="2" borderId="207" xfId="20950" applyNumberFormat="1" applyFont="1" applyFill="1" applyBorder="1" applyAlignment="1" applyProtection="1">
      <alignment vertical="center"/>
      <protection locked="0"/>
    </xf>
    <xf numFmtId="10" fontId="91" fillId="2" borderId="207" xfId="20950" applyNumberFormat="1" applyFont="1" applyFill="1" applyBorder="1" applyAlignment="1" applyProtection="1">
      <alignment vertical="center"/>
      <protection locked="0"/>
    </xf>
    <xf numFmtId="191" fontId="91" fillId="2" borderId="204" xfId="0" applyNumberFormat="1" applyFont="1" applyFill="1" applyBorder="1" applyAlignment="1" applyProtection="1">
      <alignment vertical="center"/>
      <protection locked="0"/>
    </xf>
    <xf numFmtId="191" fontId="91" fillId="2" borderId="207" xfId="0" applyNumberFormat="1" applyFont="1" applyFill="1" applyBorder="1" applyAlignment="1" applyProtection="1">
      <alignment vertical="center"/>
      <protection locked="0"/>
    </xf>
    <xf numFmtId="191" fontId="358" fillId="2" borderId="204" xfId="0" applyNumberFormat="1" applyFont="1" applyFill="1" applyBorder="1" applyAlignment="1" applyProtection="1">
      <alignment vertical="center"/>
      <protection locked="0"/>
    </xf>
    <xf numFmtId="191" fontId="358" fillId="2" borderId="207" xfId="0" applyNumberFormat="1" applyFont="1" applyFill="1" applyBorder="1" applyAlignment="1" applyProtection="1">
      <alignment vertical="center"/>
      <protection locked="0"/>
    </xf>
    <xf numFmtId="191" fontId="91" fillId="2" borderId="197" xfId="0" applyNumberFormat="1" applyFont="1" applyFill="1" applyBorder="1" applyAlignment="1" applyProtection="1">
      <alignment vertical="center"/>
      <protection locked="0"/>
    </xf>
    <xf numFmtId="191" fontId="358" fillId="2" borderId="197" xfId="0" applyNumberFormat="1" applyFont="1" applyFill="1" applyBorder="1" applyAlignment="1" applyProtection="1">
      <alignment vertical="center"/>
      <protection locked="0"/>
    </xf>
    <xf numFmtId="191" fontId="358" fillId="2" borderId="90" xfId="0" applyNumberFormat="1" applyFont="1" applyFill="1" applyBorder="1" applyAlignment="1" applyProtection="1">
      <alignment vertical="center"/>
      <protection locked="0"/>
    </xf>
    <xf numFmtId="10" fontId="91" fillId="2" borderId="203" xfId="20950" applyNumberFormat="1" applyFont="1" applyFill="1" applyBorder="1" applyAlignment="1" applyProtection="1">
      <alignment vertical="center"/>
      <protection locked="0"/>
    </xf>
    <xf numFmtId="10" fontId="358" fillId="2" borderId="203" xfId="20950" applyNumberFormat="1" applyFont="1" applyFill="1" applyBorder="1" applyAlignment="1" applyProtection="1">
      <alignment vertical="center"/>
      <protection locked="0"/>
    </xf>
    <xf numFmtId="10" fontId="358" fillId="2" borderId="212" xfId="20950" applyNumberFormat="1" applyFont="1" applyFill="1" applyBorder="1" applyAlignment="1" applyProtection="1">
      <alignment vertical="center"/>
      <protection locked="0"/>
    </xf>
    <xf numFmtId="10" fontId="97" fillId="0" borderId="204" xfId="20950" applyNumberFormat="1" applyFont="1" applyFill="1" applyBorder="1" applyAlignment="1">
      <alignment horizontal="left" vertical="center" wrapText="1"/>
    </xf>
    <xf numFmtId="10" fontId="93" fillId="0" borderId="204" xfId="20950" applyNumberFormat="1" applyFont="1" applyFill="1" applyBorder="1" applyAlignment="1">
      <alignment horizontal="left" vertical="center" wrapText="1"/>
    </xf>
    <xf numFmtId="10" fontId="3" fillId="0" borderId="204" xfId="20950" applyNumberFormat="1" applyFont="1" applyFill="1" applyBorder="1" applyAlignment="1">
      <alignment horizontal="left" vertical="center" wrapText="1"/>
    </xf>
    <xf numFmtId="10" fontId="4" fillId="35" borderId="204" xfId="0" applyNumberFormat="1" applyFont="1" applyFill="1" applyBorder="1" applyAlignment="1">
      <alignment horizontal="left" vertical="center" wrapText="1"/>
    </xf>
    <xf numFmtId="10" fontId="4" fillId="35" borderId="204" xfId="20950" applyNumberFormat="1" applyFont="1" applyFill="1" applyBorder="1" applyAlignment="1">
      <alignment horizontal="left" vertical="center" wrapText="1"/>
    </xf>
    <xf numFmtId="164" fontId="3" fillId="0" borderId="81" xfId="7" applyNumberFormat="1" applyFont="1" applyBorder="1" applyAlignment="1">
      <alignment horizontal="right" vertical="center" wrapText="1"/>
    </xf>
    <xf numFmtId="164" fontId="4" fillId="35" borderId="81" xfId="7" applyNumberFormat="1" applyFont="1" applyFill="1" applyBorder="1" applyAlignment="1">
      <alignment horizontal="left" vertical="center" wrapText="1"/>
    </xf>
    <xf numFmtId="164" fontId="4" fillId="35" borderId="81" xfId="7" applyNumberFormat="1" applyFont="1" applyFill="1" applyBorder="1" applyAlignment="1">
      <alignment horizontal="center" vertical="center" wrapText="1"/>
    </xf>
    <xf numFmtId="164" fontId="3" fillId="0" borderId="23" xfId="7" applyNumberFormat="1" applyFont="1" applyBorder="1" applyAlignment="1">
      <alignment horizontal="right" vertical="center" wrapText="1"/>
    </xf>
    <xf numFmtId="191" fontId="88" fillId="0" borderId="0" xfId="0" applyNumberFormat="1" applyFont="1"/>
    <xf numFmtId="0" fontId="359" fillId="0" borderId="0" xfId="0" applyFont="1"/>
    <xf numFmtId="43" fontId="107" fillId="0" borderId="0" xfId="0" applyNumberFormat="1" applyFont="1" applyAlignment="1">
      <alignment horizontal="left"/>
    </xf>
    <xf numFmtId="10" fontId="112" fillId="0" borderId="204" xfId="20950" applyNumberFormat="1" applyFont="1" applyBorder="1"/>
    <xf numFmtId="0" fontId="112" fillId="0" borderId="204" xfId="0" applyFont="1" applyBorder="1"/>
    <xf numFmtId="169" fontId="85" fillId="0" borderId="0" xfId="7" applyNumberFormat="1" applyFont="1"/>
    <xf numFmtId="10" fontId="85" fillId="0" borderId="0" xfId="7" applyNumberFormat="1" applyFont="1"/>
    <xf numFmtId="10" fontId="345" fillId="0" borderId="0" xfId="7" applyNumberFormat="1" applyFont="1" applyFill="1"/>
    <xf numFmtId="169" fontId="3" fillId="0" borderId="0" xfId="7" applyNumberFormat="1" applyFont="1"/>
    <xf numFmtId="165" fontId="3" fillId="0" borderId="0" xfId="7" applyNumberFormat="1" applyFont="1"/>
    <xf numFmtId="0" fontId="90" fillId="0" borderId="66" xfId="0" applyFont="1" applyBorder="1" applyAlignment="1">
      <alignment horizontal="left" wrapText="1"/>
    </xf>
    <xf numFmtId="0" fontId="90" fillId="0" borderId="65" xfId="0" applyFont="1" applyBorder="1" applyAlignment="1">
      <alignment horizontal="left" wrapText="1"/>
    </xf>
    <xf numFmtId="0" fontId="90" fillId="0" borderId="130" xfId="0" applyFont="1" applyBorder="1" applyAlignment="1">
      <alignment horizontal="center" vertical="center"/>
    </xf>
    <xf numFmtId="0" fontId="90" fillId="0" borderId="30" xfId="0" applyFont="1" applyBorder="1" applyAlignment="1">
      <alignment horizontal="center" vertical="center"/>
    </xf>
    <xf numFmtId="0" fontId="90" fillId="0" borderId="131" xfId="0" applyFont="1" applyBorder="1" applyAlignment="1">
      <alignment horizontal="center" vertical="center"/>
    </xf>
    <xf numFmtId="164" fontId="346" fillId="0" borderId="125" xfId="7" applyNumberFormat="1" applyFont="1" applyBorder="1" applyAlignment="1">
      <alignment horizontal="center"/>
    </xf>
    <xf numFmtId="164" fontId="346" fillId="0" borderId="126" xfId="7" applyNumberFormat="1" applyFont="1" applyBorder="1" applyAlignment="1">
      <alignment horizontal="center"/>
    </xf>
    <xf numFmtId="164" fontId="346" fillId="0" borderId="127" xfId="7" applyNumberFormat="1" applyFont="1" applyBorder="1" applyAlignment="1">
      <alignment horizontal="center"/>
    </xf>
    <xf numFmtId="0" fontId="346" fillId="0" borderId="111" xfId="0" applyFont="1" applyBorder="1" applyAlignment="1">
      <alignment horizontal="center" vertical="center"/>
    </xf>
    <xf numFmtId="0" fontId="347" fillId="0" borderId="112" xfId="0" applyFont="1" applyBorder="1" applyAlignment="1">
      <alignment horizontal="center" vertical="center"/>
    </xf>
    <xf numFmtId="0" fontId="347" fillId="0" borderId="7" xfId="0" applyFont="1" applyBorder="1" applyAlignment="1">
      <alignment horizontal="center" vertical="center"/>
    </xf>
    <xf numFmtId="0" fontId="117" fillId="0" borderId="16" xfId="0" applyFont="1" applyBorder="1" applyAlignment="1">
      <alignment horizontal="center" vertical="center"/>
    </xf>
    <xf numFmtId="0" fontId="117" fillId="0" borderId="17" xfId="0" applyFont="1" applyBorder="1" applyAlignment="1">
      <alignment horizontal="center" vertical="center"/>
    </xf>
    <xf numFmtId="0" fontId="346" fillId="0" borderId="113" xfId="0" applyFont="1" applyBorder="1" applyAlignment="1">
      <alignment horizontal="center"/>
    </xf>
    <xf numFmtId="0" fontId="346" fillId="0" borderId="114" xfId="0" applyFont="1" applyBorder="1" applyAlignment="1">
      <alignment horizontal="center"/>
    </xf>
    <xf numFmtId="0" fontId="346" fillId="0" borderId="115" xfId="0" applyFont="1" applyBorder="1" applyAlignment="1">
      <alignment horizontal="center"/>
    </xf>
    <xf numFmtId="164" fontId="346" fillId="0" borderId="113" xfId="7" applyNumberFormat="1" applyFont="1" applyBorder="1" applyAlignment="1">
      <alignment horizontal="center"/>
    </xf>
    <xf numFmtId="164" fontId="346" fillId="0" borderId="114" xfId="7" applyNumberFormat="1" applyFont="1" applyBorder="1" applyAlignment="1">
      <alignment horizontal="center"/>
    </xf>
    <xf numFmtId="164" fontId="346" fillId="0" borderId="115"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6" fillId="0" borderId="128" xfId="0" applyFont="1" applyBorder="1" applyAlignment="1">
      <alignment horizontal="center" vertical="center" wrapText="1"/>
    </xf>
    <xf numFmtId="0" fontId="116" fillId="0" borderId="7" xfId="0" applyFont="1" applyBorder="1" applyAlignment="1">
      <alignment horizontal="center" vertical="center" wrapText="1"/>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5" fillId="3" borderId="71" xfId="13" applyFont="1" applyFill="1" applyBorder="1" applyAlignment="1" applyProtection="1">
      <alignment horizontal="center" vertical="center" wrapText="1"/>
      <protection locked="0"/>
    </xf>
    <xf numFmtId="0" fontId="95"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6" fillId="0" borderId="54" xfId="0" applyFont="1" applyBorder="1" applyAlignment="1">
      <alignment horizontal="left" vertical="center"/>
    </xf>
    <xf numFmtId="0" fontId="96"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0" fillId="0" borderId="101" xfId="0" applyFont="1" applyBorder="1" applyAlignment="1">
      <alignment horizontal="left" vertical="center" wrapText="1"/>
    </xf>
    <xf numFmtId="0" fontId="110" fillId="0" borderId="102" xfId="0" applyFont="1" applyBorder="1" applyAlignment="1">
      <alignment horizontal="left" vertical="center" wrapText="1"/>
    </xf>
    <xf numFmtId="0" fontId="110" fillId="0" borderId="106" xfId="0" applyFont="1" applyBorder="1" applyAlignment="1">
      <alignment horizontal="left" vertical="center" wrapText="1"/>
    </xf>
    <xf numFmtId="0" fontId="110" fillId="0" borderId="107" xfId="0" applyFont="1" applyBorder="1" applyAlignment="1">
      <alignment horizontal="left" vertical="center" wrapText="1"/>
    </xf>
    <xf numFmtId="0" fontId="110" fillId="0" borderId="109" xfId="0" applyFont="1" applyBorder="1" applyAlignment="1">
      <alignment horizontal="left" vertical="center" wrapText="1"/>
    </xf>
    <xf numFmtId="0" fontId="110" fillId="0" borderId="110" xfId="0" applyFont="1" applyBorder="1" applyAlignment="1">
      <alignment horizontal="left" vertical="center" wrapText="1"/>
    </xf>
    <xf numFmtId="0" fontId="111" fillId="0" borderId="103" xfId="0" applyFont="1" applyBorder="1" applyAlignment="1">
      <alignment horizontal="center" vertical="center" wrapText="1"/>
    </xf>
    <xf numFmtId="0" fontId="111" fillId="0" borderId="104" xfId="0" applyFont="1" applyBorder="1" applyAlignment="1">
      <alignment horizontal="center" vertical="center" wrapText="1"/>
    </xf>
    <xf numFmtId="0" fontId="111" fillId="0" borderId="105"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5"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7" xfId="0" applyFont="1" applyBorder="1" applyAlignment="1">
      <alignment horizontal="center" vertical="center" wrapText="1"/>
    </xf>
    <xf numFmtId="0" fontId="107" fillId="0" borderId="124" xfId="0" applyFont="1" applyBorder="1" applyAlignment="1">
      <alignment horizontal="center" vertical="center" wrapText="1"/>
    </xf>
    <xf numFmtId="0" fontId="115" fillId="0" borderId="124" xfId="0" applyFont="1" applyBorder="1" applyAlignment="1">
      <alignment horizontal="center" vertical="center"/>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1" fillId="0" borderId="124" xfId="0" applyFont="1" applyBorder="1" applyAlignment="1">
      <alignment horizontal="center" vertical="center" wrapText="1"/>
    </xf>
    <xf numFmtId="0" fontId="107" fillId="0" borderId="127"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105" xfId="0" applyFont="1" applyBorder="1" applyAlignment="1">
      <alignment horizontal="center" vertical="center" wrapText="1"/>
    </xf>
    <xf numFmtId="0" fontId="110" fillId="0" borderId="70"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85" xfId="0" applyFont="1" applyBorder="1" applyAlignment="1">
      <alignment horizontal="center" vertical="center" wrapText="1"/>
    </xf>
    <xf numFmtId="0" fontId="110" fillId="0" borderId="75" xfId="0" applyFont="1" applyBorder="1" applyAlignment="1">
      <alignment horizontal="center" vertical="center" wrapText="1"/>
    </xf>
    <xf numFmtId="0" fontId="107" fillId="0" borderId="125" xfId="0" applyFont="1" applyBorder="1" applyAlignment="1">
      <alignment horizontal="center" vertical="center" wrapText="1"/>
    </xf>
    <xf numFmtId="0" fontId="107" fillId="0" borderId="126"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 xfId="0" applyFont="1" applyBorder="1" applyAlignment="1">
      <alignment horizontal="center" vertical="center" wrapText="1"/>
    </xf>
    <xf numFmtId="0" fontId="107" fillId="0" borderId="76" xfId="0" applyFont="1" applyBorder="1" applyAlignment="1">
      <alignment horizontal="center" vertical="center" wrapText="1"/>
    </xf>
    <xf numFmtId="0" fontId="107" fillId="0" borderId="75" xfId="0" applyFont="1" applyBorder="1" applyAlignment="1">
      <alignment horizontal="center" vertical="center" wrapText="1"/>
    </xf>
    <xf numFmtId="0" fontId="110" fillId="0" borderId="54" xfId="0" applyFont="1" applyBorder="1" applyAlignment="1">
      <alignment horizontal="left" vertical="top" wrapText="1"/>
    </xf>
    <xf numFmtId="0" fontId="110" fillId="0" borderId="77" xfId="0" applyFont="1" applyBorder="1" applyAlignment="1">
      <alignment horizontal="left" vertical="top" wrapText="1"/>
    </xf>
    <xf numFmtId="0" fontId="110" fillId="0" borderId="63" xfId="0" applyFont="1" applyBorder="1" applyAlignment="1">
      <alignment horizontal="left" vertical="top" wrapText="1"/>
    </xf>
    <xf numFmtId="0" fontId="110" fillId="0" borderId="93" xfId="0" applyFont="1" applyBorder="1" applyAlignment="1">
      <alignment horizontal="left" vertical="top" wrapText="1"/>
    </xf>
    <xf numFmtId="0" fontId="110" fillId="0" borderId="100" xfId="0" applyFont="1" applyBorder="1" applyAlignment="1">
      <alignment horizontal="left" vertical="top" wrapText="1"/>
    </xf>
    <xf numFmtId="0" fontId="110" fillId="0" borderId="129" xfId="0" applyFont="1" applyBorder="1" applyAlignment="1">
      <alignment horizontal="left" vertical="top" wrapText="1"/>
    </xf>
    <xf numFmtId="0" fontId="110" fillId="0" borderId="87" xfId="0" applyFont="1" applyBorder="1" applyAlignment="1">
      <alignment horizontal="center" vertical="center" wrapText="1"/>
    </xf>
    <xf numFmtId="0" fontId="110" fillId="0" borderId="67" xfId="0" applyFont="1" applyBorder="1" applyAlignment="1">
      <alignment horizontal="center" vertical="center" wrapText="1"/>
    </xf>
    <xf numFmtId="0" fontId="107" fillId="0" borderId="64" xfId="0" applyFont="1" applyBorder="1" applyAlignment="1">
      <alignment horizontal="center" vertical="center" wrapText="1"/>
    </xf>
    <xf numFmtId="0" fontId="107" fillId="0" borderId="69" xfId="0" applyFont="1" applyBorder="1" applyAlignment="1">
      <alignment horizontal="center" vertical="center" wrapText="1"/>
    </xf>
    <xf numFmtId="0" fontId="107" fillId="0" borderId="27" xfId="0" applyFont="1" applyBorder="1" applyAlignment="1">
      <alignment horizontal="center" vertical="center" wrapText="1"/>
    </xf>
    <xf numFmtId="0" fontId="107" fillId="0" borderId="28" xfId="0" applyFont="1" applyBorder="1" applyAlignment="1">
      <alignment horizontal="center" vertical="center" wrapText="1"/>
    </xf>
    <xf numFmtId="0" fontId="107" fillId="0" borderId="103" xfId="0" applyFont="1" applyBorder="1" applyAlignment="1">
      <alignment horizontal="center" vertical="top" wrapText="1"/>
    </xf>
    <xf numFmtId="0" fontId="107" fillId="0" borderId="104" xfId="0" applyFont="1" applyBorder="1" applyAlignment="1">
      <alignment horizontal="center" vertical="top" wrapText="1"/>
    </xf>
    <xf numFmtId="0" fontId="107" fillId="0" borderId="126" xfId="0" applyFont="1" applyBorder="1" applyAlignment="1">
      <alignment horizontal="center" vertical="top" wrapText="1"/>
    </xf>
    <xf numFmtId="0" fontId="107" fillId="0" borderId="127" xfId="0" applyFont="1" applyBorder="1" applyAlignment="1">
      <alignment horizontal="center" vertical="top" wrapText="1"/>
    </xf>
    <xf numFmtId="0" fontId="127" fillId="0" borderId="116" xfId="0" applyFont="1" applyBorder="1" applyAlignment="1">
      <alignment horizontal="left" vertical="top" wrapText="1"/>
    </xf>
    <xf numFmtId="0" fontId="127" fillId="0" borderId="117" xfId="0" applyFont="1" applyBorder="1" applyAlignment="1">
      <alignment horizontal="left" vertical="top" wrapText="1"/>
    </xf>
    <xf numFmtId="0" fontId="113" fillId="0" borderId="103" xfId="0" applyFont="1" applyBorder="1" applyAlignment="1">
      <alignment horizontal="center" vertical="center"/>
    </xf>
    <xf numFmtId="0" fontId="113" fillId="0" borderId="105" xfId="0" applyFont="1" applyBorder="1" applyAlignment="1">
      <alignment horizontal="center" vertical="center"/>
    </xf>
    <xf numFmtId="0" fontId="113" fillId="0" borderId="85" xfId="0" applyFont="1" applyBorder="1" applyAlignment="1">
      <alignment horizontal="center" vertical="center"/>
    </xf>
    <xf numFmtId="0" fontId="113" fillId="0" borderId="75" xfId="0" applyFont="1" applyBorder="1" applyAlignment="1">
      <alignment horizontal="center" vertical="center"/>
    </xf>
    <xf numFmtId="0" fontId="112" fillId="0" borderId="124" xfId="0" applyFont="1" applyBorder="1" applyAlignment="1">
      <alignment horizontal="center" vertical="center" wrapText="1"/>
    </xf>
    <xf numFmtId="0" fontId="112" fillId="0" borderId="128" xfId="0" applyFont="1" applyBorder="1" applyAlignment="1">
      <alignment horizontal="center" vertical="center" wrapText="1"/>
    </xf>
    <xf numFmtId="164" fontId="107" fillId="0" borderId="124" xfId="7" applyNumberFormat="1" applyFont="1" applyFill="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1" sqref="C21"/>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2"/>
      <c r="B1" s="108" t="s">
        <v>209</v>
      </c>
      <c r="C1" s="102"/>
    </row>
    <row r="2" spans="1:3">
      <c r="A2" s="109">
        <v>1</v>
      </c>
      <c r="B2" s="221" t="s">
        <v>210</v>
      </c>
      <c r="C2" s="40" t="s">
        <v>752</v>
      </c>
    </row>
    <row r="3" spans="1:3">
      <c r="A3" s="109">
        <v>2</v>
      </c>
      <c r="B3" s="222" t="s">
        <v>206</v>
      </c>
      <c r="C3" s="40" t="s">
        <v>753</v>
      </c>
    </row>
    <row r="4" spans="1:3">
      <c r="A4" s="109">
        <v>3</v>
      </c>
      <c r="B4" s="223" t="s">
        <v>211</v>
      </c>
      <c r="C4" s="40" t="s">
        <v>754</v>
      </c>
    </row>
    <row r="5" spans="1:3">
      <c r="A5" s="110">
        <v>4</v>
      </c>
      <c r="B5" s="224" t="s">
        <v>207</v>
      </c>
      <c r="C5" s="40" t="s">
        <v>755</v>
      </c>
    </row>
    <row r="6" spans="1:3" s="111" customFormat="1" ht="45.75" customHeight="1">
      <c r="A6" s="717" t="s">
        <v>283</v>
      </c>
      <c r="B6" s="718"/>
      <c r="C6" s="718"/>
    </row>
    <row r="7" spans="1:3">
      <c r="A7" s="112" t="s">
        <v>29</v>
      </c>
      <c r="B7" s="108" t="s">
        <v>208</v>
      </c>
    </row>
    <row r="8" spans="1:3">
      <c r="A8" s="102">
        <v>1</v>
      </c>
      <c r="B8" s="141" t="s">
        <v>20</v>
      </c>
    </row>
    <row r="9" spans="1:3">
      <c r="A9" s="102">
        <v>2</v>
      </c>
      <c r="B9" s="142" t="s">
        <v>21</v>
      </c>
    </row>
    <row r="10" spans="1:3">
      <c r="A10" s="102">
        <v>3</v>
      </c>
      <c r="B10" s="142" t="s">
        <v>22</v>
      </c>
    </row>
    <row r="11" spans="1:3">
      <c r="A11" s="102">
        <v>4</v>
      </c>
      <c r="B11" s="142" t="s">
        <v>23</v>
      </c>
    </row>
    <row r="12" spans="1:3">
      <c r="A12" s="102">
        <v>5</v>
      </c>
      <c r="B12" s="142" t="s">
        <v>24</v>
      </c>
    </row>
    <row r="13" spans="1:3">
      <c r="A13" s="102">
        <v>6</v>
      </c>
      <c r="B13" s="143" t="s">
        <v>218</v>
      </c>
    </row>
    <row r="14" spans="1:3">
      <c r="A14" s="102">
        <v>7</v>
      </c>
      <c r="B14" s="142" t="s">
        <v>212</v>
      </c>
    </row>
    <row r="15" spans="1:3">
      <c r="A15" s="102">
        <v>8</v>
      </c>
      <c r="B15" s="142" t="s">
        <v>213</v>
      </c>
    </row>
    <row r="16" spans="1:3">
      <c r="A16" s="102">
        <v>9</v>
      </c>
      <c r="B16" s="142" t="s">
        <v>25</v>
      </c>
    </row>
    <row r="17" spans="1:2">
      <c r="A17" s="220" t="s">
        <v>282</v>
      </c>
      <c r="B17" s="219" t="s">
        <v>269</v>
      </c>
    </row>
    <row r="18" spans="1:2">
      <c r="A18" s="220" t="s">
        <v>711</v>
      </c>
      <c r="B18" s="491" t="s">
        <v>713</v>
      </c>
    </row>
    <row r="19" spans="1:2">
      <c r="A19" s="492" t="s">
        <v>712</v>
      </c>
      <c r="B19" s="491" t="s">
        <v>714</v>
      </c>
    </row>
    <row r="20" spans="1:2">
      <c r="A20" s="102">
        <v>10</v>
      </c>
      <c r="B20" s="142" t="s">
        <v>26</v>
      </c>
    </row>
    <row r="21" spans="1:2">
      <c r="A21" s="102">
        <v>11</v>
      </c>
      <c r="B21" s="143" t="s">
        <v>214</v>
      </c>
    </row>
    <row r="22" spans="1:2">
      <c r="A22" s="102">
        <v>12</v>
      </c>
      <c r="B22" s="143" t="s">
        <v>27</v>
      </c>
    </row>
    <row r="23" spans="1:2">
      <c r="A23" s="236">
        <v>13</v>
      </c>
      <c r="B23" s="237" t="s">
        <v>215</v>
      </c>
    </row>
    <row r="24" spans="1:2">
      <c r="A24" s="236">
        <v>14</v>
      </c>
      <c r="B24" s="238" t="s">
        <v>240</v>
      </c>
    </row>
    <row r="25" spans="1:2">
      <c r="A25" s="236">
        <v>15</v>
      </c>
      <c r="B25" s="239" t="s">
        <v>28</v>
      </c>
    </row>
    <row r="26" spans="1:2">
      <c r="A26" s="236">
        <v>15.1</v>
      </c>
      <c r="B26" s="240" t="s">
        <v>296</v>
      </c>
    </row>
    <row r="27" spans="1:2">
      <c r="A27" s="493">
        <v>15.2</v>
      </c>
      <c r="B27" s="491" t="s">
        <v>716</v>
      </c>
    </row>
    <row r="28" spans="1:2">
      <c r="A28" s="236">
        <v>16</v>
      </c>
      <c r="B28" s="240" t="s">
        <v>337</v>
      </c>
    </row>
    <row r="29" spans="1:2">
      <c r="A29" s="236">
        <v>17</v>
      </c>
      <c r="B29" s="240" t="s">
        <v>378</v>
      </c>
    </row>
    <row r="30" spans="1:2">
      <c r="A30" s="236">
        <v>18</v>
      </c>
      <c r="B30" s="240" t="s">
        <v>666</v>
      </c>
    </row>
    <row r="31" spans="1:2">
      <c r="A31" s="236">
        <v>19</v>
      </c>
      <c r="B31" s="240" t="s">
        <v>667</v>
      </c>
    </row>
    <row r="32" spans="1:2">
      <c r="A32" s="236">
        <v>20</v>
      </c>
      <c r="B32" s="299" t="s">
        <v>668</v>
      </c>
    </row>
    <row r="33" spans="1:2">
      <c r="A33" s="236">
        <v>21</v>
      </c>
      <c r="B33" s="240" t="s">
        <v>494</v>
      </c>
    </row>
    <row r="34" spans="1:2">
      <c r="A34" s="236">
        <v>22</v>
      </c>
      <c r="B34" s="240" t="s">
        <v>669</v>
      </c>
    </row>
    <row r="35" spans="1:2">
      <c r="A35" s="236">
        <v>23</v>
      </c>
      <c r="B35" s="240" t="s">
        <v>670</v>
      </c>
    </row>
    <row r="36" spans="1:2">
      <c r="A36" s="236">
        <v>24</v>
      </c>
      <c r="B36" s="240" t="s">
        <v>671</v>
      </c>
    </row>
    <row r="37" spans="1:2">
      <c r="A37" s="236">
        <v>25</v>
      </c>
      <c r="B37" s="240" t="s">
        <v>379</v>
      </c>
    </row>
    <row r="38" spans="1:2">
      <c r="A38" s="236">
        <v>26</v>
      </c>
      <c r="B38" s="24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Footer>&amp;C_x000D_&amp;1#&amp;"Calibri"&amp;10&amp;K000000 C1 - FOR INTERNAL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47" activePane="bottomRight" state="frozen"/>
      <selection activeCell="B19" sqref="B19"/>
      <selection pane="topRight" activeCell="B19" sqref="B19"/>
      <selection pane="bottomLeft" activeCell="B19" sqref="B19"/>
      <selection pane="bottomRight" activeCell="F5" sqref="F5"/>
    </sheetView>
  </sheetViews>
  <sheetFormatPr defaultColWidth="9.21875" defaultRowHeight="13.2"/>
  <cols>
    <col min="1" max="1" width="9.5546875" style="4" bestFit="1" customWidth="1"/>
    <col min="2" max="2" width="132.44140625" style="4" customWidth="1"/>
    <col min="3" max="3" width="18.44140625" style="4" customWidth="1"/>
    <col min="4" max="4" width="11.77734375" style="4" customWidth="1"/>
    <col min="5" max="16384" width="9.21875" style="4"/>
  </cols>
  <sheetData>
    <row r="1" spans="1:4">
      <c r="A1" s="2" t="s">
        <v>30</v>
      </c>
      <c r="B1" s="3" t="str">
        <f>'Info '!C2</f>
        <v xml:space="preserve">PASHA Bank Georgia JSC </v>
      </c>
    </row>
    <row r="2" spans="1:4" s="2" customFormat="1" ht="15.75" customHeight="1">
      <c r="A2" s="2" t="s">
        <v>31</v>
      </c>
      <c r="B2" s="253">
        <f>'1. key ratios '!B2</f>
        <v>45838</v>
      </c>
    </row>
    <row r="3" spans="1:4" s="2" customFormat="1" ht="15.75" customHeight="1"/>
    <row r="4" spans="1:4" ht="13.8" thickBot="1">
      <c r="A4" s="4" t="s">
        <v>143</v>
      </c>
      <c r="B4" s="84" t="s">
        <v>142</v>
      </c>
    </row>
    <row r="5" spans="1:4">
      <c r="A5" s="45" t="s">
        <v>6</v>
      </c>
      <c r="B5" s="46"/>
      <c r="C5" s="47" t="s">
        <v>35</v>
      </c>
    </row>
    <row r="6" spans="1:4">
      <c r="A6" s="48">
        <v>1</v>
      </c>
      <c r="B6" s="49" t="s">
        <v>141</v>
      </c>
      <c r="C6" s="50">
        <f>SUM(C7:C11)</f>
        <v>123300273.78999999</v>
      </c>
      <c r="D6" s="576"/>
    </row>
    <row r="7" spans="1:4">
      <c r="A7" s="48">
        <v>2</v>
      </c>
      <c r="B7" s="51" t="s">
        <v>140</v>
      </c>
      <c r="C7" s="52">
        <v>136800000</v>
      </c>
      <c r="D7" s="576"/>
    </row>
    <row r="8" spans="1:4">
      <c r="A8" s="48">
        <v>3</v>
      </c>
      <c r="B8" s="53" t="s">
        <v>139</v>
      </c>
      <c r="C8" s="52"/>
      <c r="D8" s="576"/>
    </row>
    <row r="9" spans="1:4">
      <c r="A9" s="48">
        <v>4</v>
      </c>
      <c r="B9" s="53" t="s">
        <v>138</v>
      </c>
      <c r="C9" s="52"/>
      <c r="D9" s="576"/>
    </row>
    <row r="10" spans="1:4">
      <c r="A10" s="48">
        <v>5</v>
      </c>
      <c r="B10" s="53" t="s">
        <v>137</v>
      </c>
      <c r="C10" s="52"/>
      <c r="D10" s="576"/>
    </row>
    <row r="11" spans="1:4">
      <c r="A11" s="48">
        <v>6</v>
      </c>
      <c r="B11" s="54" t="s">
        <v>136</v>
      </c>
      <c r="C11" s="52">
        <v>-13499726.210000001</v>
      </c>
      <c r="D11" s="576"/>
    </row>
    <row r="12" spans="1:4" s="23" customFormat="1">
      <c r="A12" s="48">
        <v>7</v>
      </c>
      <c r="B12" s="49" t="s">
        <v>135</v>
      </c>
      <c r="C12" s="55">
        <f>SUM(C13:C28)</f>
        <v>6950627.71</v>
      </c>
      <c r="D12" s="576"/>
    </row>
    <row r="13" spans="1:4" s="23" customFormat="1">
      <c r="A13" s="48">
        <v>8</v>
      </c>
      <c r="B13" s="56" t="s">
        <v>134</v>
      </c>
      <c r="C13" s="57"/>
      <c r="D13" s="576"/>
    </row>
    <row r="14" spans="1:4" s="23" customFormat="1" ht="26.4">
      <c r="A14" s="48">
        <v>9</v>
      </c>
      <c r="B14" s="58" t="s">
        <v>133</v>
      </c>
      <c r="C14" s="57"/>
      <c r="D14" s="576"/>
    </row>
    <row r="15" spans="1:4" s="23" customFormat="1">
      <c r="A15" s="48">
        <v>10</v>
      </c>
      <c r="B15" s="59" t="s">
        <v>132</v>
      </c>
      <c r="C15" s="57">
        <v>3492009.44</v>
      </c>
      <c r="D15" s="576"/>
    </row>
    <row r="16" spans="1:4" s="23" customFormat="1">
      <c r="A16" s="48">
        <v>11</v>
      </c>
      <c r="B16" s="60" t="s">
        <v>131</v>
      </c>
      <c r="C16" s="57"/>
      <c r="D16" s="576"/>
    </row>
    <row r="17" spans="1:4" s="23" customFormat="1">
      <c r="A17" s="48">
        <v>12</v>
      </c>
      <c r="B17" s="59" t="s">
        <v>130</v>
      </c>
      <c r="C17" s="57"/>
      <c r="D17" s="576"/>
    </row>
    <row r="18" spans="1:4" s="23" customFormat="1">
      <c r="A18" s="48">
        <v>13</v>
      </c>
      <c r="B18" s="59" t="s">
        <v>129</v>
      </c>
      <c r="C18" s="57"/>
      <c r="D18" s="576"/>
    </row>
    <row r="19" spans="1:4" s="23" customFormat="1">
      <c r="A19" s="48">
        <v>14</v>
      </c>
      <c r="B19" s="59" t="s">
        <v>128</v>
      </c>
      <c r="C19" s="57"/>
      <c r="D19" s="576"/>
    </row>
    <row r="20" spans="1:4" s="23" customFormat="1">
      <c r="A20" s="48">
        <v>15</v>
      </c>
      <c r="B20" s="59" t="s">
        <v>127</v>
      </c>
      <c r="C20" s="57">
        <v>3458618.27</v>
      </c>
      <c r="D20" s="576"/>
    </row>
    <row r="21" spans="1:4" s="23" customFormat="1" ht="26.4">
      <c r="A21" s="48">
        <v>16</v>
      </c>
      <c r="B21" s="58" t="s">
        <v>126</v>
      </c>
      <c r="C21" s="57"/>
      <c r="D21" s="576"/>
    </row>
    <row r="22" spans="1:4" s="23" customFormat="1">
      <c r="A22" s="48">
        <v>17</v>
      </c>
      <c r="B22" s="61" t="s">
        <v>125</v>
      </c>
      <c r="C22" s="57"/>
      <c r="D22" s="576"/>
    </row>
    <row r="23" spans="1:4" s="23" customFormat="1">
      <c r="A23" s="48">
        <v>18</v>
      </c>
      <c r="B23" s="61" t="s">
        <v>517</v>
      </c>
      <c r="C23" s="301"/>
      <c r="D23" s="576"/>
    </row>
    <row r="24" spans="1:4" s="23" customFormat="1">
      <c r="A24" s="48">
        <v>19</v>
      </c>
      <c r="B24" s="58" t="s">
        <v>124</v>
      </c>
      <c r="C24" s="57"/>
      <c r="D24" s="576"/>
    </row>
    <row r="25" spans="1:4" s="23" customFormat="1" ht="26.4">
      <c r="A25" s="48">
        <v>20</v>
      </c>
      <c r="B25" s="58" t="s">
        <v>101</v>
      </c>
      <c r="C25" s="57"/>
      <c r="D25" s="576"/>
    </row>
    <row r="26" spans="1:4" s="23" customFormat="1">
      <c r="A26" s="48">
        <v>21</v>
      </c>
      <c r="B26" s="60" t="s">
        <v>123</v>
      </c>
      <c r="C26" s="57"/>
      <c r="D26" s="576"/>
    </row>
    <row r="27" spans="1:4" s="23" customFormat="1">
      <c r="A27" s="48">
        <v>22</v>
      </c>
      <c r="B27" s="60" t="s">
        <v>122</v>
      </c>
      <c r="C27" s="57"/>
      <c r="D27" s="576"/>
    </row>
    <row r="28" spans="1:4" s="23" customFormat="1">
      <c r="A28" s="48">
        <v>23</v>
      </c>
      <c r="B28" s="60" t="s">
        <v>121</v>
      </c>
      <c r="C28" s="57"/>
      <c r="D28" s="576"/>
    </row>
    <row r="29" spans="1:4" s="23" customFormat="1">
      <c r="A29" s="48">
        <v>24</v>
      </c>
      <c r="B29" s="62" t="s">
        <v>120</v>
      </c>
      <c r="C29" s="55">
        <f>C6-C12</f>
        <v>116349646.08</v>
      </c>
      <c r="D29" s="576"/>
    </row>
    <row r="30" spans="1:4" s="23" customFormat="1">
      <c r="A30" s="63"/>
      <c r="B30" s="64"/>
      <c r="C30" s="57"/>
      <c r="D30" s="576"/>
    </row>
    <row r="31" spans="1:4" s="23" customFormat="1">
      <c r="A31" s="63">
        <v>25</v>
      </c>
      <c r="B31" s="62" t="s">
        <v>119</v>
      </c>
      <c r="C31" s="55">
        <f>C32+C35</f>
        <v>0</v>
      </c>
      <c r="D31" s="576"/>
    </row>
    <row r="32" spans="1:4" s="23" customFormat="1">
      <c r="A32" s="63">
        <v>26</v>
      </c>
      <c r="B32" s="53" t="s">
        <v>118</v>
      </c>
      <c r="C32" s="65">
        <f>C33+C34</f>
        <v>0</v>
      </c>
      <c r="D32" s="576"/>
    </row>
    <row r="33" spans="1:4" s="23" customFormat="1">
      <c r="A33" s="63">
        <v>27</v>
      </c>
      <c r="B33" s="66" t="s">
        <v>179</v>
      </c>
      <c r="C33" s="57"/>
      <c r="D33" s="576"/>
    </row>
    <row r="34" spans="1:4" s="23" customFormat="1">
      <c r="A34" s="63">
        <v>28</v>
      </c>
      <c r="B34" s="66" t="s">
        <v>117</v>
      </c>
      <c r="C34" s="57"/>
      <c r="D34" s="576"/>
    </row>
    <row r="35" spans="1:4" s="23" customFormat="1">
      <c r="A35" s="63">
        <v>29</v>
      </c>
      <c r="B35" s="53" t="s">
        <v>116</v>
      </c>
      <c r="C35" s="57"/>
      <c r="D35" s="576"/>
    </row>
    <row r="36" spans="1:4" s="23" customFormat="1">
      <c r="A36" s="63">
        <v>30</v>
      </c>
      <c r="B36" s="62" t="s">
        <v>115</v>
      </c>
      <c r="C36" s="55">
        <f>SUM(C37:C41)</f>
        <v>0</v>
      </c>
      <c r="D36" s="576"/>
    </row>
    <row r="37" spans="1:4" s="23" customFormat="1">
      <c r="A37" s="63">
        <v>31</v>
      </c>
      <c r="B37" s="58" t="s">
        <v>114</v>
      </c>
      <c r="C37" s="57"/>
      <c r="D37" s="576"/>
    </row>
    <row r="38" spans="1:4" s="23" customFormat="1">
      <c r="A38" s="63">
        <v>32</v>
      </c>
      <c r="B38" s="59" t="s">
        <v>113</v>
      </c>
      <c r="C38" s="57"/>
      <c r="D38" s="576"/>
    </row>
    <row r="39" spans="1:4" s="23" customFormat="1">
      <c r="A39" s="63">
        <v>33</v>
      </c>
      <c r="B39" s="58" t="s">
        <v>112</v>
      </c>
      <c r="C39" s="57"/>
      <c r="D39" s="576"/>
    </row>
    <row r="40" spans="1:4" s="23" customFormat="1" ht="26.4">
      <c r="A40" s="63">
        <v>34</v>
      </c>
      <c r="B40" s="58" t="s">
        <v>101</v>
      </c>
      <c r="C40" s="57"/>
      <c r="D40" s="576"/>
    </row>
    <row r="41" spans="1:4" s="23" customFormat="1">
      <c r="A41" s="63">
        <v>35</v>
      </c>
      <c r="B41" s="60" t="s">
        <v>111</v>
      </c>
      <c r="C41" s="57"/>
      <c r="D41" s="576"/>
    </row>
    <row r="42" spans="1:4" s="23" customFormat="1">
      <c r="A42" s="63">
        <v>36</v>
      </c>
      <c r="B42" s="62" t="s">
        <v>110</v>
      </c>
      <c r="C42" s="55">
        <f>C31-C36</f>
        <v>0</v>
      </c>
      <c r="D42" s="576"/>
    </row>
    <row r="43" spans="1:4" s="23" customFormat="1">
      <c r="A43" s="63"/>
      <c r="B43" s="64"/>
      <c r="C43" s="57"/>
      <c r="D43" s="576"/>
    </row>
    <row r="44" spans="1:4" s="23" customFormat="1">
      <c r="A44" s="63">
        <v>37</v>
      </c>
      <c r="B44" s="67" t="s">
        <v>109</v>
      </c>
      <c r="C44" s="55">
        <f>SUM(C45:C47)</f>
        <v>31321400</v>
      </c>
      <c r="D44" s="576"/>
    </row>
    <row r="45" spans="1:4" s="23" customFormat="1">
      <c r="A45" s="63">
        <v>38</v>
      </c>
      <c r="B45" s="53" t="s">
        <v>108</v>
      </c>
      <c r="C45" s="57">
        <v>31321400</v>
      </c>
      <c r="D45" s="576"/>
    </row>
    <row r="46" spans="1:4" s="23" customFormat="1">
      <c r="A46" s="63">
        <v>39</v>
      </c>
      <c r="B46" s="53" t="s">
        <v>107</v>
      </c>
      <c r="C46" s="57"/>
      <c r="D46" s="576"/>
    </row>
    <row r="47" spans="1:4" s="23" customFormat="1">
      <c r="A47" s="63">
        <v>40</v>
      </c>
      <c r="B47" s="53" t="s">
        <v>106</v>
      </c>
      <c r="C47" s="57"/>
      <c r="D47" s="576"/>
    </row>
    <row r="48" spans="1:4" s="23" customFormat="1">
      <c r="A48" s="63">
        <v>41</v>
      </c>
      <c r="B48" s="67" t="s">
        <v>105</v>
      </c>
      <c r="C48" s="55">
        <f>SUM(C49:C52)</f>
        <v>0</v>
      </c>
      <c r="D48" s="576"/>
    </row>
    <row r="49" spans="1:4" s="23" customFormat="1">
      <c r="A49" s="63">
        <v>42</v>
      </c>
      <c r="B49" s="58" t="s">
        <v>104</v>
      </c>
      <c r="C49" s="57"/>
      <c r="D49" s="576"/>
    </row>
    <row r="50" spans="1:4" s="23" customFormat="1">
      <c r="A50" s="63">
        <v>43</v>
      </c>
      <c r="B50" s="59" t="s">
        <v>103</v>
      </c>
      <c r="C50" s="57"/>
      <c r="D50" s="576"/>
    </row>
    <row r="51" spans="1:4" s="23" customFormat="1">
      <c r="A51" s="63">
        <v>44</v>
      </c>
      <c r="B51" s="58" t="s">
        <v>102</v>
      </c>
      <c r="C51" s="57"/>
      <c r="D51" s="576"/>
    </row>
    <row r="52" spans="1:4" s="23" customFormat="1" ht="26.4">
      <c r="A52" s="63">
        <v>45</v>
      </c>
      <c r="B52" s="58" t="s">
        <v>101</v>
      </c>
      <c r="C52" s="57"/>
      <c r="D52" s="576"/>
    </row>
    <row r="53" spans="1:4" s="23" customFormat="1" ht="13.8" thickBot="1">
      <c r="A53" s="63">
        <v>46</v>
      </c>
      <c r="B53" s="68" t="s">
        <v>100</v>
      </c>
      <c r="C53" s="69">
        <f>C44-C48</f>
        <v>31321400</v>
      </c>
      <c r="D53" s="576"/>
    </row>
    <row r="56" spans="1:4">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Footer>&amp;C_x000D_&amp;1#&amp;"Calibri"&amp;10&amp;K000000 C1 - FOR INTERNAL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0" zoomScaleNormal="80" workbookViewId="0">
      <selection activeCell="G7" sqref="G7"/>
    </sheetView>
  </sheetViews>
  <sheetFormatPr defaultColWidth="9.21875" defaultRowHeight="13.8"/>
  <cols>
    <col min="1" max="1" width="9.44140625" style="133" bestFit="1" customWidth="1"/>
    <col min="2" max="2" width="59" style="133" customWidth="1"/>
    <col min="3" max="3" width="16.77734375" style="133" bestFit="1" customWidth="1"/>
    <col min="4" max="4" width="14.33203125" style="133" bestFit="1" customWidth="1"/>
    <col min="5" max="5" width="9.21875" style="133"/>
    <col min="6" max="6" width="9.21875" style="578"/>
    <col min="7" max="16384" width="9.21875" style="133"/>
  </cols>
  <sheetData>
    <row r="1" spans="1:6">
      <c r="A1" s="131" t="s">
        <v>30</v>
      </c>
      <c r="B1" s="3" t="str">
        <f>'Info '!C2</f>
        <v xml:space="preserve">PASHA Bank Georgia JSC </v>
      </c>
    </row>
    <row r="2" spans="1:6" s="131" customFormat="1" ht="15.75" customHeight="1">
      <c r="A2" s="131" t="s">
        <v>31</v>
      </c>
      <c r="B2" s="253">
        <f>'1. key ratios '!B2</f>
        <v>45838</v>
      </c>
      <c r="F2" s="579"/>
    </row>
    <row r="3" spans="1:6" s="131" customFormat="1" ht="15.75" customHeight="1">
      <c r="F3" s="579"/>
    </row>
    <row r="4" spans="1:6" ht="14.4" thickBot="1">
      <c r="A4" s="133" t="s">
        <v>268</v>
      </c>
      <c r="B4" s="209" t="s">
        <v>269</v>
      </c>
    </row>
    <row r="5" spans="1:6" s="138" customFormat="1" ht="12.75" customHeight="1">
      <c r="A5" s="234"/>
      <c r="B5" s="235" t="s">
        <v>272</v>
      </c>
      <c r="C5" s="202" t="s">
        <v>270</v>
      </c>
      <c r="D5" s="203" t="s">
        <v>271</v>
      </c>
      <c r="F5" s="580"/>
    </row>
    <row r="6" spans="1:6" s="210" customFormat="1">
      <c r="A6" s="204">
        <v>1</v>
      </c>
      <c r="B6" s="230" t="s">
        <v>273</v>
      </c>
      <c r="C6" s="230"/>
      <c r="D6" s="205"/>
      <c r="F6" s="581"/>
    </row>
    <row r="7" spans="1:6" s="210" customFormat="1">
      <c r="A7" s="206" t="s">
        <v>259</v>
      </c>
      <c r="B7" s="231" t="s">
        <v>274</v>
      </c>
      <c r="C7" s="699">
        <v>4.4999999999999998E-2</v>
      </c>
      <c r="D7" s="703">
        <f>C7*'5. RWA '!$C$13</f>
        <v>27605111.184837271</v>
      </c>
      <c r="E7" s="577"/>
      <c r="F7" s="581"/>
    </row>
    <row r="8" spans="1:6" s="210" customFormat="1">
      <c r="A8" s="206" t="s">
        <v>260</v>
      </c>
      <c r="B8" s="231" t="s">
        <v>275</v>
      </c>
      <c r="C8" s="700">
        <v>0.06</v>
      </c>
      <c r="D8" s="703">
        <f>C8*'5. RWA '!$C$13</f>
        <v>36806814.913116358</v>
      </c>
      <c r="E8" s="577"/>
      <c r="F8" s="581"/>
    </row>
    <row r="9" spans="1:6" s="210" customFormat="1">
      <c r="A9" s="206" t="s">
        <v>261</v>
      </c>
      <c r="B9" s="231" t="s">
        <v>276</v>
      </c>
      <c r="C9" s="700">
        <v>0.08</v>
      </c>
      <c r="D9" s="703">
        <f>C9*'5. RWA '!$C$13</f>
        <v>49075753.217488483</v>
      </c>
      <c r="E9" s="577"/>
      <c r="F9" s="581"/>
    </row>
    <row r="10" spans="1:6" s="210" customFormat="1">
      <c r="A10" s="204" t="s">
        <v>262</v>
      </c>
      <c r="B10" s="230" t="s">
        <v>277</v>
      </c>
      <c r="C10" s="701"/>
      <c r="D10" s="704"/>
      <c r="E10" s="577"/>
      <c r="F10" s="581"/>
    </row>
    <row r="11" spans="1:6" s="211" customFormat="1">
      <c r="A11" s="207" t="s">
        <v>263</v>
      </c>
      <c r="B11" s="226" t="s">
        <v>747</v>
      </c>
      <c r="C11" s="698">
        <v>2.5000000000000001E-2</v>
      </c>
      <c r="D11" s="703">
        <f>C11*'5. RWA '!$C$13</f>
        <v>15336172.88046515</v>
      </c>
      <c r="E11" s="577"/>
      <c r="F11" s="581"/>
    </row>
    <row r="12" spans="1:6" s="211" customFormat="1">
      <c r="A12" s="207" t="s">
        <v>264</v>
      </c>
      <c r="B12" s="226" t="s">
        <v>278</v>
      </c>
      <c r="C12" s="698">
        <v>5.0000000000000001E-3</v>
      </c>
      <c r="D12" s="703">
        <f>C12*'5. RWA '!$C$13</f>
        <v>3067234.5760930302</v>
      </c>
      <c r="E12" s="577"/>
      <c r="F12" s="581"/>
    </row>
    <row r="13" spans="1:6" s="211" customFormat="1">
      <c r="A13" s="207" t="s">
        <v>265</v>
      </c>
      <c r="B13" s="226" t="s">
        <v>279</v>
      </c>
      <c r="C13" s="698"/>
      <c r="D13" s="703">
        <f>C13*'5. RWA '!$C$13</f>
        <v>0</v>
      </c>
      <c r="E13" s="577"/>
      <c r="F13" s="581"/>
    </row>
    <row r="14" spans="1:6" s="211" customFormat="1">
      <c r="A14" s="204" t="s">
        <v>266</v>
      </c>
      <c r="B14" s="230" t="s">
        <v>326</v>
      </c>
      <c r="C14" s="702"/>
      <c r="D14" s="704"/>
      <c r="E14" s="577"/>
      <c r="F14" s="581"/>
    </row>
    <row r="15" spans="1:6" s="211" customFormat="1">
      <c r="A15" s="207">
        <v>3.1</v>
      </c>
      <c r="B15" s="226" t="s">
        <v>284</v>
      </c>
      <c r="C15" s="698">
        <v>7.4907462562802535E-2</v>
      </c>
      <c r="D15" s="703">
        <f>C15*'5. RWA '!$C$13</f>
        <v>45951751.836004429</v>
      </c>
      <c r="E15" s="577"/>
      <c r="F15" s="581"/>
    </row>
    <row r="16" spans="1:6" s="211" customFormat="1">
      <c r="A16" s="207">
        <v>3.2</v>
      </c>
      <c r="B16" s="226" t="s">
        <v>285</v>
      </c>
      <c r="C16" s="698">
        <v>9.1648250355983174E-2</v>
      </c>
      <c r="D16" s="703">
        <f>C16*'5. RWA '!$C$13</f>
        <v>56221336.466060385</v>
      </c>
      <c r="E16" s="577"/>
      <c r="F16" s="581"/>
    </row>
    <row r="17" spans="1:6" s="210" customFormat="1">
      <c r="A17" s="207">
        <v>3.3</v>
      </c>
      <c r="B17" s="226" t="s">
        <v>286</v>
      </c>
      <c r="C17" s="698">
        <v>0.1136756027154314</v>
      </c>
      <c r="D17" s="703">
        <f>C17*'5. RWA '!$C$13</f>
        <v>69733947.821397185</v>
      </c>
      <c r="E17" s="577"/>
      <c r="F17" s="581"/>
    </row>
    <row r="18" spans="1:6" s="138" customFormat="1" ht="12.75" customHeight="1">
      <c r="A18" s="232"/>
      <c r="B18" s="233" t="s">
        <v>325</v>
      </c>
      <c r="C18" s="228" t="s">
        <v>270</v>
      </c>
      <c r="D18" s="705" t="s">
        <v>271</v>
      </c>
      <c r="E18" s="577"/>
      <c r="F18" s="581"/>
    </row>
    <row r="19" spans="1:6" s="210" customFormat="1">
      <c r="A19" s="208">
        <v>4</v>
      </c>
      <c r="B19" s="226" t="s">
        <v>280</v>
      </c>
      <c r="C19" s="227">
        <f>C7+C11+C12+C13+C15</f>
        <v>0.14990746256280255</v>
      </c>
      <c r="D19" s="703">
        <f>C19*'5. RWA '!$C$13</f>
        <v>91960270.477399886</v>
      </c>
      <c r="E19" s="577"/>
      <c r="F19" s="581"/>
    </row>
    <row r="20" spans="1:6" s="210" customFormat="1">
      <c r="A20" s="208">
        <v>5</v>
      </c>
      <c r="B20" s="226" t="s">
        <v>90</v>
      </c>
      <c r="C20" s="227">
        <f>C8+C11+C12+C13+C16</f>
        <v>0.18164825035598317</v>
      </c>
      <c r="D20" s="703">
        <f>C20*'5. RWA '!$C$13</f>
        <v>111431558.83573492</v>
      </c>
      <c r="E20" s="577"/>
      <c r="F20" s="581"/>
    </row>
    <row r="21" spans="1:6" s="210" customFormat="1" ht="14.4" thickBot="1">
      <c r="A21" s="212" t="s">
        <v>267</v>
      </c>
      <c r="B21" s="213" t="s">
        <v>281</v>
      </c>
      <c r="C21" s="229">
        <f>C9+C11+C12+C13+C17</f>
        <v>0.22367560271543141</v>
      </c>
      <c r="D21" s="706">
        <f>C21*'5. RWA '!$C$13</f>
        <v>137213108.49544385</v>
      </c>
      <c r="E21" s="577"/>
      <c r="F21" s="581"/>
    </row>
    <row r="23" spans="1:6">
      <c r="B23" s="172"/>
    </row>
  </sheetData>
  <conditionalFormatting sqref="C21">
    <cfRule type="cellIs" dxfId="19" priority="1" operator="lessThan">
      <formula>#REF!</formula>
    </cfRule>
  </conditionalFormatting>
  <pageMargins left="0.7" right="0.7" top="0.75" bottom="0.75" header="0.3" footer="0.3"/>
  <pageSetup paperSize="9" orientation="portrait" r:id="rId1"/>
  <headerFooter>
    <oddFooter>&amp;C_x000D_&amp;1#&amp;"Calibri"&amp;10&amp;K000000 C1 - FOR INTERNAL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topLeftCell="A6" zoomScale="90" zoomScaleNormal="90" workbookViewId="0">
      <selection activeCell="B29" sqref="B2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33" t="str">
        <f>'9.1. Capital Requirements'!A1</f>
        <v>Bank:</v>
      </c>
      <c r="B1" s="434" t="str">
        <f>'1. key ratios '!B1</f>
        <v xml:space="preserve">PASHA Bank Georgia JSC </v>
      </c>
    </row>
    <row r="2" spans="1:3">
      <c r="A2" s="433" t="str">
        <f>'9.1. Capital Requirements'!A2</f>
        <v>Date:</v>
      </c>
      <c r="B2" s="435">
        <f>'1. key ratios '!B2</f>
        <v>45838</v>
      </c>
    </row>
    <row r="3" spans="1:3">
      <c r="A3" s="436" t="s">
        <v>675</v>
      </c>
      <c r="B3" s="437" t="s">
        <v>676</v>
      </c>
    </row>
    <row r="4" spans="1:3" ht="15" thickBot="1"/>
    <row r="5" spans="1:3">
      <c r="A5" s="438"/>
      <c r="B5" s="439" t="s">
        <v>677</v>
      </c>
      <c r="C5" s="664"/>
    </row>
    <row r="6" spans="1:3">
      <c r="A6" s="440" t="s">
        <v>697</v>
      </c>
      <c r="B6" s="441">
        <f>SUM(B7,B11)</f>
        <v>147671046.07999998</v>
      </c>
      <c r="C6" s="665"/>
    </row>
    <row r="7" spans="1:3" ht="15.6">
      <c r="A7" s="440" t="s">
        <v>683</v>
      </c>
      <c r="B7" s="441">
        <f>SUM(B8:B10)</f>
        <v>147671046.07999998</v>
      </c>
      <c r="C7" s="665"/>
    </row>
    <row r="8" spans="1:3">
      <c r="A8" s="442" t="s">
        <v>678</v>
      </c>
      <c r="B8" s="443">
        <f>'9.Capital'!C29</f>
        <v>116349646.08</v>
      </c>
      <c r="C8" s="665"/>
    </row>
    <row r="9" spans="1:3">
      <c r="A9" s="442" t="s">
        <v>679</v>
      </c>
      <c r="B9" s="443">
        <f>'9.Capital'!C42</f>
        <v>0</v>
      </c>
      <c r="C9" s="665"/>
    </row>
    <row r="10" spans="1:3">
      <c r="A10" s="442" t="s">
        <v>680</v>
      </c>
      <c r="B10" s="443">
        <f>'9.Capital'!C53</f>
        <v>31321400</v>
      </c>
      <c r="C10" s="665"/>
    </row>
    <row r="11" spans="1:3">
      <c r="A11" s="440" t="s">
        <v>684</v>
      </c>
      <c r="B11" s="441">
        <f>SUM(B12:B13)</f>
        <v>0</v>
      </c>
      <c r="C11" s="665"/>
    </row>
    <row r="12" spans="1:3" ht="15.6">
      <c r="A12" s="442" t="s">
        <v>703</v>
      </c>
      <c r="B12" s="443"/>
      <c r="C12" s="665"/>
    </row>
    <row r="13" spans="1:3" ht="15.6">
      <c r="A13" s="442" t="s">
        <v>685</v>
      </c>
      <c r="B13" s="443"/>
      <c r="C13" s="665"/>
    </row>
    <row r="14" spans="1:3">
      <c r="A14" s="440" t="s">
        <v>686</v>
      </c>
      <c r="B14" s="441">
        <f>SUM(B15:B16)</f>
        <v>147671046.07999998</v>
      </c>
      <c r="C14" s="665"/>
    </row>
    <row r="15" spans="1:3">
      <c r="A15" s="444" t="s">
        <v>687</v>
      </c>
      <c r="B15" s="443"/>
      <c r="C15" s="665"/>
    </row>
    <row r="16" spans="1:3">
      <c r="A16" s="444" t="s">
        <v>688</v>
      </c>
      <c r="B16" s="443">
        <f>B7</f>
        <v>147671046.07999998</v>
      </c>
      <c r="C16" s="665"/>
    </row>
    <row r="17" spans="1:5">
      <c r="A17" s="440" t="s">
        <v>691</v>
      </c>
      <c r="B17" s="441"/>
      <c r="C17" s="665"/>
    </row>
    <row r="18" spans="1:5">
      <c r="A18" s="444" t="s">
        <v>689</v>
      </c>
      <c r="B18" s="443">
        <f>'5. RWA '!C13</f>
        <v>613446915.218606</v>
      </c>
      <c r="C18" s="665"/>
    </row>
    <row r="19" spans="1:5">
      <c r="A19" s="444" t="s">
        <v>690</v>
      </c>
      <c r="B19" s="443">
        <f>'15.1 LR'!C32</f>
        <v>658713442.27347982</v>
      </c>
      <c r="C19" s="665"/>
    </row>
    <row r="20" spans="1:5">
      <c r="A20" s="440" t="s">
        <v>705</v>
      </c>
      <c r="B20" s="441"/>
      <c r="C20" s="665"/>
    </row>
    <row r="21" spans="1:5">
      <c r="A21" s="445" t="s">
        <v>692</v>
      </c>
      <c r="B21" s="446">
        <f>IFERROR(B6/B18,0)</f>
        <v>0.24072343085689232</v>
      </c>
      <c r="C21" s="665"/>
    </row>
    <row r="22" spans="1:5">
      <c r="A22" s="445" t="s">
        <v>709</v>
      </c>
      <c r="B22" s="446">
        <f>IFERROR(B6/B19,0)</f>
        <v>0.22418101195920487</v>
      </c>
      <c r="C22" s="714"/>
    </row>
    <row r="23" spans="1:5" ht="15" thickBot="1">
      <c r="A23" s="447" t="s">
        <v>693</v>
      </c>
      <c r="B23" s="448">
        <f>IFERROR(B6/B14,0)</f>
        <v>1</v>
      </c>
      <c r="C23" s="665"/>
    </row>
    <row r="24" spans="1:5" ht="16.5" customHeight="1">
      <c r="A24" s="449" t="s">
        <v>681</v>
      </c>
      <c r="B24" s="450"/>
      <c r="C24" s="450"/>
      <c r="D24" s="450"/>
      <c r="E24" s="450"/>
    </row>
    <row r="25" spans="1:5" ht="25.5" customHeight="1">
      <c r="A25" s="449" t="s">
        <v>702</v>
      </c>
    </row>
    <row r="26" spans="1:5" ht="42.45" customHeight="1">
      <c r="A26" s="449" t="s">
        <v>704</v>
      </c>
      <c r="B26" s="133"/>
    </row>
  </sheetData>
  <pageMargins left="0.7" right="0.7" top="0.75" bottom="0.75" header="0.3" footer="0.3"/>
  <pageSetup orientation="portrait" horizontalDpi="4294967292" r:id="rId1"/>
  <headerFooter>
    <oddFooter>&amp;C_x000D_&amp;1#&amp;"Calibri"&amp;10&amp;K000000 C1 - FOR INTERNAL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C26" sqref="C26"/>
    </sheetView>
  </sheetViews>
  <sheetFormatPr defaultRowHeight="14.4"/>
  <cols>
    <col min="1" max="1" width="56.77734375" customWidth="1"/>
    <col min="2" max="2" width="28.109375" bestFit="1" customWidth="1"/>
    <col min="3" max="3" width="28.21875" customWidth="1"/>
    <col min="4" max="6" width="28.109375" customWidth="1"/>
  </cols>
  <sheetData>
    <row r="1" spans="1:7">
      <c r="A1" s="433" t="s">
        <v>30</v>
      </c>
      <c r="B1" s="435" t="str">
        <f>'1. key ratios '!B1</f>
        <v xml:space="preserve">PASHA Bank Georgia JSC </v>
      </c>
      <c r="C1" s="133"/>
    </row>
    <row r="2" spans="1:7">
      <c r="A2" s="433" t="s">
        <v>31</v>
      </c>
      <c r="B2" s="435">
        <f>'1. key ratios '!B2</f>
        <v>45838</v>
      </c>
      <c r="C2" s="133"/>
    </row>
    <row r="3" spans="1:7">
      <c r="A3" s="436" t="s">
        <v>682</v>
      </c>
      <c r="B3" s="437" t="s">
        <v>676</v>
      </c>
      <c r="C3" s="133"/>
    </row>
    <row r="5" spans="1:7">
      <c r="A5" s="451"/>
    </row>
    <row r="6" spans="1:7" ht="15" thickBot="1">
      <c r="A6" s="452"/>
      <c r="B6" s="452"/>
      <c r="C6" s="452"/>
      <c r="D6" s="452"/>
      <c r="E6" s="452"/>
      <c r="F6" s="452"/>
    </row>
    <row r="7" spans="1:7">
      <c r="A7" s="752"/>
      <c r="B7" s="754" t="s">
        <v>708</v>
      </c>
      <c r="C7" s="754"/>
      <c r="D7" s="754"/>
      <c r="E7" s="754"/>
      <c r="F7" s="755" t="s">
        <v>64</v>
      </c>
    </row>
    <row r="8" spans="1:7">
      <c r="A8" s="753"/>
      <c r="B8" s="453" t="s">
        <v>694</v>
      </c>
      <c r="C8" s="453" t="s">
        <v>695</v>
      </c>
      <c r="D8" s="453" t="s">
        <v>696</v>
      </c>
      <c r="E8" s="453" t="s">
        <v>706</v>
      </c>
      <c r="F8" s="756"/>
    </row>
    <row r="9" spans="1:7">
      <c r="A9" s="454" t="s">
        <v>697</v>
      </c>
      <c r="B9" s="455">
        <f>B13+B17</f>
        <v>0</v>
      </c>
      <c r="C9" s="455">
        <f t="shared" ref="C9:E9" si="0">C13+C17</f>
        <v>0</v>
      </c>
      <c r="D9" s="455">
        <f t="shared" si="0"/>
        <v>0</v>
      </c>
      <c r="E9" s="455">
        <f t="shared" si="0"/>
        <v>0</v>
      </c>
      <c r="F9" s="456">
        <f>F13+F17</f>
        <v>0</v>
      </c>
      <c r="G9" s="662"/>
    </row>
    <row r="10" spans="1:7">
      <c r="A10" s="457" t="s">
        <v>699</v>
      </c>
      <c r="B10" s="458">
        <f t="shared" ref="B10:E12" si="1">B14+B18</f>
        <v>0</v>
      </c>
      <c r="C10" s="458">
        <f t="shared" si="1"/>
        <v>0</v>
      </c>
      <c r="D10" s="458">
        <f t="shared" si="1"/>
        <v>0</v>
      </c>
      <c r="E10" s="458">
        <f t="shared" si="1"/>
        <v>0</v>
      </c>
      <c r="F10" s="456">
        <f>SUM(B10:E10)</f>
        <v>0</v>
      </c>
      <c r="G10" s="662"/>
    </row>
    <row r="11" spans="1:7">
      <c r="A11" s="457" t="s">
        <v>707</v>
      </c>
      <c r="B11" s="458">
        <f t="shared" si="1"/>
        <v>0</v>
      </c>
      <c r="C11" s="458">
        <f t="shared" si="1"/>
        <v>0</v>
      </c>
      <c r="D11" s="458">
        <f t="shared" si="1"/>
        <v>0</v>
      </c>
      <c r="E11" s="458">
        <f t="shared" si="1"/>
        <v>0</v>
      </c>
      <c r="F11" s="456">
        <f t="shared" ref="F11:F12" si="2">SUM(B11:E11)</f>
        <v>0</v>
      </c>
      <c r="G11" s="662"/>
    </row>
    <row r="12" spans="1:7">
      <c r="A12" s="459" t="s">
        <v>698</v>
      </c>
      <c r="B12" s="458">
        <f t="shared" si="1"/>
        <v>0</v>
      </c>
      <c r="C12" s="458">
        <f t="shared" si="1"/>
        <v>0</v>
      </c>
      <c r="D12" s="458">
        <f t="shared" si="1"/>
        <v>0</v>
      </c>
      <c r="E12" s="458">
        <f t="shared" si="1"/>
        <v>0</v>
      </c>
      <c r="F12" s="456">
        <f t="shared" si="2"/>
        <v>0</v>
      </c>
      <c r="G12" s="662"/>
    </row>
    <row r="13" spans="1:7">
      <c r="A13" s="460" t="s">
        <v>688</v>
      </c>
      <c r="B13" s="461"/>
      <c r="C13" s="461"/>
      <c r="D13" s="461"/>
      <c r="E13" s="461"/>
      <c r="F13" s="462"/>
      <c r="G13" s="662"/>
    </row>
    <row r="14" spans="1:7">
      <c r="A14" s="457" t="s">
        <v>699</v>
      </c>
      <c r="B14" s="463"/>
      <c r="C14" s="463"/>
      <c r="D14" s="463"/>
      <c r="E14" s="463"/>
      <c r="F14" s="464"/>
      <c r="G14" s="662"/>
    </row>
    <row r="15" spans="1:7">
      <c r="A15" s="457" t="s">
        <v>707</v>
      </c>
      <c r="B15" s="463"/>
      <c r="C15" s="463"/>
      <c r="D15" s="463"/>
      <c r="E15" s="463"/>
      <c r="F15" s="464"/>
      <c r="G15" s="662"/>
    </row>
    <row r="16" spans="1:7">
      <c r="A16" s="459" t="s">
        <v>698</v>
      </c>
      <c r="B16" s="463"/>
      <c r="C16" s="463"/>
      <c r="D16" s="463"/>
      <c r="E16" s="463"/>
      <c r="F16" s="464"/>
      <c r="G16" s="662"/>
    </row>
    <row r="17" spans="1:7">
      <c r="A17" s="460" t="s">
        <v>684</v>
      </c>
      <c r="B17" s="461"/>
      <c r="C17" s="461"/>
      <c r="D17" s="461"/>
      <c r="E17" s="461"/>
      <c r="F17" s="464"/>
      <c r="G17" s="662"/>
    </row>
    <row r="18" spans="1:7">
      <c r="A18" s="457" t="s">
        <v>699</v>
      </c>
      <c r="B18" s="463"/>
      <c r="C18" s="463"/>
      <c r="D18" s="463"/>
      <c r="E18" s="463"/>
      <c r="F18" s="464"/>
      <c r="G18" s="662"/>
    </row>
    <row r="19" spans="1:7">
      <c r="A19" s="457" t="s">
        <v>707</v>
      </c>
      <c r="B19" s="463"/>
      <c r="C19" s="463"/>
      <c r="D19" s="463"/>
      <c r="E19" s="463"/>
      <c r="F19" s="464"/>
      <c r="G19" s="662"/>
    </row>
    <row r="20" spans="1:7" ht="15" thickBot="1">
      <c r="A20" s="459" t="s">
        <v>698</v>
      </c>
      <c r="B20" s="465"/>
      <c r="C20" s="465"/>
      <c r="D20" s="465"/>
      <c r="E20" s="465"/>
      <c r="F20" s="466"/>
      <c r="G20" s="662"/>
    </row>
  </sheetData>
  <mergeCells count="3">
    <mergeCell ref="A7:A8"/>
    <mergeCell ref="B7:E7"/>
    <mergeCell ref="F7:F8"/>
  </mergeCells>
  <pageMargins left="0.7" right="0.7" top="0.75" bottom="0.75" header="0.3" footer="0.3"/>
  <pageSetup orientation="portrait" horizontalDpi="4294967292" r:id="rId1"/>
  <headerFooter>
    <oddFooter>&amp;C_x000D_&amp;1#&amp;"Calibri"&amp;10&amp;K000000 C1 - FOR INTERNAL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0" activePane="bottomRight" state="frozen"/>
      <selection activeCell="B19" sqref="B19"/>
      <selection pane="topRight" activeCell="B19" sqref="B19"/>
      <selection pane="bottomLeft" activeCell="B19" sqref="B19"/>
      <selection pane="bottomRight" activeCell="F4" sqref="F4"/>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2" t="s">
        <v>30</v>
      </c>
      <c r="B1" s="3" t="str">
        <f>'Info '!C2</f>
        <v xml:space="preserve">PASHA Bank Georgia JSC </v>
      </c>
      <c r="E1" s="4"/>
      <c r="F1" s="4"/>
    </row>
    <row r="2" spans="1:6" s="2" customFormat="1" ht="15.75" customHeight="1">
      <c r="A2" s="2" t="s">
        <v>31</v>
      </c>
      <c r="B2" s="253">
        <f>'1. key ratios '!B2</f>
        <v>45838</v>
      </c>
    </row>
    <row r="3" spans="1:6" s="2" customFormat="1" ht="15.75" customHeight="1">
      <c r="A3" s="70"/>
    </row>
    <row r="4" spans="1:6" s="2" customFormat="1" ht="15.75" customHeight="1" thickBot="1">
      <c r="A4" s="2" t="s">
        <v>47</v>
      </c>
      <c r="B4" s="127" t="s">
        <v>165</v>
      </c>
      <c r="D4" s="14" t="s">
        <v>35</v>
      </c>
    </row>
    <row r="5" spans="1:6" ht="26.4">
      <c r="A5" s="71" t="s">
        <v>6</v>
      </c>
      <c r="B5" s="145" t="s">
        <v>205</v>
      </c>
      <c r="C5" s="72" t="s">
        <v>624</v>
      </c>
      <c r="D5" s="73" t="s">
        <v>49</v>
      </c>
    </row>
    <row r="6" spans="1:6" ht="14.4">
      <c r="A6" s="302">
        <v>1</v>
      </c>
      <c r="B6" s="303" t="s">
        <v>525</v>
      </c>
      <c r="C6" s="582">
        <f>SUM(C7:C9)</f>
        <v>140449262.91460001</v>
      </c>
      <c r="D6" s="74"/>
      <c r="E6" s="75"/>
      <c r="F6" s="75"/>
    </row>
    <row r="7" spans="1:6" ht="14.4">
      <c r="A7" s="302">
        <v>1.1000000000000001</v>
      </c>
      <c r="B7" s="304" t="s">
        <v>526</v>
      </c>
      <c r="C7" s="583">
        <v>4271874.5952000003</v>
      </c>
      <c r="D7" s="76"/>
      <c r="E7" s="75"/>
      <c r="F7" s="75"/>
    </row>
    <row r="8" spans="1:6" ht="14.4">
      <c r="A8" s="302">
        <v>1.2</v>
      </c>
      <c r="B8" s="304" t="s">
        <v>527</v>
      </c>
      <c r="C8" s="583">
        <v>45178575.975099996</v>
      </c>
      <c r="D8" s="76"/>
      <c r="E8" s="75"/>
      <c r="F8" s="75"/>
    </row>
    <row r="9" spans="1:6" ht="14.4">
      <c r="A9" s="302">
        <v>1.3</v>
      </c>
      <c r="B9" s="304" t="s">
        <v>528</v>
      </c>
      <c r="C9" s="583">
        <v>90998812.344300002</v>
      </c>
      <c r="D9" s="76"/>
      <c r="E9" s="75"/>
      <c r="F9" s="75"/>
    </row>
    <row r="10" spans="1:6" ht="14.4">
      <c r="A10" s="302">
        <v>2</v>
      </c>
      <c r="B10" s="305" t="s">
        <v>529</v>
      </c>
      <c r="C10" s="584">
        <f>C11</f>
        <v>1017240.6063</v>
      </c>
      <c r="D10" s="76"/>
      <c r="E10" s="75"/>
      <c r="F10" s="75"/>
    </row>
    <row r="11" spans="1:6" ht="14.4">
      <c r="A11" s="302">
        <v>2.1</v>
      </c>
      <c r="B11" s="306" t="s">
        <v>530</v>
      </c>
      <c r="C11" s="585">
        <v>1017240.6063</v>
      </c>
      <c r="D11" s="345"/>
      <c r="E11" s="75"/>
      <c r="F11" s="75"/>
    </row>
    <row r="12" spans="1:6" ht="14.4">
      <c r="A12" s="302">
        <v>3</v>
      </c>
      <c r="B12" s="307" t="s">
        <v>531</v>
      </c>
      <c r="C12" s="585"/>
      <c r="D12" s="345"/>
      <c r="E12" s="75"/>
      <c r="F12" s="75"/>
    </row>
    <row r="13" spans="1:6" ht="14.4">
      <c r="A13" s="302">
        <v>4</v>
      </c>
      <c r="B13" s="308" t="s">
        <v>532</v>
      </c>
      <c r="C13" s="585"/>
      <c r="D13" s="345"/>
      <c r="E13" s="75"/>
      <c r="F13" s="75"/>
    </row>
    <row r="14" spans="1:6" ht="14.4">
      <c r="A14" s="302">
        <v>5</v>
      </c>
      <c r="B14" s="309" t="s">
        <v>533</v>
      </c>
      <c r="C14" s="585">
        <f>SUM(C15:C17)</f>
        <v>0</v>
      </c>
      <c r="D14" s="345"/>
      <c r="E14" s="75"/>
      <c r="F14" s="75"/>
    </row>
    <row r="15" spans="1:6" ht="14.4">
      <c r="A15" s="302">
        <v>5.0999999999999996</v>
      </c>
      <c r="B15" s="310" t="s">
        <v>534</v>
      </c>
      <c r="C15" s="583"/>
      <c r="D15" s="345"/>
      <c r="E15" s="75"/>
      <c r="F15" s="75"/>
    </row>
    <row r="16" spans="1:6" ht="14.4">
      <c r="A16" s="302">
        <v>5.2</v>
      </c>
      <c r="B16" s="310" t="s">
        <v>535</v>
      </c>
      <c r="C16" s="583"/>
      <c r="D16" s="76"/>
      <c r="E16" s="75"/>
      <c r="F16" s="75"/>
    </row>
    <row r="17" spans="1:6" ht="14.4">
      <c r="A17" s="302">
        <v>5.3</v>
      </c>
      <c r="B17" s="311" t="s">
        <v>536</v>
      </c>
      <c r="C17" s="583"/>
      <c r="D17" s="76"/>
      <c r="E17" s="75"/>
      <c r="F17" s="75"/>
    </row>
    <row r="18" spans="1:6" ht="14.4">
      <c r="A18" s="302">
        <v>6</v>
      </c>
      <c r="B18" s="307" t="s">
        <v>537</v>
      </c>
      <c r="C18" s="584">
        <f>SUM(C19:C20)</f>
        <v>447335168.34139997</v>
      </c>
      <c r="D18" s="76"/>
      <c r="E18" s="75"/>
      <c r="F18" s="75"/>
    </row>
    <row r="19" spans="1:6" ht="14.4">
      <c r="A19" s="302">
        <v>6.1</v>
      </c>
      <c r="B19" s="310" t="s">
        <v>535</v>
      </c>
      <c r="C19" s="585">
        <v>82113163.333999991</v>
      </c>
      <c r="D19" s="76"/>
      <c r="E19" s="75"/>
      <c r="F19" s="75"/>
    </row>
    <row r="20" spans="1:6" ht="14.4">
      <c r="A20" s="302">
        <v>6.2</v>
      </c>
      <c r="B20" s="311" t="s">
        <v>536</v>
      </c>
      <c r="C20" s="585">
        <v>365222005.00739998</v>
      </c>
      <c r="D20" s="76"/>
      <c r="E20" s="75"/>
      <c r="F20" s="75"/>
    </row>
    <row r="21" spans="1:6" ht="14.4">
      <c r="A21" s="302">
        <v>7</v>
      </c>
      <c r="B21" s="305" t="s">
        <v>538</v>
      </c>
      <c r="C21" s="585"/>
      <c r="D21" s="76"/>
      <c r="E21" s="75"/>
      <c r="F21" s="75"/>
    </row>
    <row r="22" spans="1:6" ht="14.4">
      <c r="A22" s="302">
        <v>8</v>
      </c>
      <c r="B22" s="312" t="s">
        <v>539</v>
      </c>
      <c r="C22" s="583"/>
      <c r="D22" s="76"/>
      <c r="E22" s="75"/>
      <c r="F22" s="75"/>
    </row>
    <row r="23" spans="1:6" ht="14.4">
      <c r="A23" s="302">
        <v>9</v>
      </c>
      <c r="B23" s="308" t="s">
        <v>540</v>
      </c>
      <c r="C23" s="584">
        <f>SUM(C24:C25)</f>
        <v>6098430.21</v>
      </c>
      <c r="D23" s="346"/>
      <c r="E23" s="75"/>
      <c r="F23" s="75"/>
    </row>
    <row r="24" spans="1:6" ht="14.4">
      <c r="A24" s="302">
        <v>9.1</v>
      </c>
      <c r="B24" s="310" t="s">
        <v>541</v>
      </c>
      <c r="C24" s="586">
        <v>6098430.21</v>
      </c>
      <c r="D24" s="77"/>
      <c r="E24" s="75"/>
      <c r="F24" s="75"/>
    </row>
    <row r="25" spans="1:6" ht="14.4">
      <c r="A25" s="302">
        <v>9.1999999999999993</v>
      </c>
      <c r="B25" s="310" t="s">
        <v>542</v>
      </c>
      <c r="C25" s="587"/>
      <c r="D25" s="344"/>
      <c r="E25" s="75"/>
      <c r="F25" s="75"/>
    </row>
    <row r="26" spans="1:6" ht="14.4">
      <c r="A26" s="302">
        <v>10</v>
      </c>
      <c r="B26" s="308" t="s">
        <v>543</v>
      </c>
      <c r="C26" s="588">
        <f>SUM(C27:C28)</f>
        <v>3492009.44</v>
      </c>
      <c r="D26" s="432" t="s">
        <v>665</v>
      </c>
      <c r="E26" s="75"/>
      <c r="F26" s="75"/>
    </row>
    <row r="27" spans="1:6" ht="14.4">
      <c r="A27" s="302">
        <v>10.1</v>
      </c>
      <c r="B27" s="310" t="s">
        <v>544</v>
      </c>
      <c r="C27" s="583"/>
      <c r="D27" s="76"/>
      <c r="E27" s="75"/>
      <c r="F27" s="75"/>
    </row>
    <row r="28" spans="1:6" ht="14.4">
      <c r="A28" s="302">
        <v>10.199999999999999</v>
      </c>
      <c r="B28" s="310" t="s">
        <v>545</v>
      </c>
      <c r="C28" s="583">
        <v>3492009.44</v>
      </c>
      <c r="D28" s="76"/>
      <c r="E28" s="75"/>
      <c r="F28" s="75"/>
    </row>
    <row r="29" spans="1:6" ht="14.4">
      <c r="A29" s="302">
        <v>11</v>
      </c>
      <c r="B29" s="308" t="s">
        <v>546</v>
      </c>
      <c r="C29" s="584">
        <f>SUM(C30:C31)</f>
        <v>3458618.27</v>
      </c>
      <c r="D29" s="432" t="s">
        <v>776</v>
      </c>
      <c r="E29" s="75"/>
      <c r="F29" s="75"/>
    </row>
    <row r="30" spans="1:6" ht="14.4">
      <c r="A30" s="302">
        <v>11.1</v>
      </c>
      <c r="B30" s="310" t="s">
        <v>547</v>
      </c>
      <c r="C30" s="583"/>
      <c r="D30" s="76"/>
      <c r="E30" s="75"/>
      <c r="F30" s="75"/>
    </row>
    <row r="31" spans="1:6" ht="14.4">
      <c r="A31" s="302">
        <v>11.2</v>
      </c>
      <c r="B31" s="310" t="s">
        <v>548</v>
      </c>
      <c r="C31" s="583">
        <v>3458618.27</v>
      </c>
      <c r="D31" s="76"/>
      <c r="E31" s="75"/>
      <c r="F31" s="75"/>
    </row>
    <row r="32" spans="1:6" ht="14.4">
      <c r="A32" s="302">
        <v>13</v>
      </c>
      <c r="B32" s="308" t="s">
        <v>549</v>
      </c>
      <c r="C32" s="584">
        <v>19462763.5022</v>
      </c>
      <c r="D32" s="76"/>
      <c r="E32" s="75"/>
      <c r="F32" s="75"/>
    </row>
    <row r="33" spans="1:6" ht="14.4">
      <c r="A33" s="302">
        <v>13.1</v>
      </c>
      <c r="B33" s="313" t="s">
        <v>550</v>
      </c>
      <c r="C33" s="583">
        <v>16664937.84</v>
      </c>
      <c r="D33" s="76"/>
      <c r="E33" s="75"/>
      <c r="F33" s="75"/>
    </row>
    <row r="34" spans="1:6" ht="14.4">
      <c r="A34" s="302">
        <v>13.2</v>
      </c>
      <c r="B34" s="313" t="s">
        <v>551</v>
      </c>
      <c r="C34" s="586"/>
      <c r="D34" s="77"/>
      <c r="E34" s="75"/>
      <c r="F34" s="75"/>
    </row>
    <row r="35" spans="1:6" ht="14.4">
      <c r="A35" s="302">
        <v>14</v>
      </c>
      <c r="B35" s="314" t="s">
        <v>552</v>
      </c>
      <c r="C35" s="589">
        <f>SUM(C6,C10,C12,C13,C14,C18,C21,C22,C23,C26,C29,C32)</f>
        <v>621313493.2845</v>
      </c>
      <c r="D35" s="77"/>
      <c r="E35" s="75"/>
      <c r="F35" s="75"/>
    </row>
    <row r="36" spans="1:6" ht="14.4">
      <c r="A36" s="302"/>
      <c r="B36" s="315" t="s">
        <v>553</v>
      </c>
      <c r="C36" s="590"/>
      <c r="D36" s="78"/>
      <c r="E36" s="75"/>
      <c r="F36" s="75"/>
    </row>
    <row r="37" spans="1:6" ht="14.4">
      <c r="A37" s="302">
        <v>15</v>
      </c>
      <c r="B37" s="316" t="s">
        <v>554</v>
      </c>
      <c r="C37" s="587">
        <f>C38</f>
        <v>414825.7672</v>
      </c>
      <c r="D37" s="344"/>
      <c r="E37" s="75"/>
      <c r="F37" s="75"/>
    </row>
    <row r="38" spans="1:6" ht="14.4">
      <c r="A38" s="317">
        <v>15.1</v>
      </c>
      <c r="B38" s="318" t="s">
        <v>530</v>
      </c>
      <c r="C38" s="583">
        <v>414825.7672</v>
      </c>
      <c r="D38" s="76"/>
      <c r="E38" s="75"/>
      <c r="F38" s="75"/>
    </row>
    <row r="39" spans="1:6" ht="14.4">
      <c r="A39" s="317">
        <v>16</v>
      </c>
      <c r="B39" s="305" t="s">
        <v>555</v>
      </c>
      <c r="C39" s="583"/>
      <c r="D39" s="76"/>
      <c r="E39" s="75"/>
      <c r="F39" s="75"/>
    </row>
    <row r="40" spans="1:6" ht="14.4">
      <c r="A40" s="317">
        <v>17</v>
      </c>
      <c r="B40" s="305" t="s">
        <v>556</v>
      </c>
      <c r="C40" s="584">
        <f>SUM(C41:C44)</f>
        <v>457041347.60870004</v>
      </c>
      <c r="D40" s="76"/>
      <c r="E40" s="75"/>
      <c r="F40" s="75"/>
    </row>
    <row r="41" spans="1:6" ht="14.4">
      <c r="A41" s="317">
        <v>17.100000000000001</v>
      </c>
      <c r="B41" s="319" t="s">
        <v>557</v>
      </c>
      <c r="C41" s="583">
        <v>437056952.05800003</v>
      </c>
      <c r="D41" s="76"/>
      <c r="E41" s="75"/>
      <c r="F41" s="75"/>
    </row>
    <row r="42" spans="1:6" ht="14.4">
      <c r="A42" s="317">
        <v>17.2</v>
      </c>
      <c r="B42" s="320" t="s">
        <v>558</v>
      </c>
      <c r="C42" s="583">
        <v>15013265.75</v>
      </c>
      <c r="D42" s="76"/>
      <c r="E42" s="75"/>
      <c r="F42" s="75"/>
    </row>
    <row r="43" spans="1:6" ht="14.4">
      <c r="A43" s="317">
        <v>17.3</v>
      </c>
      <c r="B43" s="335" t="s">
        <v>559</v>
      </c>
      <c r="C43" s="586"/>
      <c r="D43" s="77"/>
      <c r="E43" s="75"/>
      <c r="F43" s="75"/>
    </row>
    <row r="44" spans="1:6" ht="14.4">
      <c r="A44" s="317">
        <v>17.399999999999999</v>
      </c>
      <c r="B44" s="336" t="s">
        <v>560</v>
      </c>
      <c r="C44" s="591">
        <v>4971129.8007000005</v>
      </c>
      <c r="D44" s="337"/>
      <c r="E44" s="75"/>
      <c r="F44" s="75"/>
    </row>
    <row r="45" spans="1:6" ht="14.4">
      <c r="A45" s="317">
        <v>18</v>
      </c>
      <c r="B45" s="325" t="s">
        <v>561</v>
      </c>
      <c r="C45" s="592">
        <v>290363.13299999997</v>
      </c>
      <c r="D45" s="343"/>
      <c r="E45" s="75"/>
      <c r="F45" s="75"/>
    </row>
    <row r="46" spans="1:6" ht="14.4">
      <c r="A46" s="317">
        <v>19</v>
      </c>
      <c r="B46" s="325" t="s">
        <v>562</v>
      </c>
      <c r="C46" s="593">
        <f>SUM(C47:C48)</f>
        <v>0</v>
      </c>
      <c r="D46" s="338"/>
      <c r="E46" s="75"/>
      <c r="F46" s="75"/>
    </row>
    <row r="47" spans="1:6" ht="14.4">
      <c r="A47" s="317">
        <v>19.100000000000001</v>
      </c>
      <c r="B47" s="339" t="s">
        <v>563</v>
      </c>
      <c r="C47" s="593"/>
      <c r="D47" s="338"/>
      <c r="E47" s="75"/>
      <c r="F47" s="75"/>
    </row>
    <row r="48" spans="1:6" ht="14.4">
      <c r="A48" s="317">
        <v>19.2</v>
      </c>
      <c r="B48" s="339" t="s">
        <v>564</v>
      </c>
      <c r="C48" s="593"/>
      <c r="D48" s="338"/>
      <c r="E48" s="75"/>
      <c r="F48" s="75"/>
    </row>
    <row r="49" spans="1:6" ht="14.4">
      <c r="A49" s="317">
        <v>20</v>
      </c>
      <c r="B49" s="321" t="s">
        <v>565</v>
      </c>
      <c r="C49" s="594">
        <v>32621914.096799999</v>
      </c>
      <c r="D49" s="432" t="s">
        <v>777</v>
      </c>
      <c r="E49" s="75"/>
      <c r="F49" s="75"/>
    </row>
    <row r="50" spans="1:6" ht="14.4">
      <c r="A50" s="317">
        <v>21</v>
      </c>
      <c r="B50" s="340" t="s">
        <v>566</v>
      </c>
      <c r="C50" s="594">
        <v>6489857.8517000005</v>
      </c>
      <c r="D50" s="338"/>
      <c r="E50" s="75"/>
      <c r="F50" s="75"/>
    </row>
    <row r="51" spans="1:6" ht="14.4">
      <c r="A51" s="317">
        <v>21.1</v>
      </c>
      <c r="B51" s="320" t="s">
        <v>567</v>
      </c>
      <c r="C51" s="593"/>
      <c r="D51" s="338"/>
      <c r="E51" s="75"/>
      <c r="F51" s="75"/>
    </row>
    <row r="52" spans="1:6" ht="14.4">
      <c r="A52" s="317">
        <v>22</v>
      </c>
      <c r="B52" s="322" t="s">
        <v>568</v>
      </c>
      <c r="C52" s="594">
        <f>SUM(C37,C39,C40,C45,C46,C49,C50)</f>
        <v>496858308.45740002</v>
      </c>
      <c r="D52" s="338"/>
      <c r="E52" s="75"/>
      <c r="F52" s="75"/>
    </row>
    <row r="53" spans="1:6" ht="14.4">
      <c r="A53" s="317"/>
      <c r="B53" s="323" t="s">
        <v>569</v>
      </c>
      <c r="C53" s="593"/>
      <c r="D53" s="338"/>
      <c r="E53" s="75"/>
      <c r="F53" s="75"/>
    </row>
    <row r="54" spans="1:6" ht="14.4">
      <c r="A54" s="317">
        <v>23</v>
      </c>
      <c r="B54" s="321" t="s">
        <v>570</v>
      </c>
      <c r="C54" s="594">
        <v>136800000</v>
      </c>
      <c r="D54" s="432" t="s">
        <v>778</v>
      </c>
      <c r="E54" s="75"/>
      <c r="F54" s="75"/>
    </row>
    <row r="55" spans="1:6" ht="14.4">
      <c r="A55" s="317">
        <v>24</v>
      </c>
      <c r="B55" s="321" t="s">
        <v>571</v>
      </c>
      <c r="C55" s="593"/>
      <c r="D55" s="338"/>
      <c r="E55" s="75"/>
      <c r="F55" s="75"/>
    </row>
    <row r="56" spans="1:6" ht="14.4">
      <c r="A56" s="317">
        <v>25</v>
      </c>
      <c r="B56" s="325" t="s">
        <v>572</v>
      </c>
      <c r="C56" s="593"/>
      <c r="D56" s="338"/>
      <c r="E56" s="75"/>
      <c r="F56" s="75"/>
    </row>
    <row r="57" spans="1:6" ht="14.4">
      <c r="A57" s="317">
        <v>26</v>
      </c>
      <c r="B57" s="325" t="s">
        <v>573</v>
      </c>
      <c r="C57" s="593"/>
      <c r="D57" s="338"/>
      <c r="E57" s="75"/>
      <c r="F57" s="75"/>
    </row>
    <row r="58" spans="1:6" ht="14.4">
      <c r="A58" s="317">
        <v>27</v>
      </c>
      <c r="B58" s="325" t="s">
        <v>574</v>
      </c>
      <c r="C58" s="594">
        <f>SUM(C59:C60)</f>
        <v>1154910.5</v>
      </c>
      <c r="D58" s="338"/>
      <c r="E58" s="75"/>
      <c r="F58" s="75"/>
    </row>
    <row r="59" spans="1:6" ht="14.4">
      <c r="A59" s="317">
        <v>27.1</v>
      </c>
      <c r="B59" s="336" t="s">
        <v>575</v>
      </c>
      <c r="C59" s="593">
        <v>1154910.5</v>
      </c>
      <c r="D59" s="338"/>
      <c r="E59" s="75"/>
      <c r="F59" s="75"/>
    </row>
    <row r="60" spans="1:6" ht="14.4">
      <c r="A60" s="317">
        <v>27.2</v>
      </c>
      <c r="B60" s="336" t="s">
        <v>576</v>
      </c>
      <c r="C60" s="593"/>
      <c r="D60" s="338"/>
      <c r="E60" s="75"/>
      <c r="F60" s="75"/>
    </row>
    <row r="61" spans="1:6" ht="14.4">
      <c r="A61" s="317">
        <v>28</v>
      </c>
      <c r="B61" s="324" t="s">
        <v>577</v>
      </c>
      <c r="C61" s="593"/>
      <c r="D61" s="338"/>
      <c r="E61" s="75"/>
      <c r="F61" s="75"/>
    </row>
    <row r="62" spans="1:6" ht="14.4">
      <c r="A62" s="317">
        <v>29</v>
      </c>
      <c r="B62" s="325" t="s">
        <v>578</v>
      </c>
      <c r="C62" s="593">
        <f>SUM(C63:C65)</f>
        <v>0</v>
      </c>
      <c r="D62" s="338"/>
      <c r="E62" s="75"/>
      <c r="F62" s="75"/>
    </row>
    <row r="63" spans="1:6" ht="14.4">
      <c r="A63" s="317">
        <v>29.1</v>
      </c>
      <c r="B63" s="341" t="s">
        <v>579</v>
      </c>
      <c r="C63" s="593"/>
      <c r="D63" s="338"/>
      <c r="E63" s="75"/>
      <c r="F63" s="75"/>
    </row>
    <row r="64" spans="1:6" ht="14.4">
      <c r="A64" s="317">
        <v>29.2</v>
      </c>
      <c r="B64" s="339" t="s">
        <v>580</v>
      </c>
      <c r="C64" s="593"/>
      <c r="D64" s="338"/>
      <c r="E64" s="75"/>
      <c r="F64" s="75"/>
    </row>
    <row r="65" spans="1:6" ht="14.4">
      <c r="A65" s="317">
        <v>29.3</v>
      </c>
      <c r="B65" s="339" t="s">
        <v>581</v>
      </c>
      <c r="C65" s="593"/>
      <c r="D65" s="338"/>
      <c r="E65" s="75"/>
      <c r="F65" s="75"/>
    </row>
    <row r="66" spans="1:6" ht="14.4">
      <c r="A66" s="317">
        <v>30</v>
      </c>
      <c r="B66" s="325" t="s">
        <v>582</v>
      </c>
      <c r="C66" s="594">
        <v>-13499726.210000001</v>
      </c>
      <c r="D66" s="432" t="s">
        <v>779</v>
      </c>
      <c r="E66" s="75"/>
      <c r="F66" s="75"/>
    </row>
    <row r="67" spans="1:6" ht="14.4">
      <c r="A67" s="317">
        <v>31</v>
      </c>
      <c r="B67" s="342" t="s">
        <v>583</v>
      </c>
      <c r="C67" s="594">
        <f>SUM(C54,C55,C56,C57,C58,C61,C62,C66)</f>
        <v>124455184.28999999</v>
      </c>
      <c r="D67" s="338"/>
      <c r="E67" s="75"/>
      <c r="F67" s="75"/>
    </row>
    <row r="68" spans="1:6" ht="14.4">
      <c r="A68" s="317">
        <v>32</v>
      </c>
      <c r="B68" s="325" t="s">
        <v>584</v>
      </c>
      <c r="C68" s="594">
        <f>SUM(C52,C67)</f>
        <v>621313492.74740005</v>
      </c>
      <c r="D68" s="338"/>
      <c r="E68" s="75"/>
      <c r="F68" s="75"/>
    </row>
  </sheetData>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zoomScale="80" zoomScaleNormal="80" workbookViewId="0">
      <pane xSplit="1" ySplit="4" topLeftCell="D18" activePane="bottomRight" state="frozen"/>
      <selection activeCell="B19" sqref="B19"/>
      <selection pane="topRight" activeCell="B19" sqref="B19"/>
      <selection pane="bottomLeft" activeCell="B19" sqref="B19"/>
      <selection pane="bottomRight" activeCell="S34" sqref="S34"/>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3" bestFit="1" customWidth="1"/>
    <col min="17" max="17" width="14.77734375" style="13" customWidth="1"/>
    <col min="18" max="18" width="13" style="13" bestFit="1" customWidth="1"/>
    <col min="19" max="19" width="34.77734375" style="13" customWidth="1"/>
    <col min="20" max="16384" width="9.21875" style="13"/>
  </cols>
  <sheetData>
    <row r="1" spans="1:19">
      <c r="A1" s="2" t="s">
        <v>30</v>
      </c>
      <c r="B1" s="3" t="str">
        <f>'Info '!C2</f>
        <v xml:space="preserve">PASHA Bank Georgia JSC </v>
      </c>
    </row>
    <row r="2" spans="1:19">
      <c r="A2" s="2" t="s">
        <v>31</v>
      </c>
      <c r="B2" s="253">
        <f>'1. key ratios '!B2</f>
        <v>45838</v>
      </c>
    </row>
    <row r="4" spans="1:19" ht="27" thickBot="1">
      <c r="A4" s="4" t="s">
        <v>146</v>
      </c>
      <c r="B4" s="164" t="s">
        <v>238</v>
      </c>
    </row>
    <row r="5" spans="1:19" s="152" customFormat="1" ht="13.8">
      <c r="A5" s="147"/>
      <c r="B5" s="148"/>
      <c r="C5" s="149" t="s">
        <v>0</v>
      </c>
      <c r="D5" s="149" t="s">
        <v>1</v>
      </c>
      <c r="E5" s="149" t="s">
        <v>2</v>
      </c>
      <c r="F5" s="149" t="s">
        <v>3</v>
      </c>
      <c r="G5" s="149" t="s">
        <v>4</v>
      </c>
      <c r="H5" s="149" t="s">
        <v>5</v>
      </c>
      <c r="I5" s="149" t="s">
        <v>8</v>
      </c>
      <c r="J5" s="149" t="s">
        <v>9</v>
      </c>
      <c r="K5" s="149" t="s">
        <v>10</v>
      </c>
      <c r="L5" s="149" t="s">
        <v>11</v>
      </c>
      <c r="M5" s="149" t="s">
        <v>12</v>
      </c>
      <c r="N5" s="149" t="s">
        <v>13</v>
      </c>
      <c r="O5" s="149" t="s">
        <v>222</v>
      </c>
      <c r="P5" s="149" t="s">
        <v>223</v>
      </c>
      <c r="Q5" s="149" t="s">
        <v>224</v>
      </c>
      <c r="R5" s="150" t="s">
        <v>225</v>
      </c>
      <c r="S5" s="151" t="s">
        <v>226</v>
      </c>
    </row>
    <row r="6" spans="1:19" s="152" customFormat="1" ht="99" customHeight="1">
      <c r="A6" s="153"/>
      <c r="B6" s="761" t="s">
        <v>227</v>
      </c>
      <c r="C6" s="757">
        <v>0</v>
      </c>
      <c r="D6" s="758"/>
      <c r="E6" s="757">
        <v>0.2</v>
      </c>
      <c r="F6" s="758"/>
      <c r="G6" s="757">
        <v>0.35</v>
      </c>
      <c r="H6" s="758"/>
      <c r="I6" s="757">
        <v>0.5</v>
      </c>
      <c r="J6" s="758"/>
      <c r="K6" s="757">
        <v>0.75</v>
      </c>
      <c r="L6" s="758"/>
      <c r="M6" s="757">
        <v>1</v>
      </c>
      <c r="N6" s="758"/>
      <c r="O6" s="757">
        <v>1.5</v>
      </c>
      <c r="P6" s="758"/>
      <c r="Q6" s="757">
        <v>2.5</v>
      </c>
      <c r="R6" s="758"/>
      <c r="S6" s="759" t="s">
        <v>145</v>
      </c>
    </row>
    <row r="7" spans="1:19" s="152" customFormat="1" ht="30.75" customHeight="1">
      <c r="A7" s="153"/>
      <c r="B7" s="762"/>
      <c r="C7" s="144" t="s">
        <v>148</v>
      </c>
      <c r="D7" s="144" t="s">
        <v>147</v>
      </c>
      <c r="E7" s="144" t="s">
        <v>148</v>
      </c>
      <c r="F7" s="144" t="s">
        <v>147</v>
      </c>
      <c r="G7" s="144" t="s">
        <v>148</v>
      </c>
      <c r="H7" s="144" t="s">
        <v>147</v>
      </c>
      <c r="I7" s="144" t="s">
        <v>148</v>
      </c>
      <c r="J7" s="144" t="s">
        <v>147</v>
      </c>
      <c r="K7" s="144" t="s">
        <v>148</v>
      </c>
      <c r="L7" s="144" t="s">
        <v>147</v>
      </c>
      <c r="M7" s="144" t="s">
        <v>148</v>
      </c>
      <c r="N7" s="144" t="s">
        <v>147</v>
      </c>
      <c r="O7" s="144" t="s">
        <v>148</v>
      </c>
      <c r="P7" s="144" t="s">
        <v>147</v>
      </c>
      <c r="Q7" s="144" t="s">
        <v>148</v>
      </c>
      <c r="R7" s="144" t="s">
        <v>147</v>
      </c>
      <c r="S7" s="760"/>
    </row>
    <row r="8" spans="1:19">
      <c r="A8" s="79">
        <v>1</v>
      </c>
      <c r="B8" s="1" t="s">
        <v>51</v>
      </c>
      <c r="C8" s="80">
        <v>8110893.3399999999</v>
      </c>
      <c r="D8" s="80"/>
      <c r="E8" s="80">
        <v>0</v>
      </c>
      <c r="F8" s="80"/>
      <c r="G8" s="80">
        <v>0</v>
      </c>
      <c r="H8" s="80"/>
      <c r="I8" s="80">
        <v>0</v>
      </c>
      <c r="J8" s="80"/>
      <c r="K8" s="80">
        <v>0</v>
      </c>
      <c r="L8" s="80"/>
      <c r="M8" s="80">
        <v>42537082.605099998</v>
      </c>
      <c r="N8" s="80"/>
      <c r="O8" s="80">
        <v>0</v>
      </c>
      <c r="P8" s="80"/>
      <c r="Q8" s="80">
        <v>0</v>
      </c>
      <c r="R8" s="80"/>
      <c r="S8" s="165">
        <f>$C$6*SUM(C8:D8)+$E$6*SUM(E8:F8)+$G$6*SUM(G8:H8)+$I$6*SUM(I8:J8)+$K$6*SUM(K8:L8)+$M$6*SUM(M8:N8)+$O$6*SUM(O8:P8)+$Q$6*SUM(Q8:R8)</f>
        <v>42537082.605099998</v>
      </c>
    </row>
    <row r="9" spans="1:19">
      <c r="A9" s="79">
        <v>2</v>
      </c>
      <c r="B9" s="1" t="s">
        <v>52</v>
      </c>
      <c r="C9" s="80">
        <v>0</v>
      </c>
      <c r="D9" s="80"/>
      <c r="E9" s="80">
        <v>0</v>
      </c>
      <c r="F9" s="80"/>
      <c r="G9" s="80">
        <v>0</v>
      </c>
      <c r="H9" s="80"/>
      <c r="I9" s="80">
        <v>0</v>
      </c>
      <c r="J9" s="80"/>
      <c r="K9" s="80">
        <v>0</v>
      </c>
      <c r="L9" s="80"/>
      <c r="M9" s="80">
        <v>0</v>
      </c>
      <c r="N9" s="80"/>
      <c r="O9" s="80">
        <v>0</v>
      </c>
      <c r="P9" s="80"/>
      <c r="Q9" s="80">
        <v>0</v>
      </c>
      <c r="R9" s="80"/>
      <c r="S9" s="165">
        <f t="shared" ref="S9:S21" si="0">$C$6*SUM(C9:D9)+$E$6*SUM(E9:F9)+$G$6*SUM(G9:H9)+$I$6*SUM(I9:J9)+$K$6*SUM(K9:L9)+$M$6*SUM(M9:N9)+$O$6*SUM(O9:P9)+$Q$6*SUM(Q9:R9)</f>
        <v>0</v>
      </c>
    </row>
    <row r="10" spans="1:19">
      <c r="A10" s="79">
        <v>3</v>
      </c>
      <c r="B10" s="1" t="s">
        <v>152</v>
      </c>
      <c r="C10" s="80">
        <v>0</v>
      </c>
      <c r="D10" s="80"/>
      <c r="E10" s="80">
        <v>0</v>
      </c>
      <c r="F10" s="80"/>
      <c r="G10" s="80">
        <v>0</v>
      </c>
      <c r="H10" s="80"/>
      <c r="I10" s="80">
        <v>0</v>
      </c>
      <c r="J10" s="80"/>
      <c r="K10" s="80">
        <v>0</v>
      </c>
      <c r="L10" s="80"/>
      <c r="M10" s="80">
        <v>0</v>
      </c>
      <c r="N10" s="80"/>
      <c r="O10" s="80">
        <v>0</v>
      </c>
      <c r="P10" s="80"/>
      <c r="Q10" s="80">
        <v>0</v>
      </c>
      <c r="R10" s="80"/>
      <c r="S10" s="165">
        <f t="shared" si="0"/>
        <v>0</v>
      </c>
    </row>
    <row r="11" spans="1:19">
      <c r="A11" s="79">
        <v>4</v>
      </c>
      <c r="B11" s="1" t="s">
        <v>53</v>
      </c>
      <c r="C11" s="80">
        <v>0</v>
      </c>
      <c r="D11" s="80"/>
      <c r="E11" s="80">
        <v>0</v>
      </c>
      <c r="F11" s="80"/>
      <c r="G11" s="80">
        <v>0</v>
      </c>
      <c r="H11" s="80"/>
      <c r="I11" s="80">
        <v>0</v>
      </c>
      <c r="J11" s="80"/>
      <c r="K11" s="80">
        <v>0</v>
      </c>
      <c r="L11" s="80"/>
      <c r="M11" s="80">
        <v>0</v>
      </c>
      <c r="N11" s="80"/>
      <c r="O11" s="80">
        <v>0</v>
      </c>
      <c r="P11" s="80"/>
      <c r="Q11" s="80">
        <v>0</v>
      </c>
      <c r="R11" s="80"/>
      <c r="S11" s="165">
        <f t="shared" si="0"/>
        <v>0</v>
      </c>
    </row>
    <row r="12" spans="1:19">
      <c r="A12" s="79">
        <v>5</v>
      </c>
      <c r="B12" s="1" t="s">
        <v>54</v>
      </c>
      <c r="C12" s="80">
        <v>0</v>
      </c>
      <c r="D12" s="80"/>
      <c r="E12" s="80">
        <v>0</v>
      </c>
      <c r="F12" s="80"/>
      <c r="G12" s="80">
        <v>0</v>
      </c>
      <c r="H12" s="80"/>
      <c r="I12" s="80">
        <v>0</v>
      </c>
      <c r="J12" s="80"/>
      <c r="K12" s="80">
        <v>0</v>
      </c>
      <c r="L12" s="80"/>
      <c r="M12" s="80">
        <v>0</v>
      </c>
      <c r="N12" s="80"/>
      <c r="O12" s="80">
        <v>0</v>
      </c>
      <c r="P12" s="80"/>
      <c r="Q12" s="80">
        <v>0</v>
      </c>
      <c r="R12" s="80"/>
      <c r="S12" s="165">
        <f t="shared" si="0"/>
        <v>0</v>
      </c>
    </row>
    <row r="13" spans="1:19">
      <c r="A13" s="79">
        <v>6</v>
      </c>
      <c r="B13" s="1" t="s">
        <v>55</v>
      </c>
      <c r="C13" s="80">
        <v>0</v>
      </c>
      <c r="D13" s="80"/>
      <c r="E13" s="80">
        <v>67652924.818100005</v>
      </c>
      <c r="F13" s="80"/>
      <c r="G13" s="80">
        <v>0</v>
      </c>
      <c r="H13" s="80"/>
      <c r="I13" s="80">
        <v>38642401.282200001</v>
      </c>
      <c r="J13" s="80"/>
      <c r="K13" s="80">
        <v>0</v>
      </c>
      <c r="L13" s="80"/>
      <c r="M13" s="80">
        <v>16732479.0592</v>
      </c>
      <c r="N13" s="80">
        <v>705611.67790000001</v>
      </c>
      <c r="O13" s="80">
        <v>246447.39079999999</v>
      </c>
      <c r="P13" s="80"/>
      <c r="Q13" s="80">
        <v>0</v>
      </c>
      <c r="R13" s="80"/>
      <c r="S13" s="165">
        <f t="shared" si="0"/>
        <v>50659547.42802</v>
      </c>
    </row>
    <row r="14" spans="1:19">
      <c r="A14" s="79">
        <v>7</v>
      </c>
      <c r="B14" s="1" t="s">
        <v>56</v>
      </c>
      <c r="C14" s="80">
        <v>0</v>
      </c>
      <c r="D14" s="80"/>
      <c r="E14" s="80">
        <v>0</v>
      </c>
      <c r="F14" s="80"/>
      <c r="G14" s="80">
        <v>0</v>
      </c>
      <c r="H14" s="80"/>
      <c r="I14" s="80">
        <v>0</v>
      </c>
      <c r="J14" s="80"/>
      <c r="K14" s="80">
        <v>0</v>
      </c>
      <c r="L14" s="80"/>
      <c r="M14" s="80">
        <v>389404872.57599998</v>
      </c>
      <c r="N14" s="80">
        <v>41046587.157399997</v>
      </c>
      <c r="O14" s="80">
        <v>0</v>
      </c>
      <c r="P14" s="80"/>
      <c r="Q14" s="80">
        <v>0</v>
      </c>
      <c r="R14" s="80"/>
      <c r="S14" s="165">
        <f t="shared" si="0"/>
        <v>430451459.73339999</v>
      </c>
    </row>
    <row r="15" spans="1:19">
      <c r="A15" s="79">
        <v>8</v>
      </c>
      <c r="B15" s="1" t="s">
        <v>57</v>
      </c>
      <c r="C15" s="80">
        <v>0</v>
      </c>
      <c r="D15" s="80"/>
      <c r="E15" s="80">
        <v>0</v>
      </c>
      <c r="F15" s="80"/>
      <c r="G15" s="80">
        <v>0</v>
      </c>
      <c r="H15" s="80"/>
      <c r="I15" s="80">
        <v>0</v>
      </c>
      <c r="J15" s="80"/>
      <c r="K15" s="80">
        <v>0</v>
      </c>
      <c r="L15" s="80"/>
      <c r="M15" s="80">
        <v>0</v>
      </c>
      <c r="N15" s="80">
        <v>865751.64270000288</v>
      </c>
      <c r="O15" s="80">
        <v>0</v>
      </c>
      <c r="P15" s="80"/>
      <c r="Q15" s="80">
        <v>0</v>
      </c>
      <c r="R15" s="80"/>
      <c r="S15" s="165">
        <f t="shared" si="0"/>
        <v>865751.64270000288</v>
      </c>
    </row>
    <row r="16" spans="1:19">
      <c r="A16" s="79">
        <v>9</v>
      </c>
      <c r="B16" s="1" t="s">
        <v>58</v>
      </c>
      <c r="C16" s="80">
        <v>0</v>
      </c>
      <c r="D16" s="80"/>
      <c r="E16" s="80">
        <v>0</v>
      </c>
      <c r="F16" s="80"/>
      <c r="G16" s="80">
        <v>0</v>
      </c>
      <c r="H16" s="80"/>
      <c r="I16" s="80">
        <v>0</v>
      </c>
      <c r="J16" s="80"/>
      <c r="K16" s="80">
        <v>0</v>
      </c>
      <c r="L16" s="80"/>
      <c r="M16" s="80">
        <v>0</v>
      </c>
      <c r="N16" s="80"/>
      <c r="O16" s="80">
        <v>0</v>
      </c>
      <c r="P16" s="80"/>
      <c r="Q16" s="80">
        <v>0</v>
      </c>
      <c r="R16" s="80"/>
      <c r="S16" s="165">
        <f t="shared" si="0"/>
        <v>0</v>
      </c>
    </row>
    <row r="17" spans="1:19">
      <c r="A17" s="79">
        <v>10</v>
      </c>
      <c r="B17" s="1" t="s">
        <v>59</v>
      </c>
      <c r="C17" s="80">
        <v>0</v>
      </c>
      <c r="D17" s="80"/>
      <c r="E17" s="80">
        <v>0</v>
      </c>
      <c r="F17" s="80"/>
      <c r="G17" s="80">
        <v>0</v>
      </c>
      <c r="H17" s="80"/>
      <c r="I17" s="80">
        <v>0</v>
      </c>
      <c r="J17" s="80"/>
      <c r="K17" s="80">
        <v>0</v>
      </c>
      <c r="L17" s="80"/>
      <c r="M17" s="80">
        <v>4466733.0427000001</v>
      </c>
      <c r="N17" s="80"/>
      <c r="O17" s="80">
        <v>15876851.605</v>
      </c>
      <c r="P17" s="80"/>
      <c r="Q17" s="80">
        <v>0</v>
      </c>
      <c r="R17" s="80"/>
      <c r="S17" s="165">
        <f t="shared" si="0"/>
        <v>28282010.450199999</v>
      </c>
    </row>
    <row r="18" spans="1:19">
      <c r="A18" s="79">
        <v>11</v>
      </c>
      <c r="B18" s="1" t="s">
        <v>60</v>
      </c>
      <c r="C18" s="80">
        <v>0</v>
      </c>
      <c r="D18" s="80"/>
      <c r="E18" s="80">
        <v>0</v>
      </c>
      <c r="F18" s="80"/>
      <c r="G18" s="80">
        <v>0</v>
      </c>
      <c r="H18" s="80"/>
      <c r="I18" s="80">
        <v>0</v>
      </c>
      <c r="J18" s="80"/>
      <c r="K18" s="80">
        <v>0</v>
      </c>
      <c r="L18" s="80"/>
      <c r="M18" s="80">
        <v>0</v>
      </c>
      <c r="N18" s="80"/>
      <c r="O18" s="80">
        <v>0</v>
      </c>
      <c r="P18" s="80"/>
      <c r="Q18" s="80">
        <v>0</v>
      </c>
      <c r="R18" s="80"/>
      <c r="S18" s="165">
        <f t="shared" si="0"/>
        <v>0</v>
      </c>
    </row>
    <row r="19" spans="1:19">
      <c r="A19" s="79">
        <v>12</v>
      </c>
      <c r="B19" s="1" t="s">
        <v>61</v>
      </c>
      <c r="C19" s="80">
        <v>0</v>
      </c>
      <c r="D19" s="80"/>
      <c r="E19" s="80">
        <v>0</v>
      </c>
      <c r="F19" s="80"/>
      <c r="G19" s="80">
        <v>0</v>
      </c>
      <c r="H19" s="80"/>
      <c r="I19" s="80">
        <v>0</v>
      </c>
      <c r="J19" s="80"/>
      <c r="K19" s="80">
        <v>0</v>
      </c>
      <c r="L19" s="80"/>
      <c r="M19" s="80">
        <v>0</v>
      </c>
      <c r="N19" s="80"/>
      <c r="O19" s="80">
        <v>0</v>
      </c>
      <c r="P19" s="80"/>
      <c r="Q19" s="80">
        <v>0</v>
      </c>
      <c r="R19" s="80"/>
      <c r="S19" s="165">
        <f t="shared" si="0"/>
        <v>0</v>
      </c>
    </row>
    <row r="20" spans="1:19">
      <c r="A20" s="79">
        <v>13</v>
      </c>
      <c r="B20" s="1" t="s">
        <v>144</v>
      </c>
      <c r="C20" s="80">
        <v>0</v>
      </c>
      <c r="D20" s="80"/>
      <c r="E20" s="80">
        <v>0</v>
      </c>
      <c r="F20" s="80"/>
      <c r="G20" s="80">
        <v>0</v>
      </c>
      <c r="H20" s="80"/>
      <c r="I20" s="80">
        <v>0</v>
      </c>
      <c r="J20" s="80"/>
      <c r="K20" s="80">
        <v>0</v>
      </c>
      <c r="L20" s="80"/>
      <c r="M20" s="80">
        <v>0</v>
      </c>
      <c r="N20" s="80"/>
      <c r="O20" s="80">
        <v>0</v>
      </c>
      <c r="P20" s="80"/>
      <c r="Q20" s="80">
        <v>0</v>
      </c>
      <c r="R20" s="80"/>
      <c r="S20" s="165">
        <f t="shared" si="0"/>
        <v>0</v>
      </c>
    </row>
    <row r="21" spans="1:19">
      <c r="A21" s="79">
        <v>14</v>
      </c>
      <c r="B21" s="1" t="s">
        <v>63</v>
      </c>
      <c r="C21" s="80">
        <v>4271874.5952000003</v>
      </c>
      <c r="D21" s="80"/>
      <c r="E21" s="80">
        <v>0</v>
      </c>
      <c r="F21" s="80"/>
      <c r="G21" s="80">
        <v>0</v>
      </c>
      <c r="H21" s="80"/>
      <c r="I21" s="80">
        <v>0</v>
      </c>
      <c r="J21" s="80"/>
      <c r="K21" s="80">
        <v>0</v>
      </c>
      <c r="L21" s="80"/>
      <c r="M21" s="80">
        <v>26420305.323900003</v>
      </c>
      <c r="N21" s="80"/>
      <c r="O21" s="80">
        <v>0</v>
      </c>
      <c r="P21" s="80"/>
      <c r="Q21" s="80">
        <v>0</v>
      </c>
      <c r="R21" s="80"/>
      <c r="S21" s="165">
        <f t="shared" si="0"/>
        <v>26420305.323900003</v>
      </c>
    </row>
    <row r="22" spans="1:19" ht="13.8" thickBot="1">
      <c r="A22" s="81"/>
      <c r="B22" s="82" t="s">
        <v>64</v>
      </c>
      <c r="C22" s="83">
        <f>SUM(C8:C21)</f>
        <v>12382767.9352</v>
      </c>
      <c r="D22" s="83">
        <f t="shared" ref="D22:J22" si="1">SUM(D8:D21)</f>
        <v>0</v>
      </c>
      <c r="E22" s="83">
        <f t="shared" si="1"/>
        <v>67652924.818100005</v>
      </c>
      <c r="F22" s="83">
        <f t="shared" si="1"/>
        <v>0</v>
      </c>
      <c r="G22" s="83">
        <f t="shared" si="1"/>
        <v>0</v>
      </c>
      <c r="H22" s="83">
        <f t="shared" si="1"/>
        <v>0</v>
      </c>
      <c r="I22" s="83">
        <f t="shared" si="1"/>
        <v>38642401.282200001</v>
      </c>
      <c r="J22" s="83">
        <f t="shared" si="1"/>
        <v>0</v>
      </c>
      <c r="K22" s="83">
        <f t="shared" ref="K22:S22" si="2">SUM(K8:K21)</f>
        <v>0</v>
      </c>
      <c r="L22" s="83">
        <f t="shared" si="2"/>
        <v>0</v>
      </c>
      <c r="M22" s="83">
        <f t="shared" si="2"/>
        <v>479561472.60689992</v>
      </c>
      <c r="N22" s="83">
        <f t="shared" si="2"/>
        <v>42617950.478</v>
      </c>
      <c r="O22" s="83">
        <f t="shared" si="2"/>
        <v>16123298.9958</v>
      </c>
      <c r="P22" s="83">
        <f t="shared" si="2"/>
        <v>0</v>
      </c>
      <c r="Q22" s="83">
        <f t="shared" si="2"/>
        <v>0</v>
      </c>
      <c r="R22" s="83">
        <f t="shared" si="2"/>
        <v>0</v>
      </c>
      <c r="S22" s="166">
        <f t="shared" si="2"/>
        <v>579216157.18332005</v>
      </c>
    </row>
    <row r="24" spans="1:19">
      <c r="C24" s="576"/>
      <c r="D24" s="576"/>
      <c r="E24" s="576"/>
      <c r="F24" s="576"/>
      <c r="G24" s="576"/>
      <c r="H24" s="576"/>
      <c r="I24" s="576"/>
      <c r="J24" s="576"/>
      <c r="K24" s="576"/>
      <c r="L24" s="576"/>
      <c r="M24" s="576"/>
      <c r="N24" s="576"/>
      <c r="O24" s="576"/>
      <c r="P24" s="576"/>
      <c r="Q24" s="576"/>
      <c r="R24" s="576"/>
      <c r="S24" s="576"/>
    </row>
    <row r="25" spans="1:19">
      <c r="C25" s="576"/>
      <c r="D25" s="576"/>
      <c r="E25" s="576"/>
      <c r="F25" s="576"/>
      <c r="G25" s="576"/>
      <c r="H25" s="576"/>
      <c r="I25" s="576"/>
      <c r="J25" s="576"/>
      <c r="K25" s="576"/>
      <c r="L25" s="576"/>
      <c r="M25" s="576"/>
      <c r="N25" s="576"/>
      <c r="O25" s="576"/>
      <c r="P25" s="576"/>
      <c r="Q25" s="576"/>
      <c r="R25" s="576"/>
      <c r="S25" s="576"/>
    </row>
    <row r="26" spans="1:19">
      <c r="C26" s="576"/>
      <c r="D26" s="576"/>
      <c r="E26" s="576"/>
      <c r="F26" s="576"/>
      <c r="G26" s="576"/>
      <c r="H26" s="576"/>
      <c r="I26" s="576"/>
      <c r="J26" s="576"/>
      <c r="K26" s="576"/>
      <c r="L26" s="576"/>
      <c r="M26" s="576"/>
      <c r="N26" s="576"/>
      <c r="O26" s="576"/>
      <c r="P26" s="576"/>
      <c r="Q26" s="576"/>
      <c r="R26" s="576"/>
      <c r="S26" s="576"/>
    </row>
    <row r="27" spans="1:19">
      <c r="C27" s="576"/>
      <c r="D27" s="576"/>
      <c r="E27" s="576"/>
      <c r="F27" s="576"/>
      <c r="G27" s="576"/>
      <c r="H27" s="576"/>
      <c r="I27" s="576"/>
      <c r="J27" s="576"/>
      <c r="K27" s="576"/>
      <c r="L27" s="576"/>
      <c r="M27" s="576"/>
      <c r="N27" s="576"/>
      <c r="O27" s="576"/>
      <c r="P27" s="576"/>
      <c r="Q27" s="576"/>
      <c r="R27" s="576"/>
      <c r="S27" s="576"/>
    </row>
    <row r="28" spans="1:19">
      <c r="C28" s="576"/>
      <c r="D28" s="576"/>
      <c r="E28" s="576"/>
      <c r="F28" s="576"/>
      <c r="G28" s="576"/>
      <c r="H28" s="576"/>
      <c r="I28" s="576"/>
      <c r="J28" s="576"/>
      <c r="K28" s="576"/>
      <c r="L28" s="576"/>
      <c r="M28" s="576"/>
      <c r="N28" s="576"/>
      <c r="O28" s="576"/>
      <c r="P28" s="576"/>
      <c r="Q28" s="576"/>
      <c r="R28" s="576"/>
      <c r="S28" s="576"/>
    </row>
    <row r="29" spans="1:19">
      <c r="C29" s="576"/>
      <c r="D29" s="576"/>
      <c r="E29" s="576"/>
      <c r="F29" s="576"/>
      <c r="G29" s="576"/>
      <c r="H29" s="576"/>
      <c r="I29" s="576"/>
      <c r="J29" s="576"/>
      <c r="K29" s="576"/>
      <c r="L29" s="576"/>
      <c r="M29" s="576"/>
      <c r="N29" s="576"/>
      <c r="O29" s="576"/>
      <c r="P29" s="576"/>
      <c r="Q29" s="576"/>
      <c r="R29" s="576"/>
      <c r="S29" s="576"/>
    </row>
    <row r="30" spans="1:19">
      <c r="C30" s="576"/>
      <c r="D30" s="576"/>
      <c r="E30" s="576"/>
      <c r="F30" s="576"/>
      <c r="G30" s="576"/>
      <c r="H30" s="576"/>
      <c r="I30" s="576"/>
      <c r="J30" s="576"/>
      <c r="K30" s="576"/>
      <c r="L30" s="576"/>
      <c r="M30" s="576"/>
      <c r="N30" s="576"/>
      <c r="O30" s="576"/>
      <c r="P30" s="576"/>
      <c r="Q30" s="576"/>
      <c r="R30" s="576"/>
      <c r="S30" s="576"/>
    </row>
    <row r="31" spans="1:19">
      <c r="C31" s="576"/>
      <c r="D31" s="576"/>
      <c r="E31" s="576"/>
      <c r="F31" s="576"/>
      <c r="G31" s="576"/>
      <c r="H31" s="576"/>
      <c r="I31" s="576"/>
      <c r="J31" s="576"/>
      <c r="K31" s="576"/>
      <c r="L31" s="576"/>
      <c r="M31" s="576"/>
      <c r="N31" s="576"/>
      <c r="O31" s="576"/>
      <c r="P31" s="576"/>
      <c r="Q31" s="576"/>
      <c r="R31" s="576"/>
      <c r="S31" s="576"/>
    </row>
    <row r="32" spans="1:19">
      <c r="C32" s="576"/>
      <c r="D32" s="576"/>
      <c r="E32" s="576"/>
      <c r="F32" s="576"/>
      <c r="G32" s="576"/>
      <c r="H32" s="576"/>
      <c r="I32" s="576"/>
      <c r="J32" s="576"/>
      <c r="K32" s="576"/>
      <c r="L32" s="576"/>
      <c r="M32" s="576"/>
      <c r="N32" s="576"/>
      <c r="O32" s="576"/>
      <c r="P32" s="576"/>
      <c r="Q32" s="576"/>
      <c r="R32" s="576"/>
      <c r="S32" s="576"/>
    </row>
    <row r="33" spans="3:19">
      <c r="C33" s="576"/>
      <c r="D33" s="576"/>
      <c r="E33" s="576"/>
      <c r="F33" s="576"/>
      <c r="G33" s="576"/>
      <c r="H33" s="576"/>
      <c r="I33" s="576"/>
      <c r="J33" s="576"/>
      <c r="K33" s="576"/>
      <c r="L33" s="576"/>
      <c r="M33" s="576"/>
      <c r="N33" s="576"/>
      <c r="O33" s="576"/>
      <c r="P33" s="576"/>
      <c r="Q33" s="576"/>
      <c r="R33" s="576"/>
      <c r="S33" s="576"/>
    </row>
    <row r="34" spans="3:19">
      <c r="C34" s="576"/>
      <c r="D34" s="576"/>
      <c r="E34" s="576"/>
      <c r="F34" s="576"/>
      <c r="G34" s="576"/>
      <c r="H34" s="576"/>
      <c r="I34" s="576"/>
      <c r="J34" s="576"/>
      <c r="K34" s="576"/>
      <c r="L34" s="576"/>
      <c r="M34" s="576"/>
      <c r="N34" s="576"/>
      <c r="O34" s="576"/>
      <c r="P34" s="576"/>
      <c r="Q34" s="576"/>
      <c r="R34" s="576"/>
      <c r="S34" s="576"/>
    </row>
    <row r="35" spans="3:19">
      <c r="C35" s="576"/>
      <c r="D35" s="576"/>
      <c r="E35" s="576"/>
      <c r="F35" s="576"/>
      <c r="G35" s="576"/>
      <c r="H35" s="576"/>
      <c r="I35" s="576"/>
      <c r="J35" s="576"/>
      <c r="K35" s="576"/>
      <c r="L35" s="576"/>
      <c r="M35" s="576"/>
      <c r="N35" s="576"/>
      <c r="O35" s="576"/>
      <c r="P35" s="576"/>
      <c r="Q35" s="576"/>
      <c r="R35" s="576"/>
      <c r="S35" s="576"/>
    </row>
    <row r="36" spans="3:19">
      <c r="C36" s="576"/>
      <c r="D36" s="576"/>
      <c r="E36" s="576"/>
      <c r="F36" s="576"/>
      <c r="G36" s="576"/>
      <c r="H36" s="576"/>
      <c r="I36" s="576"/>
      <c r="J36" s="576"/>
      <c r="K36" s="576"/>
      <c r="L36" s="576"/>
      <c r="M36" s="576"/>
      <c r="N36" s="576"/>
      <c r="O36" s="576"/>
      <c r="P36" s="576"/>
      <c r="Q36" s="576"/>
      <c r="R36" s="576"/>
      <c r="S36" s="576"/>
    </row>
    <row r="37" spans="3:19">
      <c r="C37" s="576"/>
      <c r="D37" s="576"/>
      <c r="E37" s="576"/>
      <c r="F37" s="576"/>
      <c r="G37" s="576"/>
      <c r="H37" s="576"/>
      <c r="I37" s="576"/>
      <c r="J37" s="576"/>
      <c r="K37" s="576"/>
      <c r="L37" s="576"/>
      <c r="M37" s="576"/>
      <c r="N37" s="576"/>
      <c r="O37" s="576"/>
      <c r="P37" s="576"/>
      <c r="Q37" s="576"/>
      <c r="R37" s="576"/>
      <c r="S37" s="576"/>
    </row>
    <row r="38" spans="3:19">
      <c r="C38" s="576"/>
      <c r="D38" s="576"/>
      <c r="E38" s="576"/>
      <c r="F38" s="576"/>
      <c r="G38" s="576"/>
      <c r="H38" s="576"/>
      <c r="I38" s="576"/>
      <c r="J38" s="576"/>
      <c r="K38" s="576"/>
      <c r="L38" s="576"/>
      <c r="M38" s="576"/>
      <c r="N38" s="576"/>
      <c r="O38" s="576"/>
      <c r="P38" s="576"/>
      <c r="Q38" s="576"/>
      <c r="R38" s="576"/>
      <c r="S38" s="576"/>
    </row>
    <row r="39" spans="3:19">
      <c r="C39" s="575"/>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Footer>&amp;C_x000D_&amp;1#&amp;"Calibri"&amp;10&amp;K000000 C1 - FOR INTERNAL USE ONLY</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P13" activePane="bottomRight" state="frozen"/>
      <selection activeCell="B19" sqref="B19"/>
      <selection pane="topRight" activeCell="B19" sqref="B19"/>
      <selection pane="bottomLeft" activeCell="B19" sqref="B19"/>
      <selection pane="bottomRight" activeCell="U25" sqref="U25"/>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3"/>
  </cols>
  <sheetData>
    <row r="1" spans="1:22">
      <c r="A1" s="2" t="s">
        <v>30</v>
      </c>
      <c r="B1" s="3" t="str">
        <f>'Info '!C2</f>
        <v xml:space="preserve">PASHA Bank Georgia JSC </v>
      </c>
    </row>
    <row r="2" spans="1:22">
      <c r="A2" s="2" t="s">
        <v>31</v>
      </c>
      <c r="B2" s="253">
        <f>'1. key ratios '!B2</f>
        <v>45838</v>
      </c>
    </row>
    <row r="4" spans="1:22" ht="13.8" thickBot="1">
      <c r="A4" s="4" t="s">
        <v>230</v>
      </c>
      <c r="B4" s="84" t="s">
        <v>50</v>
      </c>
      <c r="V4" s="14" t="s">
        <v>35</v>
      </c>
    </row>
    <row r="5" spans="1:22" ht="12.75" customHeight="1">
      <c r="A5" s="85"/>
      <c r="B5" s="86"/>
      <c r="C5" s="763" t="s">
        <v>156</v>
      </c>
      <c r="D5" s="764"/>
      <c r="E5" s="764"/>
      <c r="F5" s="764"/>
      <c r="G5" s="764"/>
      <c r="H5" s="764"/>
      <c r="I5" s="764"/>
      <c r="J5" s="764"/>
      <c r="K5" s="764"/>
      <c r="L5" s="765"/>
      <c r="M5" s="766" t="s">
        <v>157</v>
      </c>
      <c r="N5" s="767"/>
      <c r="O5" s="767"/>
      <c r="P5" s="767"/>
      <c r="Q5" s="767"/>
      <c r="R5" s="767"/>
      <c r="S5" s="768"/>
      <c r="T5" s="771" t="s">
        <v>228</v>
      </c>
      <c r="U5" s="771" t="s">
        <v>229</v>
      </c>
      <c r="V5" s="769" t="s">
        <v>76</v>
      </c>
    </row>
    <row r="6" spans="1:22" s="44" customFormat="1" ht="105.6">
      <c r="A6" s="42"/>
      <c r="B6" s="87"/>
      <c r="C6" s="88" t="s">
        <v>65</v>
      </c>
      <c r="D6" s="128" t="s">
        <v>66</v>
      </c>
      <c r="E6" s="106" t="s">
        <v>159</v>
      </c>
      <c r="F6" s="106" t="s">
        <v>160</v>
      </c>
      <c r="G6" s="128" t="s">
        <v>163</v>
      </c>
      <c r="H6" s="128" t="s">
        <v>158</v>
      </c>
      <c r="I6" s="128" t="s">
        <v>67</v>
      </c>
      <c r="J6" s="128" t="s">
        <v>68</v>
      </c>
      <c r="K6" s="89" t="s">
        <v>69</v>
      </c>
      <c r="L6" s="90" t="s">
        <v>70</v>
      </c>
      <c r="M6" s="88" t="s">
        <v>161</v>
      </c>
      <c r="N6" s="89" t="s">
        <v>71</v>
      </c>
      <c r="O6" s="89" t="s">
        <v>72</v>
      </c>
      <c r="P6" s="89" t="s">
        <v>73</v>
      </c>
      <c r="Q6" s="89" t="s">
        <v>74</v>
      </c>
      <c r="R6" s="89" t="s">
        <v>75</v>
      </c>
      <c r="S6" s="146" t="s">
        <v>162</v>
      </c>
      <c r="T6" s="772"/>
      <c r="U6" s="772"/>
      <c r="V6" s="770"/>
    </row>
    <row r="7" spans="1:22">
      <c r="A7" s="91">
        <v>1</v>
      </c>
      <c r="B7" s="1" t="s">
        <v>51</v>
      </c>
      <c r="C7" s="92"/>
      <c r="D7" s="80"/>
      <c r="E7" s="80"/>
      <c r="F7" s="80"/>
      <c r="G7" s="80"/>
      <c r="H7" s="80"/>
      <c r="I7" s="80"/>
      <c r="J7" s="80"/>
      <c r="K7" s="80"/>
      <c r="L7" s="93"/>
      <c r="M7" s="92"/>
      <c r="N7" s="80"/>
      <c r="O7" s="80"/>
      <c r="P7" s="80"/>
      <c r="Q7" s="80"/>
      <c r="R7" s="80"/>
      <c r="S7" s="93"/>
      <c r="T7" s="154"/>
      <c r="U7" s="154"/>
      <c r="V7" s="94">
        <f>SUM(C7:S7)</f>
        <v>0</v>
      </c>
    </row>
    <row r="8" spans="1:22">
      <c r="A8" s="91">
        <v>2</v>
      </c>
      <c r="B8" s="1" t="s">
        <v>52</v>
      </c>
      <c r="C8" s="92"/>
      <c r="D8" s="80"/>
      <c r="E8" s="80"/>
      <c r="F8" s="80"/>
      <c r="G8" s="80"/>
      <c r="H8" s="80"/>
      <c r="I8" s="80"/>
      <c r="J8" s="80"/>
      <c r="K8" s="80"/>
      <c r="L8" s="93"/>
      <c r="M8" s="92"/>
      <c r="N8" s="80"/>
      <c r="O8" s="80"/>
      <c r="P8" s="80"/>
      <c r="Q8" s="80"/>
      <c r="R8" s="80"/>
      <c r="S8" s="93"/>
      <c r="T8" s="154"/>
      <c r="U8" s="154"/>
      <c r="V8" s="94">
        <f t="shared" ref="V8:V20" si="0">SUM(C8:S8)</f>
        <v>0</v>
      </c>
    </row>
    <row r="9" spans="1:22">
      <c r="A9" s="91">
        <v>3</v>
      </c>
      <c r="B9" s="1" t="s">
        <v>153</v>
      </c>
      <c r="C9" s="92"/>
      <c r="D9" s="80"/>
      <c r="E9" s="80"/>
      <c r="F9" s="80"/>
      <c r="G9" s="80"/>
      <c r="H9" s="80"/>
      <c r="I9" s="80"/>
      <c r="J9" s="80"/>
      <c r="K9" s="80"/>
      <c r="L9" s="93"/>
      <c r="M9" s="92"/>
      <c r="N9" s="80"/>
      <c r="O9" s="80"/>
      <c r="P9" s="80"/>
      <c r="Q9" s="80"/>
      <c r="R9" s="80"/>
      <c r="S9" s="93"/>
      <c r="T9" s="154"/>
      <c r="U9" s="154"/>
      <c r="V9" s="94">
        <f t="shared" si="0"/>
        <v>0</v>
      </c>
    </row>
    <row r="10" spans="1:22">
      <c r="A10" s="91">
        <v>4</v>
      </c>
      <c r="B10" s="1" t="s">
        <v>53</v>
      </c>
      <c r="C10" s="92"/>
      <c r="D10" s="80"/>
      <c r="E10" s="80"/>
      <c r="F10" s="80"/>
      <c r="G10" s="80"/>
      <c r="H10" s="80"/>
      <c r="I10" s="80"/>
      <c r="J10" s="80"/>
      <c r="K10" s="80"/>
      <c r="L10" s="93"/>
      <c r="M10" s="92"/>
      <c r="N10" s="80"/>
      <c r="O10" s="80"/>
      <c r="P10" s="80"/>
      <c r="Q10" s="80"/>
      <c r="R10" s="80"/>
      <c r="S10" s="93"/>
      <c r="T10" s="154"/>
      <c r="U10" s="154"/>
      <c r="V10" s="94">
        <f t="shared" si="0"/>
        <v>0</v>
      </c>
    </row>
    <row r="11" spans="1:22">
      <c r="A11" s="91">
        <v>5</v>
      </c>
      <c r="B11" s="1" t="s">
        <v>54</v>
      </c>
      <c r="C11" s="92"/>
      <c r="D11" s="80"/>
      <c r="E11" s="80"/>
      <c r="F11" s="80"/>
      <c r="G11" s="80"/>
      <c r="H11" s="80"/>
      <c r="I11" s="80"/>
      <c r="J11" s="80"/>
      <c r="K11" s="80"/>
      <c r="L11" s="93"/>
      <c r="M11" s="92"/>
      <c r="N11" s="80"/>
      <c r="O11" s="80"/>
      <c r="P11" s="80"/>
      <c r="Q11" s="80"/>
      <c r="R11" s="80"/>
      <c r="S11" s="93"/>
      <c r="T11" s="154"/>
      <c r="U11" s="154"/>
      <c r="V11" s="94">
        <f t="shared" si="0"/>
        <v>0</v>
      </c>
    </row>
    <row r="12" spans="1:22">
      <c r="A12" s="91">
        <v>6</v>
      </c>
      <c r="B12" s="1" t="s">
        <v>55</v>
      </c>
      <c r="C12" s="92"/>
      <c r="D12" s="80"/>
      <c r="E12" s="80"/>
      <c r="F12" s="80"/>
      <c r="G12" s="80"/>
      <c r="H12" s="80"/>
      <c r="I12" s="80"/>
      <c r="J12" s="80"/>
      <c r="K12" s="80"/>
      <c r="L12" s="93"/>
      <c r="M12" s="92"/>
      <c r="N12" s="80"/>
      <c r="O12" s="80"/>
      <c r="P12" s="80"/>
      <c r="Q12" s="80"/>
      <c r="R12" s="80"/>
      <c r="S12" s="93"/>
      <c r="T12" s="154"/>
      <c r="U12" s="154"/>
      <c r="V12" s="94">
        <f t="shared" si="0"/>
        <v>0</v>
      </c>
    </row>
    <row r="13" spans="1:22">
      <c r="A13" s="91">
        <v>7</v>
      </c>
      <c r="B13" s="1" t="s">
        <v>56</v>
      </c>
      <c r="C13" s="92"/>
      <c r="D13" s="80">
        <v>46743339.809299998</v>
      </c>
      <c r="E13" s="80"/>
      <c r="F13" s="80"/>
      <c r="G13" s="80"/>
      <c r="H13" s="80"/>
      <c r="I13" s="80"/>
      <c r="J13" s="80"/>
      <c r="K13" s="80"/>
      <c r="L13" s="93"/>
      <c r="M13" s="92"/>
      <c r="N13" s="80"/>
      <c r="O13" s="80"/>
      <c r="P13" s="80"/>
      <c r="Q13" s="80"/>
      <c r="R13" s="80"/>
      <c r="S13" s="93"/>
      <c r="T13" s="154">
        <v>44792054.809299998</v>
      </c>
      <c r="U13" s="154">
        <v>1951285</v>
      </c>
      <c r="V13" s="94">
        <f t="shared" si="0"/>
        <v>46743339.809299998</v>
      </c>
    </row>
    <row r="14" spans="1:22">
      <c r="A14" s="91">
        <v>8</v>
      </c>
      <c r="B14" s="1" t="s">
        <v>57</v>
      </c>
      <c r="C14" s="92"/>
      <c r="D14" s="80"/>
      <c r="E14" s="80"/>
      <c r="F14" s="80"/>
      <c r="G14" s="80"/>
      <c r="H14" s="80"/>
      <c r="I14" s="80"/>
      <c r="J14" s="80"/>
      <c r="K14" s="80"/>
      <c r="L14" s="93"/>
      <c r="M14" s="92"/>
      <c r="N14" s="80"/>
      <c r="O14" s="80"/>
      <c r="P14" s="80"/>
      <c r="Q14" s="80"/>
      <c r="R14" s="80"/>
      <c r="S14" s="93"/>
      <c r="T14" s="154">
        <v>0</v>
      </c>
      <c r="U14" s="154">
        <v>0</v>
      </c>
      <c r="V14" s="94">
        <f t="shared" si="0"/>
        <v>0</v>
      </c>
    </row>
    <row r="15" spans="1:22">
      <c r="A15" s="91">
        <v>9</v>
      </c>
      <c r="B15" s="1" t="s">
        <v>58</v>
      </c>
      <c r="C15" s="92"/>
      <c r="D15" s="80"/>
      <c r="E15" s="80"/>
      <c r="F15" s="80"/>
      <c r="G15" s="80"/>
      <c r="H15" s="80"/>
      <c r="I15" s="80"/>
      <c r="J15" s="80"/>
      <c r="K15" s="80"/>
      <c r="L15" s="93"/>
      <c r="M15" s="92"/>
      <c r="N15" s="80"/>
      <c r="O15" s="80"/>
      <c r="P15" s="80"/>
      <c r="Q15" s="80"/>
      <c r="R15" s="80"/>
      <c r="S15" s="93"/>
      <c r="T15" s="154"/>
      <c r="U15" s="154"/>
      <c r="V15" s="94">
        <f t="shared" si="0"/>
        <v>0</v>
      </c>
    </row>
    <row r="16" spans="1:22">
      <c r="A16" s="91">
        <v>10</v>
      </c>
      <c r="B16" s="1" t="s">
        <v>59</v>
      </c>
      <c r="C16" s="92"/>
      <c r="D16" s="80"/>
      <c r="E16" s="80"/>
      <c r="F16" s="80"/>
      <c r="G16" s="80"/>
      <c r="H16" s="80"/>
      <c r="I16" s="80"/>
      <c r="J16" s="80"/>
      <c r="K16" s="80"/>
      <c r="L16" s="93"/>
      <c r="M16" s="92"/>
      <c r="N16" s="80"/>
      <c r="O16" s="80"/>
      <c r="P16" s="80"/>
      <c r="Q16" s="80"/>
      <c r="R16" s="80"/>
      <c r="S16" s="93"/>
      <c r="T16" s="154"/>
      <c r="U16" s="154"/>
      <c r="V16" s="94">
        <f t="shared" si="0"/>
        <v>0</v>
      </c>
    </row>
    <row r="17" spans="1:22">
      <c r="A17" s="91">
        <v>11</v>
      </c>
      <c r="B17" s="1" t="s">
        <v>60</v>
      </c>
      <c r="C17" s="92"/>
      <c r="D17" s="80"/>
      <c r="E17" s="80"/>
      <c r="F17" s="80"/>
      <c r="G17" s="80"/>
      <c r="H17" s="80"/>
      <c r="I17" s="80"/>
      <c r="J17" s="80"/>
      <c r="K17" s="80"/>
      <c r="L17" s="93"/>
      <c r="M17" s="92"/>
      <c r="N17" s="80"/>
      <c r="O17" s="80"/>
      <c r="P17" s="80"/>
      <c r="Q17" s="80"/>
      <c r="R17" s="80"/>
      <c r="S17" s="93"/>
      <c r="T17" s="154"/>
      <c r="U17" s="154"/>
      <c r="V17" s="94">
        <f t="shared" si="0"/>
        <v>0</v>
      </c>
    </row>
    <row r="18" spans="1:22">
      <c r="A18" s="91">
        <v>12</v>
      </c>
      <c r="B18" s="1" t="s">
        <v>61</v>
      </c>
      <c r="C18" s="92"/>
      <c r="D18" s="80"/>
      <c r="E18" s="80"/>
      <c r="F18" s="80"/>
      <c r="G18" s="80"/>
      <c r="H18" s="80"/>
      <c r="I18" s="80"/>
      <c r="J18" s="80"/>
      <c r="K18" s="80"/>
      <c r="L18" s="93"/>
      <c r="M18" s="92"/>
      <c r="N18" s="80"/>
      <c r="O18" s="80"/>
      <c r="P18" s="80"/>
      <c r="Q18" s="80"/>
      <c r="R18" s="80"/>
      <c r="S18" s="93"/>
      <c r="T18" s="154"/>
      <c r="U18" s="154"/>
      <c r="V18" s="94">
        <f t="shared" si="0"/>
        <v>0</v>
      </c>
    </row>
    <row r="19" spans="1:22">
      <c r="A19" s="91">
        <v>13</v>
      </c>
      <c r="B19" s="1" t="s">
        <v>62</v>
      </c>
      <c r="C19" s="92"/>
      <c r="D19" s="80"/>
      <c r="E19" s="80"/>
      <c r="F19" s="80"/>
      <c r="G19" s="80"/>
      <c r="H19" s="80"/>
      <c r="I19" s="80"/>
      <c r="J19" s="80"/>
      <c r="K19" s="80"/>
      <c r="L19" s="93"/>
      <c r="M19" s="92"/>
      <c r="N19" s="80"/>
      <c r="O19" s="80"/>
      <c r="P19" s="80"/>
      <c r="Q19" s="80"/>
      <c r="R19" s="80"/>
      <c r="S19" s="93"/>
      <c r="T19" s="154"/>
      <c r="U19" s="154"/>
      <c r="V19" s="94">
        <f t="shared" si="0"/>
        <v>0</v>
      </c>
    </row>
    <row r="20" spans="1:22">
      <c r="A20" s="91">
        <v>14</v>
      </c>
      <c r="B20" s="1" t="s">
        <v>63</v>
      </c>
      <c r="C20" s="92"/>
      <c r="D20" s="80"/>
      <c r="E20" s="80"/>
      <c r="F20" s="80"/>
      <c r="G20" s="80"/>
      <c r="H20" s="80"/>
      <c r="I20" s="80"/>
      <c r="J20" s="80"/>
      <c r="K20" s="80"/>
      <c r="L20" s="93"/>
      <c r="M20" s="92"/>
      <c r="N20" s="80"/>
      <c r="O20" s="80"/>
      <c r="P20" s="80"/>
      <c r="Q20" s="80"/>
      <c r="R20" s="80"/>
      <c r="S20" s="93"/>
      <c r="T20" s="154"/>
      <c r="U20" s="154"/>
      <c r="V20" s="94">
        <f t="shared" si="0"/>
        <v>0</v>
      </c>
    </row>
    <row r="21" spans="1:22" ht="13.8" thickBot="1">
      <c r="A21" s="81"/>
      <c r="B21" s="95" t="s">
        <v>64</v>
      </c>
      <c r="C21" s="96">
        <f>SUM(C7:C20)</f>
        <v>0</v>
      </c>
      <c r="D21" s="83">
        <f t="shared" ref="D21:V21" si="1">SUM(D7:D20)</f>
        <v>46743339.809299998</v>
      </c>
      <c r="E21" s="83">
        <f t="shared" si="1"/>
        <v>0</v>
      </c>
      <c r="F21" s="83">
        <f t="shared" si="1"/>
        <v>0</v>
      </c>
      <c r="G21" s="83">
        <f t="shared" si="1"/>
        <v>0</v>
      </c>
      <c r="H21" s="83">
        <f t="shared" si="1"/>
        <v>0</v>
      </c>
      <c r="I21" s="83">
        <f t="shared" si="1"/>
        <v>0</v>
      </c>
      <c r="J21" s="83">
        <f t="shared" si="1"/>
        <v>0</v>
      </c>
      <c r="K21" s="83">
        <f t="shared" si="1"/>
        <v>0</v>
      </c>
      <c r="L21" s="97">
        <f t="shared" si="1"/>
        <v>0</v>
      </c>
      <c r="M21" s="96">
        <f t="shared" si="1"/>
        <v>0</v>
      </c>
      <c r="N21" s="83">
        <f t="shared" si="1"/>
        <v>0</v>
      </c>
      <c r="O21" s="83">
        <f t="shared" si="1"/>
        <v>0</v>
      </c>
      <c r="P21" s="83">
        <f t="shared" si="1"/>
        <v>0</v>
      </c>
      <c r="Q21" s="83">
        <f t="shared" si="1"/>
        <v>0</v>
      </c>
      <c r="R21" s="83">
        <f t="shared" si="1"/>
        <v>0</v>
      </c>
      <c r="S21" s="97">
        <f>SUM(S7:S20)</f>
        <v>0</v>
      </c>
      <c r="T21" s="97">
        <f>SUM(T7:T20)</f>
        <v>44792054.809299998</v>
      </c>
      <c r="U21" s="97">
        <f t="shared" ref="U21" si="2">SUM(U7:U20)</f>
        <v>1951285</v>
      </c>
      <c r="V21" s="98">
        <f t="shared" si="1"/>
        <v>46743339.809299998</v>
      </c>
    </row>
    <row r="23" spans="1:22">
      <c r="C23" s="576"/>
      <c r="D23" s="576"/>
      <c r="E23" s="576"/>
      <c r="F23" s="576"/>
      <c r="G23" s="576"/>
      <c r="H23" s="576"/>
      <c r="I23" s="576"/>
      <c r="J23" s="576"/>
      <c r="K23" s="576"/>
      <c r="L23" s="576"/>
      <c r="M23" s="576"/>
      <c r="N23" s="576"/>
      <c r="O23" s="576"/>
      <c r="P23" s="576"/>
      <c r="Q23" s="576"/>
      <c r="R23" s="576"/>
      <c r="S23" s="576"/>
      <c r="T23" s="576"/>
      <c r="U23" s="576"/>
      <c r="V23" s="576"/>
    </row>
    <row r="24" spans="1:22">
      <c r="C24" s="21"/>
      <c r="D24" s="21"/>
      <c r="E24" s="21"/>
    </row>
    <row r="25" spans="1:22">
      <c r="A25" s="41"/>
      <c r="B25" s="41"/>
      <c r="D25" s="21"/>
      <c r="E25" s="21"/>
    </row>
    <row r="26" spans="1:22">
      <c r="A26" s="41"/>
      <c r="B26" s="22"/>
      <c r="D26" s="21"/>
      <c r="E26" s="21"/>
    </row>
    <row r="27" spans="1:22">
      <c r="A27" s="41"/>
      <c r="B27" s="41"/>
      <c r="D27" s="21"/>
      <c r="E27" s="21"/>
    </row>
    <row r="28" spans="1:22">
      <c r="A28" s="41"/>
      <c r="B28" s="22"/>
      <c r="D28" s="21"/>
      <c r="E28" s="21"/>
    </row>
  </sheetData>
  <mergeCells count="5">
    <mergeCell ref="C5:L5"/>
    <mergeCell ref="M5:S5"/>
    <mergeCell ref="V5:V6"/>
    <mergeCell ref="T5:T6"/>
    <mergeCell ref="U5:U6"/>
  </mergeCells>
  <pageMargins left="0.7" right="0.7" top="0.75" bottom="0.75" header="0.3" footer="0.3"/>
  <pageSetup paperSize="9" orientation="portrait" r:id="rId1"/>
  <headerFooter>
    <oddFooter>&amp;C_x000D_&amp;1#&amp;"Calibri"&amp;10&amp;K000000 C1 - FOR INTERNAL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N40"/>
  <sheetViews>
    <sheetView zoomScale="80" zoomScaleNormal="80" workbookViewId="0">
      <pane xSplit="1" ySplit="7" topLeftCell="D8" activePane="bottomRight" state="frozen"/>
      <selection activeCell="B19" sqref="B19"/>
      <selection pane="topRight" activeCell="B19" sqref="B19"/>
      <selection pane="bottomLeft" activeCell="B19" sqref="B19"/>
      <selection pane="bottomRight" activeCell="L13" sqref="L13"/>
    </sheetView>
  </sheetViews>
  <sheetFormatPr defaultColWidth="9.21875" defaultRowHeight="13.8"/>
  <cols>
    <col min="1" max="1" width="10.5546875" style="4" bestFit="1" customWidth="1"/>
    <col min="2" max="2" width="101.77734375" style="4" customWidth="1"/>
    <col min="3" max="3" width="13.77734375" style="133" customWidth="1"/>
    <col min="4" max="4" width="14.77734375" style="133" bestFit="1" customWidth="1"/>
    <col min="5" max="5" width="17.77734375" style="133" customWidth="1"/>
    <col min="6" max="6" width="15.77734375" style="133" customWidth="1"/>
    <col min="7" max="7" width="17.44140625" style="133" customWidth="1"/>
    <col min="8" max="8" width="15.21875" style="133" customWidth="1"/>
    <col min="9" max="16384" width="9.21875" style="13"/>
  </cols>
  <sheetData>
    <row r="1" spans="1:14">
      <c r="A1" s="2" t="s">
        <v>30</v>
      </c>
      <c r="B1" s="4" t="str">
        <f>'Info '!C2</f>
        <v xml:space="preserve">PASHA Bank Georgia JSC </v>
      </c>
      <c r="C1" s="3"/>
    </row>
    <row r="2" spans="1:14">
      <c r="A2" s="2" t="s">
        <v>31</v>
      </c>
      <c r="B2" s="253">
        <f>'1. key ratios '!B2</f>
        <v>45838</v>
      </c>
      <c r="C2" s="253"/>
    </row>
    <row r="4" spans="1:14" ht="14.4" thickBot="1">
      <c r="A4" s="2" t="s">
        <v>150</v>
      </c>
      <c r="B4" s="84" t="s">
        <v>239</v>
      </c>
    </row>
    <row r="5" spans="1:14">
      <c r="A5" s="85"/>
      <c r="B5" s="99"/>
      <c r="C5" s="155" t="s">
        <v>0</v>
      </c>
      <c r="D5" s="155" t="s">
        <v>1</v>
      </c>
      <c r="E5" s="155" t="s">
        <v>2</v>
      </c>
      <c r="F5" s="155" t="s">
        <v>3</v>
      </c>
      <c r="G5" s="156" t="s">
        <v>4</v>
      </c>
      <c r="H5" s="157" t="s">
        <v>5</v>
      </c>
      <c r="I5" s="100"/>
    </row>
    <row r="6" spans="1:14" s="100" customFormat="1" ht="12.75" customHeight="1">
      <c r="A6" s="101"/>
      <c r="B6" s="775" t="s">
        <v>149</v>
      </c>
      <c r="C6" s="761" t="s">
        <v>232</v>
      </c>
      <c r="D6" s="777" t="s">
        <v>231</v>
      </c>
      <c r="E6" s="778"/>
      <c r="F6" s="761" t="s">
        <v>236</v>
      </c>
      <c r="G6" s="761" t="s">
        <v>237</v>
      </c>
      <c r="H6" s="773" t="s">
        <v>235</v>
      </c>
    </row>
    <row r="7" spans="1:14" ht="41.4">
      <c r="A7" s="103"/>
      <c r="B7" s="776"/>
      <c r="C7" s="762"/>
      <c r="D7" s="158" t="s">
        <v>234</v>
      </c>
      <c r="E7" s="158" t="s">
        <v>233</v>
      </c>
      <c r="F7" s="762"/>
      <c r="G7" s="762"/>
      <c r="H7" s="774"/>
      <c r="I7" s="100"/>
    </row>
    <row r="8" spans="1:14">
      <c r="A8" s="101">
        <v>1</v>
      </c>
      <c r="B8" s="1" t="s">
        <v>51</v>
      </c>
      <c r="C8" s="159">
        <v>50647975.945099995</v>
      </c>
      <c r="D8" s="159"/>
      <c r="E8" s="159"/>
      <c r="F8" s="159">
        <v>42537082.605099998</v>
      </c>
      <c r="G8" s="160">
        <v>42537082.605099998</v>
      </c>
      <c r="H8" s="162">
        <f>G8/(C8+E8)</f>
        <v>0.83985750291794836</v>
      </c>
      <c r="I8" s="707"/>
      <c r="J8" s="707"/>
      <c r="K8" s="707"/>
      <c r="L8" s="707"/>
      <c r="M8" s="707"/>
      <c r="N8" s="707"/>
    </row>
    <row r="9" spans="1:14" ht="15" customHeight="1">
      <c r="A9" s="101">
        <v>2</v>
      </c>
      <c r="B9" s="1" t="s">
        <v>52</v>
      </c>
      <c r="C9" s="159">
        <v>0</v>
      </c>
      <c r="D9" s="159"/>
      <c r="E9" s="159"/>
      <c r="F9" s="159">
        <v>0</v>
      </c>
      <c r="G9" s="160">
        <v>0</v>
      </c>
      <c r="H9" s="162" t="e">
        <f t="shared" ref="H9:H21" si="0">G9/(C9+E9)</f>
        <v>#DIV/0!</v>
      </c>
      <c r="I9" s="707"/>
      <c r="J9" s="707"/>
      <c r="K9" s="707"/>
      <c r="L9" s="707"/>
      <c r="M9" s="707"/>
      <c r="N9" s="707"/>
    </row>
    <row r="10" spans="1:14">
      <c r="A10" s="101">
        <v>3</v>
      </c>
      <c r="B10" s="1" t="s">
        <v>153</v>
      </c>
      <c r="C10" s="159">
        <v>0</v>
      </c>
      <c r="D10" s="159"/>
      <c r="E10" s="159"/>
      <c r="F10" s="159">
        <v>0</v>
      </c>
      <c r="G10" s="160">
        <v>0</v>
      </c>
      <c r="H10" s="162" t="e">
        <f t="shared" si="0"/>
        <v>#DIV/0!</v>
      </c>
      <c r="I10" s="707"/>
      <c r="J10" s="707"/>
      <c r="K10" s="707"/>
      <c r="L10" s="707"/>
      <c r="M10" s="707"/>
      <c r="N10" s="707"/>
    </row>
    <row r="11" spans="1:14">
      <c r="A11" s="101">
        <v>4</v>
      </c>
      <c r="B11" s="1" t="s">
        <v>53</v>
      </c>
      <c r="C11" s="159">
        <v>0</v>
      </c>
      <c r="D11" s="159"/>
      <c r="E11" s="159"/>
      <c r="F11" s="159">
        <v>0</v>
      </c>
      <c r="G11" s="160">
        <v>0</v>
      </c>
      <c r="H11" s="162" t="e">
        <f t="shared" si="0"/>
        <v>#DIV/0!</v>
      </c>
      <c r="I11" s="707"/>
      <c r="J11" s="707"/>
      <c r="K11" s="707"/>
      <c r="L11" s="707"/>
      <c r="M11" s="707"/>
      <c r="N11" s="707"/>
    </row>
    <row r="12" spans="1:14">
      <c r="A12" s="101">
        <v>5</v>
      </c>
      <c r="B12" s="1" t="s">
        <v>54</v>
      </c>
      <c r="C12" s="159">
        <v>0</v>
      </c>
      <c r="D12" s="159"/>
      <c r="E12" s="159"/>
      <c r="F12" s="159">
        <v>0</v>
      </c>
      <c r="G12" s="160">
        <v>0</v>
      </c>
      <c r="H12" s="162" t="e">
        <f t="shared" si="0"/>
        <v>#DIV/0!</v>
      </c>
      <c r="I12" s="707"/>
      <c r="J12" s="707"/>
      <c r="K12" s="707"/>
      <c r="L12" s="707"/>
      <c r="M12" s="707"/>
      <c r="N12" s="707"/>
    </row>
    <row r="13" spans="1:14">
      <c r="A13" s="101">
        <v>6</v>
      </c>
      <c r="B13" s="1" t="s">
        <v>55</v>
      </c>
      <c r="C13" s="159">
        <v>123274252.55030002</v>
      </c>
      <c r="D13" s="159">
        <v>1411223.3559000001</v>
      </c>
      <c r="E13" s="159">
        <v>705611.67790000001</v>
      </c>
      <c r="F13" s="159">
        <v>50659547.42802</v>
      </c>
      <c r="G13" s="160">
        <v>50659547.42802</v>
      </c>
      <c r="H13" s="162">
        <f t="shared" si="0"/>
        <v>0.40861108973933818</v>
      </c>
      <c r="I13" s="707"/>
      <c r="J13" s="707"/>
      <c r="K13" s="707"/>
      <c r="L13" s="707"/>
      <c r="M13" s="707"/>
      <c r="N13" s="707"/>
    </row>
    <row r="14" spans="1:14">
      <c r="A14" s="101">
        <v>7</v>
      </c>
      <c r="B14" s="1" t="s">
        <v>56</v>
      </c>
      <c r="C14" s="159">
        <v>389404872.57599998</v>
      </c>
      <c r="D14" s="159">
        <v>86137310.364399999</v>
      </c>
      <c r="E14" s="159">
        <v>41046587.157399997</v>
      </c>
      <c r="F14" s="159">
        <v>430451459.73339999</v>
      </c>
      <c r="G14" s="160">
        <v>383708119.92409998</v>
      </c>
      <c r="H14" s="162">
        <f t="shared" si="0"/>
        <v>0.89140856941628099</v>
      </c>
      <c r="I14" s="707"/>
      <c r="J14" s="707"/>
      <c r="K14" s="707"/>
      <c r="L14" s="707"/>
      <c r="M14" s="707"/>
      <c r="N14" s="707"/>
    </row>
    <row r="15" spans="1:14">
      <c r="A15" s="101">
        <v>8</v>
      </c>
      <c r="B15" s="1" t="s">
        <v>57</v>
      </c>
      <c r="C15" s="159">
        <v>0</v>
      </c>
      <c r="D15" s="159">
        <v>2687963.28299999</v>
      </c>
      <c r="E15" s="159">
        <v>865751.64270000288</v>
      </c>
      <c r="F15" s="159">
        <v>865751.64270000288</v>
      </c>
      <c r="G15" s="160">
        <v>865751.64270000288</v>
      </c>
      <c r="H15" s="162">
        <f t="shared" si="0"/>
        <v>1</v>
      </c>
      <c r="I15" s="707"/>
      <c r="J15" s="707"/>
      <c r="K15" s="707"/>
      <c r="L15" s="707"/>
      <c r="M15" s="707"/>
      <c r="N15" s="707"/>
    </row>
    <row r="16" spans="1:14">
      <c r="A16" s="101">
        <v>9</v>
      </c>
      <c r="B16" s="1" t="s">
        <v>58</v>
      </c>
      <c r="C16" s="159">
        <v>0</v>
      </c>
      <c r="D16" s="159">
        <v>0</v>
      </c>
      <c r="E16" s="159">
        <v>0</v>
      </c>
      <c r="F16" s="159">
        <v>0</v>
      </c>
      <c r="G16" s="160">
        <v>0</v>
      </c>
      <c r="H16" s="162" t="e">
        <f t="shared" si="0"/>
        <v>#DIV/0!</v>
      </c>
      <c r="I16" s="707"/>
      <c r="J16" s="707"/>
      <c r="K16" s="707"/>
      <c r="L16" s="707"/>
      <c r="M16" s="707"/>
      <c r="N16" s="707"/>
    </row>
    <row r="17" spans="1:14">
      <c r="A17" s="101">
        <v>10</v>
      </c>
      <c r="B17" s="1" t="s">
        <v>59</v>
      </c>
      <c r="C17" s="159">
        <v>20343584.647700001</v>
      </c>
      <c r="D17" s="159"/>
      <c r="E17" s="159"/>
      <c r="F17" s="159">
        <v>28282010.450199999</v>
      </c>
      <c r="G17" s="160">
        <v>28282010.450199999</v>
      </c>
      <c r="H17" s="162">
        <f t="shared" si="0"/>
        <v>1.3902176504275758</v>
      </c>
      <c r="I17" s="707"/>
      <c r="J17" s="707"/>
      <c r="K17" s="707"/>
      <c r="L17" s="707"/>
      <c r="M17" s="707"/>
      <c r="N17" s="707"/>
    </row>
    <row r="18" spans="1:14">
      <c r="A18" s="101">
        <v>11</v>
      </c>
      <c r="B18" s="1" t="s">
        <v>60</v>
      </c>
      <c r="C18" s="159">
        <v>0</v>
      </c>
      <c r="D18" s="159"/>
      <c r="E18" s="159"/>
      <c r="F18" s="159">
        <v>0</v>
      </c>
      <c r="G18" s="160">
        <v>0</v>
      </c>
      <c r="H18" s="162" t="e">
        <f t="shared" si="0"/>
        <v>#DIV/0!</v>
      </c>
      <c r="I18" s="707"/>
      <c r="J18" s="707"/>
      <c r="K18" s="707"/>
      <c r="L18" s="707"/>
      <c r="M18" s="707"/>
      <c r="N18" s="707"/>
    </row>
    <row r="19" spans="1:14">
      <c r="A19" s="101">
        <v>12</v>
      </c>
      <c r="B19" s="1" t="s">
        <v>61</v>
      </c>
      <c r="C19" s="159">
        <v>0</v>
      </c>
      <c r="D19" s="159"/>
      <c r="E19" s="159"/>
      <c r="F19" s="159">
        <v>0</v>
      </c>
      <c r="G19" s="160">
        <v>0</v>
      </c>
      <c r="H19" s="162" t="e">
        <f t="shared" si="0"/>
        <v>#DIV/0!</v>
      </c>
      <c r="I19" s="707"/>
      <c r="J19" s="707"/>
      <c r="K19" s="707"/>
      <c r="L19" s="707"/>
      <c r="M19" s="707"/>
      <c r="N19" s="707"/>
    </row>
    <row r="20" spans="1:14">
      <c r="A20" s="101">
        <v>13</v>
      </c>
      <c r="B20" s="1" t="s">
        <v>144</v>
      </c>
      <c r="C20" s="159">
        <v>0</v>
      </c>
      <c r="D20" s="159"/>
      <c r="E20" s="159"/>
      <c r="F20" s="159">
        <v>0</v>
      </c>
      <c r="G20" s="160">
        <v>0</v>
      </c>
      <c r="H20" s="162" t="e">
        <f t="shared" si="0"/>
        <v>#DIV/0!</v>
      </c>
      <c r="I20" s="707"/>
      <c r="J20" s="707"/>
      <c r="K20" s="707"/>
      <c r="L20" s="707"/>
      <c r="M20" s="707"/>
      <c r="N20" s="707"/>
    </row>
    <row r="21" spans="1:14">
      <c r="A21" s="101">
        <v>14</v>
      </c>
      <c r="B21" s="1" t="s">
        <v>63</v>
      </c>
      <c r="C21" s="159">
        <v>30692179.919100001</v>
      </c>
      <c r="D21" s="159"/>
      <c r="E21" s="159"/>
      <c r="F21" s="159">
        <v>26420305.323900003</v>
      </c>
      <c r="G21" s="160">
        <v>26420305.323900003</v>
      </c>
      <c r="H21" s="162">
        <f t="shared" si="0"/>
        <v>0.86081553651581544</v>
      </c>
      <c r="I21" s="707"/>
      <c r="J21" s="707"/>
      <c r="K21" s="707"/>
      <c r="L21" s="707"/>
      <c r="M21" s="707"/>
      <c r="N21" s="707"/>
    </row>
    <row r="22" spans="1:14" ht="14.4" thickBot="1">
      <c r="A22" s="104"/>
      <c r="B22" s="105" t="s">
        <v>64</v>
      </c>
      <c r="C22" s="161">
        <f>SUM(C8:C21)</f>
        <v>614362865.63819993</v>
      </c>
      <c r="D22" s="161">
        <f>SUM(D8:D21)</f>
        <v>90236497.003299996</v>
      </c>
      <c r="E22" s="161">
        <f>SUM(E8:E21)</f>
        <v>42617950.478</v>
      </c>
      <c r="F22" s="161">
        <f>SUM(F8:F21)</f>
        <v>579216157.18332005</v>
      </c>
      <c r="G22" s="161">
        <f>SUM(G8:G21)</f>
        <v>532472817.37401998</v>
      </c>
      <c r="H22" s="163">
        <f>G22/(C22+E22)</f>
        <v>0.81048457475787494</v>
      </c>
      <c r="I22" s="707"/>
      <c r="J22" s="707"/>
      <c r="K22" s="707"/>
      <c r="L22" s="707"/>
      <c r="M22" s="707"/>
      <c r="N22" s="707"/>
    </row>
    <row r="24" spans="1:14">
      <c r="C24" s="595"/>
      <c r="D24" s="595"/>
      <c r="E24" s="595"/>
      <c r="F24" s="595"/>
      <c r="G24" s="595"/>
      <c r="H24" s="595"/>
    </row>
    <row r="25" spans="1:14">
      <c r="C25" s="595"/>
      <c r="D25" s="595"/>
      <c r="E25" s="595"/>
      <c r="F25" s="595"/>
      <c r="G25" s="595"/>
      <c r="H25" s="595"/>
    </row>
    <row r="26" spans="1:14">
      <c r="C26" s="595"/>
      <c r="D26" s="595"/>
      <c r="E26" s="595"/>
      <c r="F26" s="595"/>
      <c r="G26" s="595"/>
      <c r="H26" s="595"/>
    </row>
    <row r="27" spans="1:14">
      <c r="C27" s="595"/>
      <c r="D27" s="595"/>
      <c r="E27" s="595"/>
      <c r="F27" s="595"/>
      <c r="G27" s="595"/>
      <c r="H27" s="595"/>
    </row>
    <row r="28" spans="1:14">
      <c r="C28" s="595"/>
      <c r="D28" s="595"/>
      <c r="E28" s="595"/>
      <c r="F28" s="595"/>
      <c r="G28" s="595"/>
      <c r="H28" s="595"/>
    </row>
    <row r="29" spans="1:14">
      <c r="C29" s="595"/>
      <c r="D29" s="595"/>
      <c r="E29" s="595"/>
      <c r="F29" s="595"/>
      <c r="G29" s="595"/>
      <c r="H29" s="595"/>
    </row>
    <row r="30" spans="1:14">
      <c r="C30" s="595"/>
      <c r="D30" s="595"/>
      <c r="E30" s="595"/>
      <c r="F30" s="595"/>
      <c r="G30" s="595"/>
      <c r="H30" s="595"/>
    </row>
    <row r="31" spans="1:14">
      <c r="C31" s="595"/>
      <c r="D31" s="595"/>
      <c r="E31" s="595"/>
      <c r="F31" s="595"/>
      <c r="G31" s="595"/>
      <c r="H31" s="595"/>
    </row>
    <row r="32" spans="1:14">
      <c r="C32" s="595"/>
      <c r="D32" s="595"/>
      <c r="E32" s="595"/>
      <c r="F32" s="595"/>
      <c r="G32" s="595"/>
      <c r="H32" s="595"/>
    </row>
    <row r="33" spans="3:8">
      <c r="C33" s="595"/>
      <c r="D33" s="595"/>
      <c r="E33" s="595"/>
      <c r="F33" s="595"/>
      <c r="G33" s="595"/>
      <c r="H33" s="595"/>
    </row>
    <row r="34" spans="3:8">
      <c r="C34" s="595"/>
      <c r="D34" s="595"/>
      <c r="E34" s="595"/>
      <c r="F34" s="595"/>
      <c r="G34" s="595"/>
      <c r="H34" s="595"/>
    </row>
    <row r="35" spans="3:8">
      <c r="C35" s="595"/>
      <c r="D35" s="595"/>
      <c r="E35" s="595"/>
      <c r="F35" s="595"/>
      <c r="G35" s="595"/>
      <c r="H35" s="595"/>
    </row>
    <row r="36" spans="3:8">
      <c r="C36" s="595"/>
      <c r="D36" s="595"/>
      <c r="E36" s="595"/>
      <c r="F36" s="595"/>
      <c r="G36" s="595"/>
      <c r="H36" s="595"/>
    </row>
    <row r="37" spans="3:8">
      <c r="C37" s="595"/>
      <c r="D37" s="595"/>
      <c r="E37" s="595"/>
      <c r="F37" s="595"/>
      <c r="G37" s="595"/>
      <c r="H37" s="595"/>
    </row>
    <row r="38" spans="3:8">
      <c r="C38" s="595"/>
      <c r="D38" s="595"/>
      <c r="E38" s="595"/>
      <c r="F38" s="595"/>
      <c r="G38" s="595"/>
      <c r="H38" s="595"/>
    </row>
    <row r="39" spans="3:8">
      <c r="C39" s="595"/>
      <c r="D39" s="595"/>
      <c r="E39" s="595"/>
      <c r="F39" s="595"/>
      <c r="G39" s="595"/>
      <c r="H39" s="595"/>
    </row>
    <row r="40" spans="3:8">
      <c r="C40" s="595"/>
      <c r="D40" s="595"/>
      <c r="E40" s="595"/>
      <c r="F40" s="595"/>
      <c r="G40" s="595"/>
      <c r="H40" s="595"/>
    </row>
  </sheetData>
  <mergeCells count="6">
    <mergeCell ref="H6:H7"/>
    <mergeCell ref="B6:B7"/>
    <mergeCell ref="C6:C7"/>
    <mergeCell ref="D6:E6"/>
    <mergeCell ref="F6:F7"/>
    <mergeCell ref="G6:G7"/>
  </mergeCells>
  <pageMargins left="0.7" right="0.7" top="0.75" bottom="0.75" header="0.3" footer="0.3"/>
  <headerFooter>
    <oddFooter>&amp;C_x000D_&amp;1#&amp;"Calibri"&amp;10&amp;K000000 C1 - FOR INTERNAL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6"/>
  <sheetViews>
    <sheetView zoomScale="80" zoomScaleNormal="80" workbookViewId="0">
      <pane xSplit="2" ySplit="6" topLeftCell="C19" activePane="bottomRight" state="frozen"/>
      <selection activeCell="B19" sqref="B19"/>
      <selection pane="topRight" activeCell="B19" sqref="B19"/>
      <selection pane="bottomLeft" activeCell="B19" sqref="B19"/>
      <selection pane="bottomRight" activeCell="C18" sqref="C18"/>
    </sheetView>
  </sheetViews>
  <sheetFormatPr defaultColWidth="9.21875" defaultRowHeight="13.8"/>
  <cols>
    <col min="1" max="1" width="10.5546875" style="133" bestFit="1" customWidth="1"/>
    <col min="2" max="2" width="104.21875" style="133" customWidth="1"/>
    <col min="3" max="11" width="12.77734375" style="133" customWidth="1"/>
    <col min="12" max="16384" width="9.21875" style="133"/>
  </cols>
  <sheetData>
    <row r="1" spans="1:11">
      <c r="A1" s="133" t="s">
        <v>30</v>
      </c>
      <c r="B1" s="3" t="str">
        <f>'Info '!C2</f>
        <v xml:space="preserve">PASHA Bank Georgia JSC </v>
      </c>
    </row>
    <row r="2" spans="1:11">
      <c r="A2" s="133" t="s">
        <v>31</v>
      </c>
      <c r="B2" s="253">
        <f>'1. key ratios '!B2</f>
        <v>45838</v>
      </c>
    </row>
    <row r="4" spans="1:11" ht="14.4" thickBot="1">
      <c r="A4" s="133" t="s">
        <v>146</v>
      </c>
      <c r="B4" s="199" t="s">
        <v>240</v>
      </c>
    </row>
    <row r="5" spans="1:11" ht="30" customHeight="1">
      <c r="A5" s="779"/>
      <c r="B5" s="780"/>
      <c r="C5" s="781" t="s">
        <v>292</v>
      </c>
      <c r="D5" s="781"/>
      <c r="E5" s="781"/>
      <c r="F5" s="781" t="s">
        <v>293</v>
      </c>
      <c r="G5" s="781"/>
      <c r="H5" s="781"/>
      <c r="I5" s="781" t="s">
        <v>294</v>
      </c>
      <c r="J5" s="781"/>
      <c r="K5" s="782"/>
    </row>
    <row r="6" spans="1:11">
      <c r="A6" s="173"/>
      <c r="B6" s="174"/>
      <c r="C6" s="15" t="s">
        <v>32</v>
      </c>
      <c r="D6" s="15" t="s">
        <v>33</v>
      </c>
      <c r="E6" s="15" t="s">
        <v>34</v>
      </c>
      <c r="F6" s="15" t="s">
        <v>32</v>
      </c>
      <c r="G6" s="15" t="s">
        <v>33</v>
      </c>
      <c r="H6" s="15" t="s">
        <v>34</v>
      </c>
      <c r="I6" s="15" t="s">
        <v>32</v>
      </c>
      <c r="J6" s="15" t="s">
        <v>33</v>
      </c>
      <c r="K6" s="15" t="s">
        <v>34</v>
      </c>
    </row>
    <row r="7" spans="1:11">
      <c r="A7" s="175" t="s">
        <v>243</v>
      </c>
      <c r="B7" s="176"/>
      <c r="C7" s="176"/>
      <c r="D7" s="176"/>
      <c r="E7" s="176"/>
      <c r="F7" s="176"/>
      <c r="G7" s="176"/>
      <c r="H7" s="176"/>
      <c r="I7" s="176"/>
      <c r="J7" s="176"/>
      <c r="K7" s="177"/>
    </row>
    <row r="8" spans="1:11">
      <c r="A8" s="178">
        <v>1</v>
      </c>
      <c r="B8" s="179" t="s">
        <v>241</v>
      </c>
      <c r="C8" s="671"/>
      <c r="D8" s="671"/>
      <c r="E8" s="671"/>
      <c r="F8" s="672">
        <v>69670863.367502183</v>
      </c>
      <c r="G8" s="672">
        <v>105142023.56283952</v>
      </c>
      <c r="H8" s="672">
        <v>174812886.93034169</v>
      </c>
      <c r="I8" s="672">
        <v>53476538.369999997</v>
      </c>
      <c r="J8" s="672">
        <v>46329512.200300001</v>
      </c>
      <c r="K8" s="673">
        <v>99806050.570299998</v>
      </c>
    </row>
    <row r="9" spans="1:11">
      <c r="A9" s="175" t="s">
        <v>244</v>
      </c>
      <c r="B9" s="176"/>
      <c r="C9" s="674"/>
      <c r="D9" s="674"/>
      <c r="E9" s="674"/>
      <c r="F9" s="674"/>
      <c r="G9" s="674"/>
      <c r="H9" s="674"/>
      <c r="I9" s="674"/>
      <c r="J9" s="674"/>
      <c r="K9" s="675"/>
    </row>
    <row r="10" spans="1:11">
      <c r="A10" s="181">
        <v>2</v>
      </c>
      <c r="B10" s="182" t="s">
        <v>252</v>
      </c>
      <c r="C10" s="676">
        <v>23698754.951406606</v>
      </c>
      <c r="D10" s="677">
        <v>53260355.310270339</v>
      </c>
      <c r="E10" s="677">
        <v>76959110.261676967</v>
      </c>
      <c r="F10" s="677">
        <v>7307012.0380329667</v>
      </c>
      <c r="G10" s="677">
        <v>13261867.490405735</v>
      </c>
      <c r="H10" s="677">
        <v>20568879.528438706</v>
      </c>
      <c r="I10" s="677">
        <v>1703466.6655000004</v>
      </c>
      <c r="J10" s="677">
        <v>2914003.6713749999</v>
      </c>
      <c r="K10" s="678">
        <v>4617470.336875</v>
      </c>
    </row>
    <row r="11" spans="1:11">
      <c r="A11" s="181">
        <v>3</v>
      </c>
      <c r="B11" s="182" t="s">
        <v>246</v>
      </c>
      <c r="C11" s="676">
        <v>111038502.6020879</v>
      </c>
      <c r="D11" s="677">
        <v>250503098.18896568</v>
      </c>
      <c r="E11" s="677">
        <v>361541600.79105395</v>
      </c>
      <c r="F11" s="677">
        <v>42825427.492870905</v>
      </c>
      <c r="G11" s="677">
        <v>62932513.762269355</v>
      </c>
      <c r="H11" s="677">
        <v>105757941.25514029</v>
      </c>
      <c r="I11" s="677">
        <v>30587478.935193397</v>
      </c>
      <c r="J11" s="677">
        <v>683859.50204965472</v>
      </c>
      <c r="K11" s="678">
        <v>31271338.437243044</v>
      </c>
    </row>
    <row r="12" spans="1:11">
      <c r="A12" s="181">
        <v>4</v>
      </c>
      <c r="B12" s="182" t="s">
        <v>247</v>
      </c>
      <c r="C12" s="676">
        <v>21076923.076923076</v>
      </c>
      <c r="D12" s="677">
        <v>0</v>
      </c>
      <c r="E12" s="677">
        <v>21076923.076923076</v>
      </c>
      <c r="F12" s="677">
        <v>0</v>
      </c>
      <c r="G12" s="677">
        <v>0</v>
      </c>
      <c r="H12" s="677">
        <v>0</v>
      </c>
      <c r="I12" s="677">
        <v>0</v>
      </c>
      <c r="J12" s="677">
        <v>0</v>
      </c>
      <c r="K12" s="678">
        <v>0</v>
      </c>
    </row>
    <row r="13" spans="1:11">
      <c r="A13" s="181">
        <v>5</v>
      </c>
      <c r="B13" s="182" t="s">
        <v>255</v>
      </c>
      <c r="C13" s="676">
        <v>31309195.005164832</v>
      </c>
      <c r="D13" s="677">
        <v>54342669.413601123</v>
      </c>
      <c r="E13" s="677">
        <v>85651864.418765932</v>
      </c>
      <c r="F13" s="677">
        <v>7040033.9654692309</v>
      </c>
      <c r="G13" s="677">
        <v>11089721.80917011</v>
      </c>
      <c r="H13" s="677">
        <v>18129755.774639335</v>
      </c>
      <c r="I13" s="677">
        <v>2052277.1940000001</v>
      </c>
      <c r="J13" s="677">
        <v>4327986.6580450004</v>
      </c>
      <c r="K13" s="678">
        <v>6380263.8520450005</v>
      </c>
    </row>
    <row r="14" spans="1:11">
      <c r="A14" s="181">
        <v>6</v>
      </c>
      <c r="B14" s="182" t="s">
        <v>287</v>
      </c>
      <c r="C14" s="676">
        <v>0</v>
      </c>
      <c r="D14" s="677">
        <v>0</v>
      </c>
      <c r="E14" s="677">
        <v>0</v>
      </c>
      <c r="F14" s="677">
        <v>0</v>
      </c>
      <c r="G14" s="677">
        <v>0</v>
      </c>
      <c r="H14" s="677">
        <v>0</v>
      </c>
      <c r="I14" s="677">
        <v>0</v>
      </c>
      <c r="J14" s="677">
        <v>0</v>
      </c>
      <c r="K14" s="678">
        <v>0</v>
      </c>
    </row>
    <row r="15" spans="1:11">
      <c r="A15" s="181">
        <v>7</v>
      </c>
      <c r="B15" s="182" t="s">
        <v>288</v>
      </c>
      <c r="C15" s="676">
        <v>8114153.3513186807</v>
      </c>
      <c r="D15" s="677">
        <v>8102534.9103659336</v>
      </c>
      <c r="E15" s="677">
        <v>16216688.261684624</v>
      </c>
      <c r="F15" s="677">
        <v>4026540.9430769212</v>
      </c>
      <c r="G15" s="677">
        <v>1506278.6004021983</v>
      </c>
      <c r="H15" s="677">
        <v>5532819.5434791222</v>
      </c>
      <c r="I15" s="677">
        <v>4165258.65</v>
      </c>
      <c r="J15" s="677">
        <v>646806.28139999998</v>
      </c>
      <c r="K15" s="678">
        <v>4812064.9314000001</v>
      </c>
    </row>
    <row r="16" spans="1:11">
      <c r="A16" s="181">
        <v>8</v>
      </c>
      <c r="B16" s="183" t="s">
        <v>248</v>
      </c>
      <c r="C16" s="679">
        <f t="shared" ref="C16:K16" si="0">SUM(C10:C15)</f>
        <v>195237528.9869011</v>
      </c>
      <c r="D16" s="679">
        <f t="shared" si="0"/>
        <v>366208657.82320303</v>
      </c>
      <c r="E16" s="679">
        <f t="shared" si="0"/>
        <v>561446186.81010461</v>
      </c>
      <c r="F16" s="679">
        <f t="shared" si="0"/>
        <v>61199014.439450026</v>
      </c>
      <c r="G16" s="679">
        <f t="shared" si="0"/>
        <v>88790381.66224739</v>
      </c>
      <c r="H16" s="679">
        <f t="shared" si="0"/>
        <v>149989396.10169744</v>
      </c>
      <c r="I16" s="679">
        <f t="shared" si="0"/>
        <v>38508481.444693394</v>
      </c>
      <c r="J16" s="679">
        <f t="shared" si="0"/>
        <v>8572656.1128696557</v>
      </c>
      <c r="K16" s="679">
        <f t="shared" si="0"/>
        <v>47081137.557563044</v>
      </c>
    </row>
    <row r="17" spans="1:11">
      <c r="A17" s="175" t="s">
        <v>245</v>
      </c>
      <c r="B17" s="176"/>
      <c r="C17" s="674"/>
      <c r="D17" s="674"/>
      <c r="E17" s="674"/>
      <c r="F17" s="674"/>
      <c r="G17" s="674"/>
      <c r="H17" s="674"/>
      <c r="I17" s="674"/>
      <c r="J17" s="674"/>
      <c r="K17" s="675"/>
    </row>
    <row r="18" spans="1:11">
      <c r="A18" s="181">
        <v>9</v>
      </c>
      <c r="B18" s="182" t="s">
        <v>251</v>
      </c>
      <c r="C18" s="676">
        <v>0</v>
      </c>
      <c r="D18" s="677">
        <v>0</v>
      </c>
      <c r="E18" s="677">
        <v>0</v>
      </c>
      <c r="F18" s="677">
        <v>0</v>
      </c>
      <c r="G18" s="677">
        <v>0</v>
      </c>
      <c r="H18" s="677">
        <v>0</v>
      </c>
      <c r="I18" s="677">
        <v>0</v>
      </c>
      <c r="J18" s="677">
        <v>0</v>
      </c>
      <c r="K18" s="678">
        <v>0</v>
      </c>
    </row>
    <row r="19" spans="1:11">
      <c r="A19" s="181">
        <v>10</v>
      </c>
      <c r="B19" s="182" t="s">
        <v>289</v>
      </c>
      <c r="C19" s="676">
        <v>162729480.19046924</v>
      </c>
      <c r="D19" s="677">
        <v>252125215.71943724</v>
      </c>
      <c r="E19" s="677">
        <v>414854695.90990651</v>
      </c>
      <c r="F19" s="677">
        <v>5572051.5759714292</v>
      </c>
      <c r="G19" s="677">
        <v>4657013.5053043952</v>
      </c>
      <c r="H19" s="677">
        <v>10229065.081275826</v>
      </c>
      <c r="I19" s="677">
        <v>32948534.969950002</v>
      </c>
      <c r="J19" s="677">
        <v>70767052.142450005</v>
      </c>
      <c r="K19" s="678">
        <v>103715587.1124</v>
      </c>
    </row>
    <row r="20" spans="1:11">
      <c r="A20" s="181">
        <v>11</v>
      </c>
      <c r="B20" s="182" t="s">
        <v>250</v>
      </c>
      <c r="C20" s="676">
        <v>31629964.409996703</v>
      </c>
      <c r="D20" s="677">
        <v>5048163.1389362644</v>
      </c>
      <c r="E20" s="677">
        <v>36678127.548932984</v>
      </c>
      <c r="F20" s="677">
        <v>0</v>
      </c>
      <c r="G20" s="677">
        <v>911917.82054175751</v>
      </c>
      <c r="H20" s="677">
        <v>911917.82054175751</v>
      </c>
      <c r="I20" s="677">
        <v>0</v>
      </c>
      <c r="J20" s="677">
        <v>513344.72629999998</v>
      </c>
      <c r="K20" s="678">
        <v>513344.72629999998</v>
      </c>
    </row>
    <row r="21" spans="1:11" ht="14.4" thickBot="1">
      <c r="A21" s="184">
        <v>12</v>
      </c>
      <c r="B21" s="185" t="s">
        <v>249</v>
      </c>
      <c r="C21" s="680">
        <f>SUM(C18:C20)</f>
        <v>194359444.60046595</v>
      </c>
      <c r="D21" s="680">
        <f t="shared" ref="D21:K21" si="1">SUM(D18:D20)</f>
        <v>257173378.85837349</v>
      </c>
      <c r="E21" s="680">
        <f t="shared" si="1"/>
        <v>451532823.45883948</v>
      </c>
      <c r="F21" s="680">
        <f t="shared" si="1"/>
        <v>5572051.5759714292</v>
      </c>
      <c r="G21" s="680">
        <f t="shared" si="1"/>
        <v>5568931.3258461524</v>
      </c>
      <c r="H21" s="680">
        <f t="shared" si="1"/>
        <v>11140982.901817584</v>
      </c>
      <c r="I21" s="680">
        <f t="shared" si="1"/>
        <v>32948534.969950002</v>
      </c>
      <c r="J21" s="680">
        <f t="shared" si="1"/>
        <v>71280396.868750006</v>
      </c>
      <c r="K21" s="680">
        <f t="shared" si="1"/>
        <v>104228931.8387</v>
      </c>
    </row>
    <row r="22" spans="1:11" ht="38.25" customHeight="1" thickBot="1">
      <c r="A22" s="186"/>
      <c r="B22" s="187"/>
      <c r="C22" s="187"/>
      <c r="D22" s="187"/>
      <c r="E22" s="187"/>
      <c r="F22" s="783" t="s">
        <v>291</v>
      </c>
      <c r="G22" s="781"/>
      <c r="H22" s="781"/>
      <c r="I22" s="783" t="s">
        <v>256</v>
      </c>
      <c r="J22" s="781"/>
      <c r="K22" s="782"/>
    </row>
    <row r="23" spans="1:11">
      <c r="A23" s="188">
        <v>13</v>
      </c>
      <c r="B23" s="189" t="s">
        <v>241</v>
      </c>
      <c r="C23" s="190"/>
      <c r="D23" s="190"/>
      <c r="E23" s="190"/>
      <c r="F23" s="596">
        <f>F8</f>
        <v>69670863.367502183</v>
      </c>
      <c r="G23" s="596">
        <f t="shared" ref="G23:H23" si="2">G8</f>
        <v>105142023.56283952</v>
      </c>
      <c r="H23" s="596">
        <f t="shared" si="2"/>
        <v>174812886.93034169</v>
      </c>
      <c r="I23" s="596">
        <f>I8</f>
        <v>53476538.369999997</v>
      </c>
      <c r="J23" s="596">
        <f t="shared" ref="J23:K23" si="3">J8</f>
        <v>46329512.200300001</v>
      </c>
      <c r="K23" s="597">
        <f t="shared" si="3"/>
        <v>99806050.570299998</v>
      </c>
    </row>
    <row r="24" spans="1:11" ht="14.4" thickBot="1">
      <c r="A24" s="191">
        <v>14</v>
      </c>
      <c r="B24" s="192" t="s">
        <v>253</v>
      </c>
      <c r="C24" s="193"/>
      <c r="D24" s="194"/>
      <c r="E24" s="195"/>
      <c r="F24" s="598">
        <f>MAX(F16-F21,F16*0.25)</f>
        <v>55626962.863478594</v>
      </c>
      <c r="G24" s="598">
        <f t="shared" ref="G24:H24" si="4">MAX(G16-G21,G16*0.25)</f>
        <v>83221450.336401239</v>
      </c>
      <c r="H24" s="598">
        <f t="shared" si="4"/>
        <v>138848413.19987985</v>
      </c>
      <c r="I24" s="598">
        <f>MAX(I16-I21,I16*0.25)</f>
        <v>9627120.3611733485</v>
      </c>
      <c r="J24" s="598">
        <f t="shared" ref="J24:K24" si="5">MAX(J16-J21,J16*0.25)</f>
        <v>2143164.0282174139</v>
      </c>
      <c r="K24" s="599">
        <f t="shared" si="5"/>
        <v>11770284.389390761</v>
      </c>
    </row>
    <row r="25" spans="1:11" ht="14.4" thickBot="1">
      <c r="A25" s="196">
        <v>15</v>
      </c>
      <c r="B25" s="197" t="s">
        <v>254</v>
      </c>
      <c r="C25" s="198"/>
      <c r="D25" s="198"/>
      <c r="E25" s="198"/>
      <c r="F25" s="600">
        <f>F23/F24</f>
        <v>1.2524657069358713</v>
      </c>
      <c r="G25" s="600">
        <f t="shared" ref="G25:H25" si="6">G23/G24</f>
        <v>1.2634005191910262</v>
      </c>
      <c r="H25" s="600">
        <f t="shared" si="6"/>
        <v>1.2590196956639974</v>
      </c>
      <c r="I25" s="600">
        <f>I23/I24</f>
        <v>5.5547802835906692</v>
      </c>
      <c r="J25" s="600">
        <f t="shared" ref="J25:K25" si="7">J23/J24</f>
        <v>21.617343138609311</v>
      </c>
      <c r="K25" s="600">
        <f t="shared" si="7"/>
        <v>8.4794935507472502</v>
      </c>
    </row>
    <row r="27" spans="1:11" ht="27">
      <c r="B27" s="172" t="s">
        <v>290</v>
      </c>
    </row>
    <row r="28" spans="1:11">
      <c r="C28" s="578"/>
      <c r="D28" s="578"/>
      <c r="E28" s="578"/>
      <c r="F28" s="578"/>
      <c r="G28" s="578"/>
      <c r="H28" s="578"/>
      <c r="I28" s="578"/>
      <c r="J28" s="578"/>
      <c r="K28" s="578"/>
    </row>
    <row r="29" spans="1:11">
      <c r="C29" s="578"/>
      <c r="D29" s="578"/>
      <c r="E29" s="578"/>
      <c r="F29" s="578"/>
      <c r="G29" s="578"/>
      <c r="H29" s="578"/>
      <c r="I29" s="578"/>
      <c r="J29" s="578"/>
      <c r="K29" s="578"/>
    </row>
    <row r="30" spans="1:11">
      <c r="C30" s="578"/>
      <c r="D30" s="578"/>
      <c r="E30" s="578"/>
      <c r="F30" s="578"/>
      <c r="G30" s="578"/>
      <c r="H30" s="578"/>
      <c r="I30" s="578"/>
      <c r="J30" s="578"/>
      <c r="K30" s="578"/>
    </row>
    <row r="31" spans="1:11">
      <c r="C31" s="578"/>
      <c r="D31" s="578"/>
      <c r="E31" s="578"/>
      <c r="F31" s="578"/>
      <c r="G31" s="578"/>
      <c r="H31" s="578"/>
      <c r="I31" s="578"/>
      <c r="J31" s="578"/>
      <c r="K31" s="578"/>
    </row>
    <row r="32" spans="1:11">
      <c r="C32" s="578"/>
      <c r="D32" s="578"/>
      <c r="E32" s="578"/>
      <c r="F32" s="578"/>
      <c r="G32" s="578"/>
      <c r="H32" s="578"/>
      <c r="I32" s="578"/>
      <c r="J32" s="578"/>
      <c r="K32" s="578"/>
    </row>
    <row r="33" spans="3:11">
      <c r="C33" s="578"/>
      <c r="D33" s="578"/>
      <c r="E33" s="578"/>
      <c r="F33" s="578"/>
      <c r="G33" s="578"/>
      <c r="H33" s="578"/>
      <c r="I33" s="578"/>
      <c r="J33" s="578"/>
      <c r="K33" s="578"/>
    </row>
    <row r="34" spans="3:11">
      <c r="C34" s="578"/>
      <c r="D34" s="578"/>
      <c r="E34" s="578"/>
      <c r="F34" s="578"/>
      <c r="G34" s="578"/>
      <c r="H34" s="578"/>
      <c r="I34" s="578"/>
      <c r="J34" s="578"/>
      <c r="K34" s="578"/>
    </row>
    <row r="35" spans="3:11">
      <c r="C35" s="578"/>
      <c r="D35" s="578"/>
      <c r="E35" s="578"/>
      <c r="F35" s="578"/>
      <c r="G35" s="578"/>
      <c r="H35" s="578"/>
      <c r="I35" s="578"/>
      <c r="J35" s="578"/>
      <c r="K35" s="578"/>
    </row>
    <row r="36" spans="3:11">
      <c r="C36" s="578"/>
      <c r="D36" s="578"/>
      <c r="E36" s="578"/>
      <c r="F36" s="578"/>
      <c r="G36" s="578"/>
      <c r="H36" s="578"/>
      <c r="I36" s="578"/>
      <c r="J36" s="578"/>
      <c r="K36" s="578"/>
    </row>
    <row r="37" spans="3:11">
      <c r="C37" s="578"/>
      <c r="D37" s="578"/>
      <c r="E37" s="578"/>
      <c r="F37" s="578"/>
      <c r="G37" s="578"/>
      <c r="H37" s="578"/>
      <c r="I37" s="578"/>
      <c r="J37" s="578"/>
      <c r="K37" s="578"/>
    </row>
    <row r="38" spans="3:11">
      <c r="C38" s="578"/>
      <c r="D38" s="578"/>
      <c r="E38" s="578"/>
      <c r="F38" s="578"/>
      <c r="G38" s="578"/>
      <c r="H38" s="578"/>
      <c r="I38" s="578"/>
      <c r="J38" s="578"/>
      <c r="K38" s="578"/>
    </row>
    <row r="39" spans="3:11">
      <c r="C39" s="578"/>
      <c r="D39" s="578"/>
      <c r="E39" s="578"/>
      <c r="F39" s="578"/>
      <c r="G39" s="578"/>
      <c r="H39" s="578"/>
      <c r="I39" s="578"/>
      <c r="J39" s="578"/>
      <c r="K39" s="578"/>
    </row>
    <row r="40" spans="3:11">
      <c r="C40" s="578"/>
      <c r="D40" s="578"/>
      <c r="E40" s="578"/>
      <c r="F40" s="578"/>
      <c r="G40" s="578"/>
      <c r="H40" s="578"/>
      <c r="I40" s="578"/>
      <c r="J40" s="578"/>
      <c r="K40" s="578"/>
    </row>
    <row r="41" spans="3:11">
      <c r="C41" s="578"/>
      <c r="D41" s="578"/>
      <c r="E41" s="578"/>
      <c r="F41" s="578"/>
      <c r="G41" s="578"/>
      <c r="H41" s="578"/>
      <c r="I41" s="578"/>
      <c r="J41" s="578"/>
      <c r="K41" s="578"/>
    </row>
    <row r="42" spans="3:11">
      <c r="C42" s="578"/>
      <c r="D42" s="578"/>
      <c r="E42" s="578"/>
      <c r="F42" s="578"/>
      <c r="G42" s="578"/>
      <c r="H42" s="578"/>
      <c r="I42" s="578"/>
      <c r="J42" s="578"/>
      <c r="K42" s="578"/>
    </row>
    <row r="43" spans="3:11">
      <c r="C43" s="715"/>
      <c r="D43" s="715"/>
      <c r="E43" s="715"/>
      <c r="F43" s="578"/>
      <c r="G43" s="578"/>
      <c r="H43" s="578"/>
      <c r="I43" s="578"/>
      <c r="J43" s="578"/>
      <c r="K43" s="578"/>
    </row>
    <row r="44" spans="3:11">
      <c r="C44" s="715"/>
      <c r="D44" s="715"/>
      <c r="E44" s="715"/>
      <c r="F44" s="578"/>
      <c r="G44" s="578"/>
      <c r="H44" s="578"/>
      <c r="I44" s="578"/>
      <c r="J44" s="578"/>
      <c r="K44" s="578"/>
    </row>
    <row r="45" spans="3:11">
      <c r="C45" s="715"/>
      <c r="D45" s="715"/>
      <c r="E45" s="715"/>
      <c r="F45" s="716"/>
      <c r="G45" s="716"/>
      <c r="H45" s="716"/>
      <c r="I45" s="716"/>
      <c r="J45" s="716"/>
      <c r="K45" s="716"/>
    </row>
    <row r="46" spans="3:11">
      <c r="C46" s="578"/>
      <c r="D46" s="578"/>
      <c r="E46" s="578"/>
      <c r="F46" s="578"/>
      <c r="G46" s="578"/>
      <c r="H46" s="578"/>
      <c r="I46" s="578"/>
      <c r="J46" s="578"/>
      <c r="K46" s="578"/>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Footer>&amp;C_x000D_&amp;1#&amp;"Calibri"&amp;10&amp;K000000 C1 - FOR INTERNAL USE ONLY</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86"/>
  <sheetViews>
    <sheetView zoomScale="80" zoomScaleNormal="80" workbookViewId="0">
      <pane xSplit="1" ySplit="3" topLeftCell="B24" activePane="bottomRight" state="frozen"/>
      <selection activeCell="B19" sqref="B19"/>
      <selection pane="topRight" activeCell="B19" sqref="B19"/>
      <selection pane="bottomLeft" activeCell="B19" sqref="B19"/>
      <selection pane="bottomRight" activeCell="O45" sqref="O45"/>
    </sheetView>
  </sheetViews>
  <sheetFormatPr defaultColWidth="9.21875" defaultRowHeight="13.2"/>
  <cols>
    <col min="1" max="1" width="10.5546875" style="4" bestFit="1" customWidth="1"/>
    <col min="2" max="2" width="95" style="4" customWidth="1"/>
    <col min="3" max="7" width="14" style="4" customWidth="1"/>
    <col min="8" max="9" width="12.77734375" style="4" customWidth="1"/>
    <col min="10" max="14" width="13.6640625" style="4" customWidth="1"/>
    <col min="15" max="16" width="13.6640625" style="13" customWidth="1"/>
    <col min="17" max="17" width="25.33203125" style="13" customWidth="1"/>
    <col min="18" max="16384" width="9.21875" style="13"/>
  </cols>
  <sheetData>
    <row r="1" spans="1:17" ht="13.8">
      <c r="A1" s="434" t="s">
        <v>717</v>
      </c>
      <c r="B1" s="470" t="str">
        <f>'Info '!C2</f>
        <v xml:space="preserve">PASHA Bank Georgia JSC </v>
      </c>
      <c r="C1" s="470"/>
      <c r="D1" s="470"/>
      <c r="E1" s="470"/>
      <c r="F1" s="470"/>
      <c r="G1" s="470"/>
      <c r="H1" s="470"/>
      <c r="I1" s="470"/>
      <c r="J1" s="470"/>
      <c r="K1" s="470"/>
      <c r="L1" s="470"/>
      <c r="M1" s="470"/>
      <c r="N1" s="470"/>
      <c r="O1" s="152"/>
      <c r="P1" s="152"/>
      <c r="Q1" s="152"/>
    </row>
    <row r="2" spans="1:17" ht="14.25" customHeight="1">
      <c r="A2" s="470" t="s">
        <v>718</v>
      </c>
      <c r="B2" s="435">
        <f>'1. key ratios '!B2</f>
        <v>45838</v>
      </c>
      <c r="C2" s="470"/>
      <c r="D2" s="470"/>
      <c r="E2" s="470"/>
      <c r="F2" s="470"/>
      <c r="G2" s="470"/>
      <c r="H2" s="470"/>
      <c r="I2" s="470"/>
      <c r="J2" s="470"/>
      <c r="K2" s="470"/>
      <c r="L2" s="470"/>
      <c r="M2" s="470"/>
      <c r="N2" s="470"/>
      <c r="O2" s="152"/>
      <c r="P2" s="152"/>
      <c r="Q2" s="152"/>
    </row>
    <row r="3" spans="1:17" ht="14.25" customHeight="1">
      <c r="A3" s="470"/>
      <c r="B3" s="152"/>
      <c r="C3" s="152"/>
      <c r="D3" s="152"/>
      <c r="E3" s="152"/>
      <c r="F3" s="152"/>
      <c r="G3" s="152"/>
      <c r="H3" s="152"/>
      <c r="I3" s="152"/>
      <c r="J3" s="152"/>
      <c r="K3" s="152"/>
      <c r="L3" s="152"/>
      <c r="M3" s="152"/>
      <c r="N3" s="152"/>
      <c r="O3" s="152"/>
      <c r="P3" s="152"/>
      <c r="Q3" s="152"/>
    </row>
    <row r="4" spans="1:17" ht="14.4">
      <c r="A4" s="470"/>
      <c r="B4" s="494" t="s">
        <v>719</v>
      </c>
      <c r="C4" s="152"/>
      <c r="D4" s="152"/>
      <c r="E4" s="152"/>
      <c r="F4" s="152"/>
      <c r="G4" s="152"/>
      <c r="H4" s="152"/>
      <c r="I4" s="152"/>
      <c r="J4" s="152"/>
      <c r="K4" s="152"/>
      <c r="L4" s="152"/>
      <c r="M4" s="152"/>
      <c r="N4" s="152"/>
      <c r="O4" s="152"/>
      <c r="P4" s="152"/>
      <c r="Q4" s="152"/>
    </row>
    <row r="5" spans="1:17" ht="43.2">
      <c r="A5" s="470"/>
      <c r="B5" s="495" t="s">
        <v>720</v>
      </c>
      <c r="C5" s="496" t="s">
        <v>721</v>
      </c>
      <c r="D5" s="496" t="s">
        <v>722</v>
      </c>
      <c r="E5" s="496" t="s">
        <v>723</v>
      </c>
      <c r="F5" s="496" t="s">
        <v>724</v>
      </c>
      <c r="G5" s="496" t="s">
        <v>725</v>
      </c>
      <c r="H5" s="496" t="s">
        <v>726</v>
      </c>
      <c r="I5" s="497" t="s">
        <v>727</v>
      </c>
      <c r="J5" s="498">
        <v>0.02</v>
      </c>
      <c r="K5" s="498">
        <v>0.2</v>
      </c>
      <c r="L5" s="498">
        <v>0.35</v>
      </c>
      <c r="M5" s="498">
        <v>0.5</v>
      </c>
      <c r="N5" s="498">
        <v>0.75</v>
      </c>
      <c r="O5" s="498">
        <v>1</v>
      </c>
      <c r="P5" s="498">
        <v>1.5</v>
      </c>
      <c r="Q5" s="499" t="s">
        <v>728</v>
      </c>
    </row>
    <row r="6" spans="1:17" ht="14.4">
      <c r="A6" s="470"/>
      <c r="B6" s="500"/>
      <c r="C6" s="501">
        <f>IF(C7&gt;0,C7,IF(C8&gt;0,C8,IF(C9&gt;0,C9,0)))</f>
        <v>98677861</v>
      </c>
      <c r="D6" s="501">
        <f>IF(D7&gt;0,D7,IF(D8&gt;0,D8,IF(D9&gt;0,D9,0)))</f>
        <v>578908.63</v>
      </c>
      <c r="E6" s="501">
        <f>IF(E7&gt;0,E7,IF(E8&gt;0,E8,IF(E9&gt;0,E9,0)))</f>
        <v>27892650</v>
      </c>
      <c r="F6" s="501">
        <f>IF(F7&gt;0,F7,IF(F8&gt;0,F8,IF(F9&gt;0,F9,0)))</f>
        <v>198429</v>
      </c>
      <c r="G6" s="501">
        <f>IF(G7&gt;0,G7,IF(G8&gt;0,G8,IF(G9&gt;0,G9,0)))</f>
        <v>357092.45999999996</v>
      </c>
      <c r="H6" s="501"/>
      <c r="I6" s="501">
        <f t="shared" ref="I6" si="0">IF(I7&gt;0,I7,IF(I8&gt;0,I8,IF(I9&gt;0,I9)))</f>
        <v>777730.04399999988</v>
      </c>
      <c r="J6" s="501">
        <f t="shared" ref="J6:Q6" si="1">IF(J7&gt;0,J7,IF(J8&gt;0,J8,IF(J9&gt;0,J9,0)))</f>
        <v>0</v>
      </c>
      <c r="K6" s="501">
        <f t="shared" si="1"/>
        <v>0</v>
      </c>
      <c r="L6" s="501">
        <f t="shared" si="1"/>
        <v>0</v>
      </c>
      <c r="M6" s="501">
        <f t="shared" si="1"/>
        <v>75729.59</v>
      </c>
      <c r="N6" s="501">
        <f t="shared" si="1"/>
        <v>0</v>
      </c>
      <c r="O6" s="501">
        <f t="shared" si="1"/>
        <v>689532.84400000004</v>
      </c>
      <c r="P6" s="501">
        <f t="shared" si="1"/>
        <v>12468.43</v>
      </c>
      <c r="Q6" s="501">
        <f t="shared" si="1"/>
        <v>746100.28399999999</v>
      </c>
    </row>
    <row r="7" spans="1:17" ht="14.4">
      <c r="A7" s="470"/>
      <c r="B7" s="502" t="s">
        <v>729</v>
      </c>
      <c r="C7" s="501">
        <f>C11+C15+C19+C23+C27+C31</f>
        <v>98677861</v>
      </c>
      <c r="D7" s="501">
        <f t="shared" ref="D7:E8" si="2">D11+D15+D19+D23+D27+D31</f>
        <v>578908.63</v>
      </c>
      <c r="E7" s="501">
        <f t="shared" si="2"/>
        <v>27892650</v>
      </c>
      <c r="F7" s="501">
        <f t="shared" ref="F7:G9" si="3">F11+F15+F19+F23+F27+F31</f>
        <v>198429</v>
      </c>
      <c r="G7" s="501">
        <f t="shared" si="3"/>
        <v>357092.45999999996</v>
      </c>
      <c r="H7" s="503">
        <v>1.4</v>
      </c>
      <c r="I7" s="504">
        <f t="shared" ref="I7:I33" si="4">(F7+G7)*H7</f>
        <v>777730.04399999988</v>
      </c>
      <c r="J7" s="501">
        <f>J11+J15+J19+J23+J27+J31</f>
        <v>0</v>
      </c>
      <c r="K7" s="501">
        <f t="shared" ref="J7:Q9" si="5">K11+K15+K19+K23+K27+K31</f>
        <v>0</v>
      </c>
      <c r="L7" s="501">
        <f t="shared" si="5"/>
        <v>0</v>
      </c>
      <c r="M7" s="501">
        <f t="shared" si="5"/>
        <v>75729.59</v>
      </c>
      <c r="N7" s="501">
        <f t="shared" si="5"/>
        <v>0</v>
      </c>
      <c r="O7" s="501">
        <f t="shared" si="5"/>
        <v>689532.84400000004</v>
      </c>
      <c r="P7" s="501">
        <f t="shared" si="5"/>
        <v>12468.43</v>
      </c>
      <c r="Q7" s="501">
        <f>Q11+Q15+Q19+Q23+Q27+Q31</f>
        <v>746100.28399999999</v>
      </c>
    </row>
    <row r="8" spans="1:17" ht="14.4">
      <c r="A8" s="470"/>
      <c r="B8" s="502" t="s">
        <v>730</v>
      </c>
      <c r="C8" s="501">
        <f>C12+C16+C20+C24+C28+C32</f>
        <v>0</v>
      </c>
      <c r="D8" s="501">
        <f t="shared" si="2"/>
        <v>0</v>
      </c>
      <c r="E8" s="501">
        <f t="shared" si="2"/>
        <v>0</v>
      </c>
      <c r="F8" s="501">
        <f t="shared" si="3"/>
        <v>0</v>
      </c>
      <c r="G8" s="501">
        <f t="shared" si="3"/>
        <v>0</v>
      </c>
      <c r="H8" s="503">
        <v>1.4</v>
      </c>
      <c r="I8" s="504">
        <f t="shared" si="4"/>
        <v>0</v>
      </c>
      <c r="J8" s="501">
        <f t="shared" si="5"/>
        <v>0</v>
      </c>
      <c r="K8" s="501">
        <f t="shared" si="5"/>
        <v>0</v>
      </c>
      <c r="L8" s="501">
        <f t="shared" si="5"/>
        <v>0</v>
      </c>
      <c r="M8" s="501">
        <f t="shared" si="5"/>
        <v>0</v>
      </c>
      <c r="N8" s="501">
        <f t="shared" si="5"/>
        <v>0</v>
      </c>
      <c r="O8" s="501">
        <f t="shared" si="5"/>
        <v>0</v>
      </c>
      <c r="P8" s="501">
        <f t="shared" si="5"/>
        <v>0</v>
      </c>
      <c r="Q8" s="501">
        <f>Q12+Q16+Q20+Q24+Q28+Q32</f>
        <v>0</v>
      </c>
    </row>
    <row r="9" spans="1:17" ht="14.4">
      <c r="A9" s="470"/>
      <c r="B9" s="502" t="s">
        <v>737</v>
      </c>
      <c r="C9" s="501">
        <f>C13+C17+C21+C25+C29+C33</f>
        <v>0</v>
      </c>
      <c r="D9" s="501">
        <f>D13+D17+D21+D25+D29+D33</f>
        <v>0</v>
      </c>
      <c r="E9" s="501">
        <f>E13+E17+E21+E25+E29+E33</f>
        <v>0</v>
      </c>
      <c r="F9" s="501">
        <f t="shared" si="3"/>
        <v>0</v>
      </c>
      <c r="G9" s="501">
        <f t="shared" si="3"/>
        <v>0</v>
      </c>
      <c r="H9" s="503">
        <v>1.4</v>
      </c>
      <c r="I9" s="504">
        <f t="shared" si="4"/>
        <v>0</v>
      </c>
      <c r="J9" s="501">
        <f t="shared" si="5"/>
        <v>0</v>
      </c>
      <c r="K9" s="501">
        <f t="shared" si="5"/>
        <v>0</v>
      </c>
      <c r="L9" s="501">
        <f t="shared" si="5"/>
        <v>0</v>
      </c>
      <c r="M9" s="501">
        <f t="shared" si="5"/>
        <v>0</v>
      </c>
      <c r="N9" s="501">
        <f t="shared" si="5"/>
        <v>0</v>
      </c>
      <c r="O9" s="501">
        <f t="shared" si="5"/>
        <v>0</v>
      </c>
      <c r="P9" s="501">
        <f t="shared" si="5"/>
        <v>0</v>
      </c>
      <c r="Q9" s="501">
        <f t="shared" si="5"/>
        <v>0</v>
      </c>
    </row>
    <row r="10" spans="1:17" ht="14.4">
      <c r="A10" s="470"/>
      <c r="B10" s="505" t="s">
        <v>731</v>
      </c>
      <c r="C10" s="506"/>
      <c r="D10" s="506"/>
      <c r="E10" s="506"/>
      <c r="F10" s="506"/>
      <c r="G10" s="506"/>
      <c r="H10" s="503">
        <v>1.4</v>
      </c>
      <c r="I10" s="504">
        <f t="shared" si="4"/>
        <v>0</v>
      </c>
      <c r="J10" s="507"/>
      <c r="K10" s="507"/>
      <c r="L10" s="507"/>
      <c r="M10" s="507"/>
      <c r="N10" s="507"/>
      <c r="O10" s="507"/>
      <c r="P10" s="507"/>
      <c r="Q10" s="501">
        <f>SUM(Q11:Q13)</f>
        <v>0</v>
      </c>
    </row>
    <row r="11" spans="1:17" ht="14.4">
      <c r="A11" s="470"/>
      <c r="B11" s="508" t="s">
        <v>729</v>
      </c>
      <c r="C11" s="506"/>
      <c r="D11" s="506"/>
      <c r="E11" s="506"/>
      <c r="F11" s="506"/>
      <c r="G11" s="506"/>
      <c r="H11" s="503">
        <v>1.4</v>
      </c>
      <c r="I11" s="504">
        <f t="shared" si="4"/>
        <v>0</v>
      </c>
      <c r="J11" s="507"/>
      <c r="K11" s="507"/>
      <c r="L11" s="507"/>
      <c r="M11" s="507"/>
      <c r="N11" s="507"/>
      <c r="O11" s="507"/>
      <c r="P11" s="507"/>
      <c r="Q11" s="501">
        <f>SUMPRODUCT($J$5:$P$5,J11:P11)</f>
        <v>0</v>
      </c>
    </row>
    <row r="12" spans="1:17" ht="14.4">
      <c r="A12" s="470"/>
      <c r="B12" s="508" t="s">
        <v>730</v>
      </c>
      <c r="C12" s="506"/>
      <c r="D12" s="506"/>
      <c r="E12" s="506"/>
      <c r="F12" s="506"/>
      <c r="G12" s="506"/>
      <c r="H12" s="503">
        <v>1.4</v>
      </c>
      <c r="I12" s="504">
        <f t="shared" si="4"/>
        <v>0</v>
      </c>
      <c r="J12" s="507"/>
      <c r="K12" s="507"/>
      <c r="L12" s="507"/>
      <c r="M12" s="507"/>
      <c r="N12" s="507"/>
      <c r="O12" s="507"/>
      <c r="P12" s="507"/>
      <c r="Q12" s="501">
        <f t="shared" ref="Q12:Q13" si="6">SUMPRODUCT($J$5:$P$5,J12:P12)</f>
        <v>0</v>
      </c>
    </row>
    <row r="13" spans="1:17" ht="14.4">
      <c r="A13" s="470"/>
      <c r="B13" s="508" t="s">
        <v>737</v>
      </c>
      <c r="C13" s="506"/>
      <c r="D13" s="506"/>
      <c r="E13" s="506"/>
      <c r="F13" s="506"/>
      <c r="G13" s="506"/>
      <c r="H13" s="503">
        <v>1.4</v>
      </c>
      <c r="I13" s="504">
        <f t="shared" si="4"/>
        <v>0</v>
      </c>
      <c r="J13" s="507"/>
      <c r="K13" s="507"/>
      <c r="L13" s="507"/>
      <c r="M13" s="507"/>
      <c r="N13" s="507"/>
      <c r="O13" s="507"/>
      <c r="P13" s="507"/>
      <c r="Q13" s="501">
        <f t="shared" si="6"/>
        <v>0</v>
      </c>
    </row>
    <row r="14" spans="1:17" ht="14.4">
      <c r="A14" s="470"/>
      <c r="B14" s="505" t="s">
        <v>732</v>
      </c>
      <c r="C14" s="506"/>
      <c r="D14" s="506"/>
      <c r="E14" s="506"/>
      <c r="F14" s="506"/>
      <c r="G14" s="506"/>
      <c r="H14" s="503">
        <v>1.4</v>
      </c>
      <c r="I14" s="504">
        <f t="shared" si="4"/>
        <v>0</v>
      </c>
      <c r="J14" s="507"/>
      <c r="K14" s="507"/>
      <c r="L14" s="507"/>
      <c r="M14" s="507"/>
      <c r="N14" s="507"/>
      <c r="O14" s="507"/>
      <c r="P14" s="507"/>
      <c r="Q14" s="501">
        <f>SUM(Q15:Q17)</f>
        <v>0</v>
      </c>
    </row>
    <row r="15" spans="1:17" ht="14.4">
      <c r="A15" s="470"/>
      <c r="B15" s="508" t="s">
        <v>729</v>
      </c>
      <c r="C15" s="506"/>
      <c r="D15" s="506"/>
      <c r="E15" s="506"/>
      <c r="F15" s="506"/>
      <c r="G15" s="506"/>
      <c r="H15" s="503">
        <v>1.4</v>
      </c>
      <c r="I15" s="504">
        <f t="shared" si="4"/>
        <v>0</v>
      </c>
      <c r="J15" s="507"/>
      <c r="K15" s="507"/>
      <c r="L15" s="507"/>
      <c r="M15" s="507"/>
      <c r="N15" s="507"/>
      <c r="O15" s="507"/>
      <c r="P15" s="507"/>
      <c r="Q15" s="501">
        <f>SUMPRODUCT($J$5:$P$5,J15:P15)</f>
        <v>0</v>
      </c>
    </row>
    <row r="16" spans="1:17" ht="14.4">
      <c r="A16" s="470"/>
      <c r="B16" s="508" t="s">
        <v>730</v>
      </c>
      <c r="C16" s="506"/>
      <c r="D16" s="506"/>
      <c r="E16" s="506"/>
      <c r="F16" s="506"/>
      <c r="G16" s="506"/>
      <c r="H16" s="503">
        <v>1.4</v>
      </c>
      <c r="I16" s="504">
        <f t="shared" si="4"/>
        <v>0</v>
      </c>
      <c r="J16" s="507"/>
      <c r="K16" s="507"/>
      <c r="L16" s="507"/>
      <c r="M16" s="507"/>
      <c r="N16" s="507"/>
      <c r="O16" s="507"/>
      <c r="P16" s="507"/>
      <c r="Q16" s="501">
        <f t="shared" ref="Q16:Q17" si="7">SUMPRODUCT($J$5:$P$5,J16:P16)</f>
        <v>0</v>
      </c>
    </row>
    <row r="17" spans="1:17" ht="14.4">
      <c r="A17" s="470"/>
      <c r="B17" s="508" t="s">
        <v>737</v>
      </c>
      <c r="C17" s="506"/>
      <c r="D17" s="506"/>
      <c r="E17" s="506"/>
      <c r="F17" s="506"/>
      <c r="G17" s="506"/>
      <c r="H17" s="503">
        <v>1.4</v>
      </c>
      <c r="I17" s="504">
        <f t="shared" si="4"/>
        <v>0</v>
      </c>
      <c r="J17" s="507"/>
      <c r="K17" s="507"/>
      <c r="L17" s="507"/>
      <c r="M17" s="507"/>
      <c r="N17" s="507"/>
      <c r="O17" s="507"/>
      <c r="P17" s="507"/>
      <c r="Q17" s="501">
        <f t="shared" si="7"/>
        <v>0</v>
      </c>
    </row>
    <row r="18" spans="1:17" ht="14.4">
      <c r="A18" s="470"/>
      <c r="B18" s="505" t="s">
        <v>733</v>
      </c>
      <c r="C18" s="506"/>
      <c r="D18" s="506"/>
      <c r="E18" s="506"/>
      <c r="F18" s="506"/>
      <c r="G18" s="506"/>
      <c r="H18" s="503">
        <v>1.4</v>
      </c>
      <c r="I18" s="504">
        <f t="shared" si="4"/>
        <v>0</v>
      </c>
      <c r="J18" s="507"/>
      <c r="K18" s="507"/>
      <c r="L18" s="507"/>
      <c r="M18" s="507"/>
      <c r="N18" s="507"/>
      <c r="O18" s="507"/>
      <c r="P18" s="507"/>
      <c r="Q18" s="501">
        <f>SUM(Q19:Q21)</f>
        <v>46484.639999999999</v>
      </c>
    </row>
    <row r="19" spans="1:17" ht="14.4">
      <c r="A19" s="470"/>
      <c r="B19" s="508" t="s">
        <v>729</v>
      </c>
      <c r="C19" s="506">
        <v>48566501</v>
      </c>
      <c r="D19" s="506">
        <v>-277728.56</v>
      </c>
      <c r="E19" s="506">
        <v>0</v>
      </c>
      <c r="F19" s="506">
        <v>2591</v>
      </c>
      <c r="G19" s="506">
        <v>46003</v>
      </c>
      <c r="H19" s="503">
        <v>1.4</v>
      </c>
      <c r="I19" s="504">
        <f t="shared" si="4"/>
        <v>68031.599999999991</v>
      </c>
      <c r="J19" s="507">
        <v>0</v>
      </c>
      <c r="K19" s="507">
        <v>0</v>
      </c>
      <c r="L19" s="507"/>
      <c r="M19" s="507">
        <v>55563.99</v>
      </c>
      <c r="N19" s="507"/>
      <c r="O19" s="507">
        <v>0</v>
      </c>
      <c r="P19" s="507">
        <v>12468.43</v>
      </c>
      <c r="Q19" s="501">
        <f>SUMPRODUCT($J$5:$P$5,J19:P19)</f>
        <v>46484.639999999999</v>
      </c>
    </row>
    <row r="20" spans="1:17" ht="14.4">
      <c r="A20" s="470"/>
      <c r="B20" s="508" t="s">
        <v>730</v>
      </c>
      <c r="C20" s="506"/>
      <c r="D20" s="506"/>
      <c r="E20" s="506"/>
      <c r="F20" s="506"/>
      <c r="G20" s="506"/>
      <c r="H20" s="503">
        <v>1.4</v>
      </c>
      <c r="I20" s="504">
        <f t="shared" si="4"/>
        <v>0</v>
      </c>
      <c r="J20" s="507"/>
      <c r="K20" s="507"/>
      <c r="L20" s="507"/>
      <c r="M20" s="507"/>
      <c r="N20" s="507"/>
      <c r="O20" s="507"/>
      <c r="P20" s="507"/>
      <c r="Q20" s="501">
        <f t="shared" ref="Q20:Q21" si="8">SUMPRODUCT($J$5:$P$5,J20:P20)</f>
        <v>0</v>
      </c>
    </row>
    <row r="21" spans="1:17" ht="14.4">
      <c r="A21" s="470"/>
      <c r="B21" s="508" t="s">
        <v>737</v>
      </c>
      <c r="C21" s="506"/>
      <c r="D21" s="506"/>
      <c r="E21" s="506"/>
      <c r="F21" s="506"/>
      <c r="G21" s="506"/>
      <c r="H21" s="503">
        <v>1.4</v>
      </c>
      <c r="I21" s="504">
        <f t="shared" si="4"/>
        <v>0</v>
      </c>
      <c r="J21" s="507"/>
      <c r="K21" s="507"/>
      <c r="L21" s="507"/>
      <c r="M21" s="507"/>
      <c r="N21" s="507"/>
      <c r="O21" s="507"/>
      <c r="P21" s="507"/>
      <c r="Q21" s="501">
        <f t="shared" si="8"/>
        <v>0</v>
      </c>
    </row>
    <row r="22" spans="1:17" ht="14.4">
      <c r="A22" s="470"/>
      <c r="B22" s="505" t="s">
        <v>734</v>
      </c>
      <c r="C22" s="506"/>
      <c r="D22" s="506"/>
      <c r="E22" s="506"/>
      <c r="F22" s="506"/>
      <c r="G22" s="506"/>
      <c r="H22" s="503">
        <v>1.4</v>
      </c>
      <c r="I22" s="504">
        <f t="shared" si="4"/>
        <v>0</v>
      </c>
      <c r="J22" s="507"/>
      <c r="K22" s="507"/>
      <c r="L22" s="507"/>
      <c r="M22" s="507"/>
      <c r="N22" s="507"/>
      <c r="O22" s="507"/>
      <c r="P22" s="507"/>
      <c r="Q22" s="501">
        <f>SUM(Q23:Q25)</f>
        <v>241722.59999999998</v>
      </c>
    </row>
    <row r="23" spans="1:17" ht="14.4">
      <c r="A23" s="470"/>
      <c r="B23" s="508" t="s">
        <v>729</v>
      </c>
      <c r="C23" s="506">
        <v>23908148</v>
      </c>
      <c r="D23" s="506">
        <v>358624.66</v>
      </c>
      <c r="E23" s="506">
        <v>6044320</v>
      </c>
      <c r="F23" s="506">
        <v>32222</v>
      </c>
      <c r="G23" s="506">
        <v>140437</v>
      </c>
      <c r="H23" s="503">
        <v>1.4</v>
      </c>
      <c r="I23" s="504">
        <f t="shared" si="4"/>
        <v>241722.59999999998</v>
      </c>
      <c r="J23" s="507">
        <v>0</v>
      </c>
      <c r="K23" s="507">
        <v>0</v>
      </c>
      <c r="L23" s="507"/>
      <c r="M23" s="507">
        <v>0</v>
      </c>
      <c r="N23" s="507"/>
      <c r="O23" s="507">
        <v>241722.59999999998</v>
      </c>
      <c r="P23" s="507">
        <v>0</v>
      </c>
      <c r="Q23" s="501">
        <f>SUMPRODUCT($J$5:$P$5,J23:P23)</f>
        <v>241722.59999999998</v>
      </c>
    </row>
    <row r="24" spans="1:17" ht="14.4">
      <c r="A24" s="470"/>
      <c r="B24" s="508" t="s">
        <v>730</v>
      </c>
      <c r="C24" s="506"/>
      <c r="D24" s="506"/>
      <c r="E24" s="506"/>
      <c r="F24" s="506"/>
      <c r="G24" s="506"/>
      <c r="H24" s="503">
        <v>1.4</v>
      </c>
      <c r="I24" s="504">
        <f t="shared" si="4"/>
        <v>0</v>
      </c>
      <c r="J24" s="507"/>
      <c r="K24" s="507"/>
      <c r="L24" s="507"/>
      <c r="M24" s="507"/>
      <c r="N24" s="507"/>
      <c r="O24" s="507"/>
      <c r="P24" s="507"/>
      <c r="Q24" s="501">
        <f t="shared" ref="Q24:Q25" si="9">SUMPRODUCT($J$5:$P$5,J24:P24)</f>
        <v>0</v>
      </c>
    </row>
    <row r="25" spans="1:17" ht="14.4">
      <c r="A25" s="470"/>
      <c r="B25" s="508" t="s">
        <v>737</v>
      </c>
      <c r="C25" s="506"/>
      <c r="D25" s="506"/>
      <c r="E25" s="506"/>
      <c r="F25" s="506"/>
      <c r="G25" s="506"/>
      <c r="H25" s="503">
        <v>1.4</v>
      </c>
      <c r="I25" s="504">
        <f t="shared" si="4"/>
        <v>0</v>
      </c>
      <c r="J25" s="507"/>
      <c r="K25" s="507"/>
      <c r="L25" s="507"/>
      <c r="M25" s="507"/>
      <c r="N25" s="507"/>
      <c r="O25" s="507"/>
      <c r="P25" s="507"/>
      <c r="Q25" s="501">
        <f t="shared" si="9"/>
        <v>0</v>
      </c>
    </row>
    <row r="26" spans="1:17" ht="14.4">
      <c r="A26" s="470"/>
      <c r="B26" s="505" t="s">
        <v>735</v>
      </c>
      <c r="C26" s="506"/>
      <c r="D26" s="506"/>
      <c r="E26" s="506"/>
      <c r="F26" s="506"/>
      <c r="G26" s="506"/>
      <c r="H26" s="503">
        <v>1.4</v>
      </c>
      <c r="I26" s="504">
        <f t="shared" si="4"/>
        <v>0</v>
      </c>
      <c r="J26" s="507"/>
      <c r="K26" s="507"/>
      <c r="L26" s="507"/>
      <c r="M26" s="507"/>
      <c r="N26" s="507"/>
      <c r="O26" s="507"/>
      <c r="P26" s="507"/>
      <c r="Q26" s="501">
        <f>SUM(Q27:Q29)</f>
        <v>5217.0439999999999</v>
      </c>
    </row>
    <row r="27" spans="1:17" ht="14.4">
      <c r="A27" s="470"/>
      <c r="B27" s="508" t="s">
        <v>729</v>
      </c>
      <c r="C27" s="506">
        <v>8170800</v>
      </c>
      <c r="D27" s="506">
        <v>392507.28</v>
      </c>
      <c r="E27" s="506">
        <v>8135100</v>
      </c>
      <c r="F27" s="506">
        <v>0</v>
      </c>
      <c r="G27" s="506">
        <v>3726.46</v>
      </c>
      <c r="H27" s="503">
        <v>1.4</v>
      </c>
      <c r="I27" s="504">
        <f t="shared" si="4"/>
        <v>5217.0439999999999</v>
      </c>
      <c r="J27" s="507">
        <v>0</v>
      </c>
      <c r="K27" s="507">
        <v>0</v>
      </c>
      <c r="L27" s="507"/>
      <c r="M27" s="507">
        <v>0</v>
      </c>
      <c r="N27" s="507"/>
      <c r="O27" s="507">
        <v>5217.0439999999999</v>
      </c>
      <c r="P27" s="507">
        <v>0</v>
      </c>
      <c r="Q27" s="501">
        <f>SUMPRODUCT($J$5:$P$5,J27:P27)</f>
        <v>5217.0439999999999</v>
      </c>
    </row>
    <row r="28" spans="1:17" ht="14.4">
      <c r="A28" s="470"/>
      <c r="B28" s="508" t="s">
        <v>730</v>
      </c>
      <c r="C28" s="506"/>
      <c r="D28" s="506"/>
      <c r="E28" s="506"/>
      <c r="F28" s="506"/>
      <c r="G28" s="506"/>
      <c r="H28" s="503">
        <v>1.4</v>
      </c>
      <c r="I28" s="504">
        <f t="shared" si="4"/>
        <v>0</v>
      </c>
      <c r="J28" s="507"/>
      <c r="K28" s="507"/>
      <c r="L28" s="507"/>
      <c r="M28" s="507"/>
      <c r="N28" s="507"/>
      <c r="O28" s="507"/>
      <c r="P28" s="507"/>
      <c r="Q28" s="501">
        <f t="shared" ref="Q28:Q29" si="10">SUMPRODUCT($J$5:$P$5,J28:P28)</f>
        <v>0</v>
      </c>
    </row>
    <row r="29" spans="1:17" ht="14.4">
      <c r="A29" s="470"/>
      <c r="B29" s="508" t="s">
        <v>737</v>
      </c>
      <c r="C29" s="506"/>
      <c r="D29" s="506"/>
      <c r="E29" s="506"/>
      <c r="F29" s="506"/>
      <c r="G29" s="506"/>
      <c r="H29" s="503">
        <v>1.4</v>
      </c>
      <c r="I29" s="504">
        <f t="shared" si="4"/>
        <v>0</v>
      </c>
      <c r="J29" s="507"/>
      <c r="K29" s="507"/>
      <c r="L29" s="507"/>
      <c r="M29" s="507"/>
      <c r="N29" s="507"/>
      <c r="O29" s="507"/>
      <c r="P29" s="507"/>
      <c r="Q29" s="501">
        <f t="shared" si="10"/>
        <v>0</v>
      </c>
    </row>
    <row r="30" spans="1:17" ht="14.4">
      <c r="A30" s="470"/>
      <c r="B30" s="509" t="s">
        <v>736</v>
      </c>
      <c r="C30" s="506"/>
      <c r="D30" s="506"/>
      <c r="E30" s="506"/>
      <c r="F30" s="506"/>
      <c r="G30" s="506"/>
      <c r="H30" s="503">
        <v>1.4</v>
      </c>
      <c r="I30" s="504">
        <f t="shared" si="4"/>
        <v>0</v>
      </c>
      <c r="J30" s="507"/>
      <c r="K30" s="507"/>
      <c r="L30" s="507"/>
      <c r="M30" s="507"/>
      <c r="N30" s="507"/>
      <c r="O30" s="507"/>
      <c r="P30" s="507"/>
      <c r="Q30" s="501">
        <f>SUM(Q31:Q33)</f>
        <v>452676</v>
      </c>
    </row>
    <row r="31" spans="1:17" ht="14.4">
      <c r="A31" s="470"/>
      <c r="B31" s="508" t="s">
        <v>729</v>
      </c>
      <c r="C31" s="506">
        <v>18032412</v>
      </c>
      <c r="D31" s="506">
        <v>105505.25</v>
      </c>
      <c r="E31" s="506">
        <v>13713230</v>
      </c>
      <c r="F31" s="506">
        <v>163616</v>
      </c>
      <c r="G31" s="506">
        <v>166926</v>
      </c>
      <c r="H31" s="503">
        <v>1.4</v>
      </c>
      <c r="I31" s="504">
        <f t="shared" si="4"/>
        <v>462758.8</v>
      </c>
      <c r="J31" s="507">
        <v>0</v>
      </c>
      <c r="K31" s="507">
        <v>0</v>
      </c>
      <c r="L31" s="507"/>
      <c r="M31" s="507">
        <v>20165.599999999999</v>
      </c>
      <c r="N31" s="507"/>
      <c r="O31" s="507">
        <v>442593.2</v>
      </c>
      <c r="P31" s="507">
        <v>0</v>
      </c>
      <c r="Q31" s="501">
        <f>SUMPRODUCT($J$5:$P$5,J31:P31)</f>
        <v>452676</v>
      </c>
    </row>
    <row r="32" spans="1:17" ht="14.4">
      <c r="A32" s="470"/>
      <c r="B32" s="508" t="s">
        <v>730</v>
      </c>
      <c r="C32" s="506"/>
      <c r="D32" s="506"/>
      <c r="E32" s="506"/>
      <c r="F32" s="506"/>
      <c r="G32" s="506"/>
      <c r="H32" s="503">
        <v>1.4</v>
      </c>
      <c r="I32" s="504">
        <f t="shared" si="4"/>
        <v>0</v>
      </c>
      <c r="J32" s="507"/>
      <c r="K32" s="507"/>
      <c r="L32" s="507"/>
      <c r="M32" s="507"/>
      <c r="N32" s="507"/>
      <c r="O32" s="507"/>
      <c r="P32" s="507"/>
      <c r="Q32" s="501">
        <f t="shared" ref="Q32:Q33" si="11">SUMPRODUCT($J$5:$P$5,J32:P32)</f>
        <v>0</v>
      </c>
    </row>
    <row r="33" spans="1:17" ht="14.4">
      <c r="A33" s="470"/>
      <c r="B33" s="508" t="s">
        <v>737</v>
      </c>
      <c r="C33" s="506"/>
      <c r="D33" s="506"/>
      <c r="E33" s="506"/>
      <c r="F33" s="506"/>
      <c r="G33" s="506"/>
      <c r="H33" s="503">
        <v>1.4</v>
      </c>
      <c r="I33" s="504">
        <f t="shared" si="4"/>
        <v>0</v>
      </c>
      <c r="J33" s="507"/>
      <c r="K33" s="507"/>
      <c r="L33" s="507"/>
      <c r="M33" s="507"/>
      <c r="N33" s="507"/>
      <c r="O33" s="507"/>
      <c r="P33" s="507"/>
      <c r="Q33" s="501">
        <f t="shared" si="11"/>
        <v>0</v>
      </c>
    </row>
    <row r="34" spans="1:17" ht="14.4">
      <c r="A34" s="470"/>
      <c r="B34" s="510" t="s">
        <v>64</v>
      </c>
      <c r="C34" s="511">
        <f>C6</f>
        <v>98677861</v>
      </c>
      <c r="D34" s="511">
        <f t="shared" ref="D34:G34" si="12">D6</f>
        <v>578908.63</v>
      </c>
      <c r="E34" s="511">
        <f t="shared" si="12"/>
        <v>27892650</v>
      </c>
      <c r="F34" s="511">
        <f t="shared" si="12"/>
        <v>198429</v>
      </c>
      <c r="G34" s="511">
        <f t="shared" si="12"/>
        <v>357092.45999999996</v>
      </c>
      <c r="H34" s="503">
        <v>1.4</v>
      </c>
      <c r="I34" s="504">
        <f>(F34+G34)*H34</f>
        <v>777730.04399999988</v>
      </c>
      <c r="J34" s="511">
        <f t="shared" ref="J34:Q34" si="13">J6</f>
        <v>0</v>
      </c>
      <c r="K34" s="511">
        <f t="shared" si="13"/>
        <v>0</v>
      </c>
      <c r="L34" s="511">
        <f t="shared" si="13"/>
        <v>0</v>
      </c>
      <c r="M34" s="511">
        <f t="shared" si="13"/>
        <v>75729.59</v>
      </c>
      <c r="N34" s="511">
        <f t="shared" si="13"/>
        <v>0</v>
      </c>
      <c r="O34" s="511">
        <f t="shared" si="13"/>
        <v>689532.84400000004</v>
      </c>
      <c r="P34" s="511">
        <f t="shared" si="13"/>
        <v>12468.43</v>
      </c>
      <c r="Q34" s="511">
        <f t="shared" si="13"/>
        <v>746100.28399999999</v>
      </c>
    </row>
    <row r="36" spans="1:17">
      <c r="C36" s="601"/>
      <c r="D36" s="601"/>
      <c r="E36" s="601"/>
      <c r="F36" s="601"/>
      <c r="G36" s="601"/>
      <c r="H36" s="601"/>
      <c r="I36" s="601"/>
      <c r="J36" s="601"/>
      <c r="K36" s="601"/>
      <c r="L36" s="601"/>
      <c r="M36" s="601"/>
      <c r="N36" s="601"/>
      <c r="O36" s="601"/>
      <c r="P36" s="601"/>
      <c r="Q36" s="601"/>
    </row>
    <row r="37" spans="1:17">
      <c r="C37" s="601"/>
      <c r="D37" s="601"/>
      <c r="E37" s="601"/>
      <c r="F37" s="601"/>
      <c r="G37" s="601"/>
      <c r="H37" s="601"/>
      <c r="I37" s="601"/>
      <c r="J37" s="601"/>
      <c r="K37" s="601"/>
      <c r="L37" s="601"/>
      <c r="M37" s="601"/>
      <c r="N37" s="601"/>
      <c r="O37" s="601"/>
      <c r="P37" s="601"/>
      <c r="Q37" s="601"/>
    </row>
    <row r="38" spans="1:17">
      <c r="C38" s="601"/>
      <c r="D38" s="601"/>
      <c r="E38" s="601"/>
      <c r="F38" s="601"/>
      <c r="G38" s="601"/>
      <c r="H38" s="601"/>
      <c r="I38" s="601"/>
      <c r="J38" s="601"/>
      <c r="K38" s="601"/>
      <c r="L38" s="601"/>
      <c r="M38" s="601"/>
      <c r="N38" s="601"/>
      <c r="O38" s="601"/>
      <c r="P38" s="601"/>
      <c r="Q38" s="601"/>
    </row>
    <row r="39" spans="1:17">
      <c r="C39" s="601"/>
      <c r="D39" s="601"/>
      <c r="E39" s="601"/>
      <c r="F39" s="601"/>
      <c r="G39" s="601"/>
      <c r="H39" s="601"/>
      <c r="I39" s="601"/>
      <c r="J39" s="601"/>
      <c r="K39" s="601"/>
      <c r="L39" s="601"/>
      <c r="M39" s="601"/>
      <c r="N39" s="601"/>
      <c r="O39" s="601"/>
      <c r="P39" s="601"/>
      <c r="Q39" s="601"/>
    </row>
    <row r="40" spans="1:17">
      <c r="C40" s="601"/>
      <c r="D40" s="601"/>
      <c r="E40" s="601"/>
      <c r="F40" s="601"/>
      <c r="G40" s="601"/>
      <c r="H40" s="601"/>
      <c r="I40" s="601"/>
      <c r="J40" s="601"/>
      <c r="K40" s="601"/>
      <c r="L40" s="601"/>
      <c r="M40" s="601"/>
      <c r="N40" s="601"/>
      <c r="O40" s="601"/>
      <c r="P40" s="601"/>
      <c r="Q40" s="601"/>
    </row>
    <row r="41" spans="1:17">
      <c r="C41" s="601"/>
      <c r="D41" s="601"/>
      <c r="E41" s="601"/>
      <c r="F41" s="601"/>
      <c r="G41" s="601"/>
      <c r="H41" s="601"/>
      <c r="I41" s="601"/>
      <c r="J41" s="601"/>
      <c r="K41" s="601"/>
      <c r="L41" s="601"/>
      <c r="M41" s="601"/>
      <c r="N41" s="601"/>
      <c r="O41" s="601"/>
      <c r="P41" s="601"/>
      <c r="Q41" s="601"/>
    </row>
    <row r="42" spans="1:17">
      <c r="C42" s="601"/>
      <c r="D42" s="601"/>
      <c r="E42" s="601"/>
      <c r="F42" s="601"/>
      <c r="G42" s="601"/>
      <c r="H42" s="601"/>
      <c r="I42" s="601"/>
      <c r="J42" s="601"/>
      <c r="K42" s="601"/>
      <c r="L42" s="601"/>
      <c r="M42" s="601"/>
      <c r="N42" s="601"/>
      <c r="O42" s="601"/>
      <c r="P42" s="601"/>
      <c r="Q42" s="601"/>
    </row>
    <row r="43" spans="1:17">
      <c r="C43" s="601"/>
      <c r="D43" s="601"/>
      <c r="E43" s="601"/>
      <c r="F43" s="601"/>
      <c r="G43" s="601"/>
      <c r="H43" s="601"/>
      <c r="I43" s="601"/>
      <c r="J43" s="601"/>
      <c r="K43" s="601"/>
      <c r="L43" s="601"/>
      <c r="M43" s="601"/>
      <c r="N43" s="601"/>
      <c r="O43" s="601"/>
      <c r="P43" s="601"/>
      <c r="Q43" s="601"/>
    </row>
    <row r="44" spans="1:17">
      <c r="C44" s="601"/>
      <c r="D44" s="601"/>
      <c r="E44" s="601"/>
      <c r="F44" s="601"/>
      <c r="G44" s="601"/>
      <c r="H44" s="601"/>
      <c r="I44" s="601"/>
      <c r="J44" s="601"/>
      <c r="K44" s="601"/>
      <c r="L44" s="601"/>
      <c r="M44" s="601"/>
      <c r="N44" s="601"/>
      <c r="O44" s="601"/>
      <c r="P44" s="601"/>
      <c r="Q44" s="601"/>
    </row>
    <row r="45" spans="1:17">
      <c r="C45" s="601"/>
      <c r="D45" s="601"/>
      <c r="E45" s="601"/>
      <c r="F45" s="601"/>
      <c r="G45" s="601"/>
      <c r="H45" s="601"/>
      <c r="I45" s="601"/>
      <c r="J45" s="601"/>
      <c r="K45" s="601"/>
      <c r="L45" s="601"/>
      <c r="M45" s="601"/>
      <c r="N45" s="601"/>
      <c r="O45" s="601"/>
      <c r="P45" s="601"/>
      <c r="Q45" s="601"/>
    </row>
    <row r="46" spans="1:17">
      <c r="C46" s="601"/>
      <c r="D46" s="601"/>
      <c r="E46" s="601"/>
      <c r="F46" s="601"/>
      <c r="G46" s="601"/>
      <c r="H46" s="601"/>
      <c r="I46" s="601"/>
      <c r="J46" s="601"/>
      <c r="K46" s="601"/>
      <c r="L46" s="601"/>
      <c r="M46" s="601"/>
      <c r="N46" s="601"/>
      <c r="O46" s="601"/>
      <c r="P46" s="601"/>
      <c r="Q46" s="601"/>
    </row>
    <row r="47" spans="1:17">
      <c r="C47" s="601"/>
      <c r="D47" s="601"/>
      <c r="E47" s="601"/>
      <c r="F47" s="601"/>
      <c r="G47" s="601"/>
      <c r="H47" s="601"/>
      <c r="I47" s="601"/>
      <c r="J47" s="601"/>
      <c r="K47" s="601"/>
      <c r="L47" s="601"/>
      <c r="M47" s="601"/>
      <c r="N47" s="601"/>
      <c r="O47" s="601"/>
      <c r="P47" s="601"/>
      <c r="Q47" s="601"/>
    </row>
    <row r="48" spans="1:17">
      <c r="C48" s="601"/>
      <c r="D48" s="601"/>
      <c r="E48" s="601"/>
      <c r="F48" s="601"/>
      <c r="G48" s="601"/>
      <c r="H48" s="601"/>
      <c r="I48" s="601"/>
      <c r="J48" s="601"/>
      <c r="K48" s="601"/>
      <c r="L48" s="601"/>
      <c r="M48" s="601"/>
      <c r="N48" s="601"/>
      <c r="O48" s="601"/>
      <c r="P48" s="601"/>
      <c r="Q48" s="601"/>
    </row>
    <row r="49" spans="3:17">
      <c r="C49" s="601"/>
      <c r="D49" s="601"/>
      <c r="E49" s="601"/>
      <c r="F49" s="601"/>
      <c r="G49" s="601"/>
      <c r="H49" s="601"/>
      <c r="I49" s="601"/>
      <c r="J49" s="601"/>
      <c r="K49" s="601"/>
      <c r="L49" s="601"/>
      <c r="M49" s="601"/>
      <c r="N49" s="601"/>
      <c r="O49" s="601"/>
      <c r="P49" s="601"/>
      <c r="Q49" s="601"/>
    </row>
    <row r="50" spans="3:17">
      <c r="C50" s="601"/>
      <c r="D50" s="601"/>
      <c r="E50" s="601"/>
      <c r="F50" s="601"/>
      <c r="G50" s="601"/>
      <c r="H50" s="601"/>
      <c r="I50" s="601"/>
      <c r="J50" s="601"/>
      <c r="K50" s="601"/>
      <c r="L50" s="601"/>
      <c r="M50" s="601"/>
      <c r="N50" s="601"/>
      <c r="O50" s="601"/>
      <c r="P50" s="601"/>
      <c r="Q50" s="601"/>
    </row>
    <row r="51" spans="3:17">
      <c r="C51" s="601"/>
      <c r="D51" s="601"/>
      <c r="E51" s="601"/>
      <c r="F51" s="601"/>
      <c r="G51" s="601"/>
      <c r="H51" s="601"/>
      <c r="I51" s="601"/>
      <c r="J51" s="601"/>
      <c r="K51" s="601"/>
      <c r="L51" s="601"/>
      <c r="M51" s="601"/>
      <c r="N51" s="601"/>
      <c r="O51" s="601"/>
      <c r="P51" s="601"/>
      <c r="Q51" s="601"/>
    </row>
    <row r="52" spans="3:17">
      <c r="C52" s="601"/>
      <c r="D52" s="601"/>
      <c r="E52" s="601"/>
      <c r="F52" s="601"/>
      <c r="G52" s="601"/>
      <c r="H52" s="601"/>
      <c r="I52" s="601"/>
      <c r="J52" s="601"/>
      <c r="K52" s="601"/>
      <c r="L52" s="601"/>
      <c r="M52" s="601"/>
      <c r="N52" s="601"/>
      <c r="O52" s="601"/>
      <c r="P52" s="601"/>
      <c r="Q52" s="601"/>
    </row>
    <row r="53" spans="3:17">
      <c r="C53" s="601"/>
      <c r="D53" s="601"/>
      <c r="E53" s="601"/>
      <c r="F53" s="601"/>
      <c r="G53" s="601"/>
      <c r="H53" s="601"/>
      <c r="I53" s="601"/>
      <c r="J53" s="601"/>
      <c r="K53" s="601"/>
      <c r="L53" s="601"/>
      <c r="M53" s="601"/>
      <c r="N53" s="601"/>
      <c r="O53" s="601"/>
      <c r="P53" s="601"/>
      <c r="Q53" s="601"/>
    </row>
    <row r="54" spans="3:17">
      <c r="C54" s="601"/>
      <c r="D54" s="601"/>
      <c r="E54" s="601"/>
      <c r="F54" s="601"/>
      <c r="G54" s="601"/>
      <c r="H54" s="601"/>
      <c r="I54" s="601"/>
      <c r="J54" s="601"/>
      <c r="K54" s="601"/>
      <c r="L54" s="601"/>
      <c r="M54" s="601"/>
      <c r="N54" s="601"/>
      <c r="O54" s="601"/>
      <c r="P54" s="601"/>
      <c r="Q54" s="601"/>
    </row>
    <row r="55" spans="3:17">
      <c r="C55" s="601"/>
      <c r="D55" s="601"/>
      <c r="E55" s="601"/>
      <c r="F55" s="601"/>
      <c r="G55" s="601"/>
      <c r="H55" s="601"/>
      <c r="I55" s="601"/>
      <c r="J55" s="601"/>
      <c r="K55" s="601"/>
      <c r="L55" s="601"/>
      <c r="M55" s="601"/>
      <c r="N55" s="601"/>
      <c r="O55" s="601"/>
      <c r="P55" s="601"/>
      <c r="Q55" s="601"/>
    </row>
    <row r="56" spans="3:17">
      <c r="C56" s="601"/>
      <c r="D56" s="601"/>
      <c r="E56" s="601"/>
      <c r="F56" s="601"/>
      <c r="G56" s="601"/>
      <c r="H56" s="601"/>
      <c r="I56" s="601"/>
      <c r="J56" s="601"/>
      <c r="K56" s="601"/>
      <c r="L56" s="601"/>
      <c r="M56" s="601"/>
      <c r="N56" s="601"/>
      <c r="O56" s="601"/>
      <c r="P56" s="601"/>
      <c r="Q56" s="601"/>
    </row>
    <row r="57" spans="3:17">
      <c r="C57" s="601"/>
      <c r="D57" s="601"/>
      <c r="E57" s="601"/>
      <c r="F57" s="601"/>
      <c r="G57" s="601"/>
      <c r="H57" s="601"/>
      <c r="I57" s="601"/>
      <c r="J57" s="601"/>
      <c r="K57" s="601"/>
      <c r="L57" s="601"/>
      <c r="M57" s="601"/>
      <c r="N57" s="601"/>
      <c r="O57" s="601"/>
      <c r="P57" s="601"/>
      <c r="Q57" s="601"/>
    </row>
    <row r="58" spans="3:17">
      <c r="C58" s="601"/>
      <c r="D58" s="601"/>
      <c r="E58" s="601"/>
      <c r="F58" s="601"/>
      <c r="G58" s="601"/>
      <c r="H58" s="601"/>
      <c r="I58" s="601"/>
      <c r="J58" s="601"/>
      <c r="K58" s="601"/>
      <c r="L58" s="601"/>
      <c r="M58" s="601"/>
      <c r="N58" s="601"/>
      <c r="O58" s="601"/>
      <c r="P58" s="601"/>
      <c r="Q58" s="601"/>
    </row>
    <row r="59" spans="3:17">
      <c r="C59" s="601"/>
      <c r="D59" s="601"/>
      <c r="E59" s="601"/>
      <c r="F59" s="601"/>
      <c r="G59" s="601"/>
      <c r="H59" s="601"/>
      <c r="I59" s="601"/>
      <c r="J59" s="601"/>
      <c r="K59" s="601"/>
      <c r="L59" s="601"/>
      <c r="M59" s="601"/>
      <c r="N59" s="601"/>
      <c r="O59" s="601"/>
      <c r="P59" s="601"/>
      <c r="Q59" s="601"/>
    </row>
    <row r="60" spans="3:17">
      <c r="C60" s="601"/>
      <c r="D60" s="601"/>
      <c r="E60" s="601"/>
      <c r="F60" s="601"/>
      <c r="G60" s="601"/>
      <c r="H60" s="601"/>
      <c r="I60" s="601"/>
      <c r="J60" s="601"/>
      <c r="K60" s="601"/>
      <c r="L60" s="601"/>
      <c r="M60" s="601"/>
      <c r="N60" s="601"/>
      <c r="O60" s="601"/>
      <c r="P60" s="601"/>
      <c r="Q60" s="601"/>
    </row>
    <row r="61" spans="3:17">
      <c r="C61" s="601"/>
      <c r="D61" s="601"/>
      <c r="E61" s="601"/>
      <c r="F61" s="601"/>
      <c r="G61" s="601"/>
      <c r="H61" s="601"/>
      <c r="I61" s="601"/>
      <c r="J61" s="601"/>
      <c r="K61" s="601"/>
      <c r="L61" s="601"/>
      <c r="M61" s="601"/>
      <c r="N61" s="601"/>
      <c r="O61" s="601"/>
      <c r="P61" s="601"/>
      <c r="Q61" s="601"/>
    </row>
    <row r="62" spans="3:17">
      <c r="C62" s="601"/>
      <c r="D62" s="601"/>
      <c r="E62" s="601"/>
      <c r="F62" s="601"/>
      <c r="G62" s="601"/>
      <c r="H62" s="601"/>
      <c r="I62" s="601"/>
      <c r="J62" s="601"/>
      <c r="K62" s="601"/>
      <c r="L62" s="601"/>
      <c r="M62" s="601"/>
      <c r="N62" s="601"/>
      <c r="O62" s="601"/>
      <c r="P62" s="601"/>
      <c r="Q62" s="601"/>
    </row>
    <row r="63" spans="3:17">
      <c r="C63" s="601"/>
      <c r="D63" s="601"/>
      <c r="E63" s="601"/>
      <c r="F63" s="601"/>
      <c r="G63" s="601"/>
      <c r="H63" s="601"/>
      <c r="I63" s="601"/>
      <c r="J63" s="601"/>
      <c r="K63" s="601"/>
      <c r="L63" s="601"/>
      <c r="M63" s="601"/>
      <c r="N63" s="601"/>
      <c r="O63" s="601"/>
      <c r="P63" s="601"/>
      <c r="Q63" s="601"/>
    </row>
    <row r="64" spans="3:17">
      <c r="C64" s="601"/>
      <c r="D64" s="601"/>
      <c r="E64" s="601"/>
      <c r="F64" s="601"/>
      <c r="G64" s="601"/>
      <c r="H64" s="601"/>
      <c r="I64" s="601"/>
      <c r="J64" s="601"/>
      <c r="K64" s="601"/>
      <c r="L64" s="601"/>
      <c r="M64" s="601"/>
      <c r="N64" s="601"/>
      <c r="O64" s="601"/>
      <c r="P64" s="601"/>
      <c r="Q64" s="601"/>
    </row>
    <row r="65" spans="3:3">
      <c r="C65" s="601"/>
    </row>
    <row r="66" spans="3:3">
      <c r="C66" s="601"/>
    </row>
    <row r="67" spans="3:3">
      <c r="C67" s="601"/>
    </row>
    <row r="68" spans="3:3">
      <c r="C68" s="601"/>
    </row>
    <row r="69" spans="3:3">
      <c r="C69" s="601"/>
    </row>
    <row r="70" spans="3:3">
      <c r="C70" s="601"/>
    </row>
    <row r="71" spans="3:3">
      <c r="C71" s="601"/>
    </row>
    <row r="72" spans="3:3">
      <c r="C72" s="601"/>
    </row>
    <row r="73" spans="3:3">
      <c r="C73" s="601"/>
    </row>
    <row r="74" spans="3:3">
      <c r="C74" s="601"/>
    </row>
    <row r="75" spans="3:3">
      <c r="C75" s="601"/>
    </row>
    <row r="76" spans="3:3">
      <c r="C76" s="601"/>
    </row>
    <row r="77" spans="3:3">
      <c r="C77" s="601"/>
    </row>
    <row r="78" spans="3:3">
      <c r="C78" s="601"/>
    </row>
    <row r="79" spans="3:3">
      <c r="C79" s="601"/>
    </row>
    <row r="80" spans="3:3">
      <c r="C80" s="601"/>
    </row>
    <row r="81" spans="3:3">
      <c r="C81" s="601"/>
    </row>
    <row r="82" spans="3:3">
      <c r="C82" s="601"/>
    </row>
    <row r="83" spans="3:3">
      <c r="C83" s="601"/>
    </row>
    <row r="84" spans="3:3">
      <c r="C84" s="601"/>
    </row>
    <row r="85" spans="3:3">
      <c r="C85" s="601"/>
    </row>
    <row r="86" spans="3:3">
      <c r="C86" s="601"/>
    </row>
  </sheetData>
  <conditionalFormatting sqref="I7:I34">
    <cfRule type="expression" dxfId="18" priority="1">
      <formula>(C7*#REF!)&lt;&gt;SUM(#REF!)</formula>
    </cfRule>
  </conditionalFormatting>
  <pageMargins left="0.7" right="0.7" top="0.75" bottom="0.75" header="0.3" footer="0.3"/>
  <pageSetup paperSize="9" orientation="portrait" r:id="rId1"/>
  <headerFooter>
    <oddFooter>&amp;C_x000D_&amp;1#&amp;"Calibri"&amp;10&amp;K000000 C1 - FOR INTERNAL USE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34" activePane="bottomRight" state="frozen"/>
      <selection activeCell="G42" sqref="A22:G42"/>
      <selection pane="topRight" activeCell="G42" sqref="A22:G42"/>
      <selection pane="bottomLeft" activeCell="G42" sqref="A22:G42"/>
      <selection pane="bottomRight" activeCell="J3" sqref="J3"/>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13">
      <c r="A1" s="2" t="s">
        <v>30</v>
      </c>
      <c r="B1" s="3" t="str">
        <f>'Info '!C2</f>
        <v xml:space="preserve">PASHA Bank Georgia JSC </v>
      </c>
    </row>
    <row r="2" spans="1:13">
      <c r="A2" s="2" t="s">
        <v>31</v>
      </c>
      <c r="B2" s="253">
        <v>45838</v>
      </c>
    </row>
    <row r="3" spans="1:13" ht="14.4" thickBot="1">
      <c r="A3" s="2"/>
    </row>
    <row r="4" spans="1:13" ht="15" customHeight="1" thickBot="1">
      <c r="A4" s="6" t="s">
        <v>93</v>
      </c>
      <c r="B4" s="7" t="s">
        <v>92</v>
      </c>
      <c r="C4" s="7"/>
      <c r="D4" s="719" t="s">
        <v>664</v>
      </c>
      <c r="E4" s="720"/>
      <c r="F4" s="720"/>
      <c r="G4" s="721"/>
    </row>
    <row r="5" spans="1:13">
      <c r="A5" s="8" t="s">
        <v>6</v>
      </c>
      <c r="B5" s="9"/>
      <c r="C5" s="251" t="str">
        <f>INT((MONTH($B$2))/3)&amp;"Q"&amp;"-"&amp;YEAR($B$2)</f>
        <v>2Q-2025</v>
      </c>
      <c r="D5" s="251" t="str">
        <f>IF(INT(MONTH($B$2))=3, "4"&amp;"Q"&amp;"-"&amp;YEAR($B$2)-1, IF(INT(MONTH($B$2))=6, "1"&amp;"Q"&amp;"-"&amp;YEAR($B$2), IF(INT(MONTH($B$2))=9, "2"&amp;"Q"&amp;"-"&amp;YEAR($B$2),IF(INT(MONTH($B$2))=12, "3"&amp;"Q"&amp;"-"&amp;YEAR($B$2), 0))))</f>
        <v>1Q-2025</v>
      </c>
      <c r="E5" s="251" t="str">
        <f>IF(INT(MONTH($B$2))=3, "3"&amp;"Q"&amp;"-"&amp;YEAR($B$2)-1, IF(INT(MONTH($B$2))=6, "4"&amp;"Q"&amp;"-"&amp;YEAR($B$2)-1, IF(INT(MONTH($B$2))=9, "1"&amp;"Q"&amp;"-"&amp;YEAR($B$2),IF(INT(MONTH($B$2))=12, "2"&amp;"Q"&amp;"-"&amp;YEAR($B$2), 0))))</f>
        <v>4Q-2024</v>
      </c>
      <c r="F5" s="251" t="str">
        <f>IF(INT(MONTH($B$2))=3, "2"&amp;"Q"&amp;"-"&amp;YEAR($B$2)-1, IF(INT(MONTH($B$2))=6, "3"&amp;"Q"&amp;"-"&amp;YEAR($B$2)-1, IF(INT(MONTH($B$2))=9, "4"&amp;"Q"&amp;"-"&amp;YEAR($B$2)-1,IF(INT(MONTH($B$2))=12, "1"&amp;"Q"&amp;"-"&amp;YEAR($B$2), 0))))</f>
        <v>3Q-2024</v>
      </c>
      <c r="G5" s="252" t="str">
        <f>IF(INT(MONTH($B$2))=3, "1"&amp;"Q"&amp;"-"&amp;YEAR($B$2)-1, IF(INT(MONTH($B$2))=6, "2"&amp;"Q"&amp;"-"&amp;YEAR($B$2)-1, IF(INT(MONTH($B$2))=9, "3"&amp;"Q"&amp;"-"&amp;YEAR($B$2)-1,IF(INT(MONTH($B$2))=12, "4"&amp;"Q"&amp;"-"&amp;YEAR($B$2)-1, 0))))</f>
        <v>2Q-2024</v>
      </c>
    </row>
    <row r="6" spans="1:13">
      <c r="B6" s="113" t="s">
        <v>91</v>
      </c>
      <c r="C6" s="254"/>
      <c r="D6" s="254"/>
      <c r="E6" s="254"/>
      <c r="F6" s="254"/>
      <c r="G6" s="255"/>
    </row>
    <row r="7" spans="1:13">
      <c r="A7" s="10"/>
      <c r="B7" s="114" t="s">
        <v>89</v>
      </c>
      <c r="C7" s="254"/>
      <c r="D7" s="254"/>
      <c r="E7" s="254"/>
      <c r="F7" s="254"/>
      <c r="G7" s="255"/>
    </row>
    <row r="8" spans="1:13">
      <c r="A8" s="8">
        <v>1</v>
      </c>
      <c r="B8" s="11" t="s">
        <v>327</v>
      </c>
      <c r="C8" s="537">
        <v>116349646.08</v>
      </c>
      <c r="D8" s="537">
        <v>114576078.96000001</v>
      </c>
      <c r="E8" s="537">
        <v>115092463.53</v>
      </c>
      <c r="F8" s="537">
        <v>113245384</v>
      </c>
      <c r="G8" s="537">
        <v>109139841.13</v>
      </c>
      <c r="H8" s="565"/>
      <c r="I8" s="565"/>
      <c r="J8" s="565"/>
      <c r="K8" s="565"/>
      <c r="L8" s="565"/>
      <c r="M8" s="564"/>
    </row>
    <row r="9" spans="1:13">
      <c r="A9" s="8">
        <v>2</v>
      </c>
      <c r="B9" s="11" t="s">
        <v>328</v>
      </c>
      <c r="C9" s="537">
        <v>116349646.08</v>
      </c>
      <c r="D9" s="537">
        <v>114576078.96000001</v>
      </c>
      <c r="E9" s="537">
        <v>115092463.53</v>
      </c>
      <c r="F9" s="537">
        <v>113245384</v>
      </c>
      <c r="G9" s="537">
        <v>109139841.13</v>
      </c>
      <c r="H9" s="565"/>
      <c r="I9" s="565"/>
      <c r="J9" s="565"/>
      <c r="K9" s="565"/>
      <c r="L9" s="565"/>
    </row>
    <row r="10" spans="1:13">
      <c r="A10" s="8">
        <v>3</v>
      </c>
      <c r="B10" s="11" t="s">
        <v>142</v>
      </c>
      <c r="C10" s="537">
        <v>147671046.07999998</v>
      </c>
      <c r="D10" s="537">
        <v>146400028.96000001</v>
      </c>
      <c r="E10" s="537">
        <v>147370663.53</v>
      </c>
      <c r="F10" s="537">
        <v>133716639.09549999</v>
      </c>
      <c r="G10" s="537">
        <v>130214052.25</v>
      </c>
      <c r="H10" s="565"/>
      <c r="I10" s="565"/>
      <c r="J10" s="565"/>
      <c r="K10" s="565"/>
      <c r="L10" s="565"/>
    </row>
    <row r="11" spans="1:13">
      <c r="A11" s="8">
        <v>4</v>
      </c>
      <c r="B11" s="11" t="s">
        <v>330</v>
      </c>
      <c r="C11" s="537">
        <v>91960270.477399886</v>
      </c>
      <c r="D11" s="537">
        <v>93003478.205027804</v>
      </c>
      <c r="E11" s="537">
        <v>94637194.606505588</v>
      </c>
      <c r="F11" s="537">
        <v>84519272.377334282</v>
      </c>
      <c r="G11" s="537">
        <v>84854664.549999997</v>
      </c>
      <c r="H11" s="565"/>
      <c r="I11" s="565"/>
      <c r="J11" s="565"/>
      <c r="K11" s="565"/>
      <c r="L11" s="565"/>
    </row>
    <row r="12" spans="1:13">
      <c r="A12" s="8">
        <v>5</v>
      </c>
      <c r="B12" s="11" t="s">
        <v>331</v>
      </c>
      <c r="C12" s="537">
        <v>111431558.83573492</v>
      </c>
      <c r="D12" s="537">
        <v>112597126.85167614</v>
      </c>
      <c r="E12" s="537">
        <v>114802687.37104781</v>
      </c>
      <c r="F12" s="537">
        <v>103196317.83790517</v>
      </c>
      <c r="G12" s="537">
        <v>103805115.92</v>
      </c>
      <c r="H12" s="565"/>
      <c r="I12" s="565"/>
      <c r="J12" s="565"/>
      <c r="K12" s="565"/>
      <c r="L12" s="565"/>
    </row>
    <row r="13" spans="1:13">
      <c r="A13" s="8">
        <v>6</v>
      </c>
      <c r="B13" s="11" t="s">
        <v>329</v>
      </c>
      <c r="C13" s="537">
        <v>137213108.49544385</v>
      </c>
      <c r="D13" s="537">
        <v>138542811.82171732</v>
      </c>
      <c r="E13" s="537">
        <v>141504075.99891743</v>
      </c>
      <c r="F13" s="537">
        <v>127929639.42225404</v>
      </c>
      <c r="G13" s="537">
        <v>128897779.34999999</v>
      </c>
      <c r="H13" s="565"/>
      <c r="I13" s="565"/>
      <c r="J13" s="565"/>
      <c r="K13" s="565"/>
      <c r="L13" s="565"/>
    </row>
    <row r="14" spans="1:13">
      <c r="A14" s="10"/>
      <c r="B14" s="113" t="s">
        <v>333</v>
      </c>
      <c r="C14" s="254"/>
      <c r="D14" s="254"/>
      <c r="E14" s="254"/>
      <c r="F14" s="254"/>
      <c r="G14" s="255"/>
      <c r="H14" s="712"/>
      <c r="I14" s="712"/>
      <c r="J14" s="712"/>
      <c r="K14" s="712"/>
      <c r="L14" s="712"/>
    </row>
    <row r="15" spans="1:13" ht="15" customHeight="1">
      <c r="A15" s="8">
        <v>7</v>
      </c>
      <c r="B15" s="11" t="s">
        <v>332</v>
      </c>
      <c r="C15" s="537">
        <v>613446915.218606</v>
      </c>
      <c r="D15" s="537">
        <v>625359652.91482067</v>
      </c>
      <c r="E15" s="537">
        <v>637812963.19341671</v>
      </c>
      <c r="F15" s="537">
        <v>601394717.67122078</v>
      </c>
      <c r="G15" s="537">
        <v>599864131</v>
      </c>
      <c r="H15" s="565"/>
      <c r="I15" s="565"/>
      <c r="J15" s="565"/>
      <c r="K15" s="565"/>
      <c r="L15" s="565"/>
    </row>
    <row r="16" spans="1:13">
      <c r="A16" s="10"/>
      <c r="B16" s="113" t="s">
        <v>334</v>
      </c>
      <c r="C16" s="254"/>
      <c r="D16" s="254"/>
      <c r="E16" s="254"/>
      <c r="F16" s="254"/>
      <c r="G16" s="255"/>
      <c r="H16" s="712"/>
      <c r="I16" s="712"/>
      <c r="J16" s="712"/>
      <c r="K16" s="712"/>
      <c r="L16" s="712"/>
    </row>
    <row r="17" spans="1:12">
      <c r="A17" s="8"/>
      <c r="B17" s="114" t="s">
        <v>715</v>
      </c>
      <c r="C17" s="681">
        <v>0.18966538618673795</v>
      </c>
      <c r="D17" s="682">
        <v>0.1832162954964513</v>
      </c>
      <c r="E17" s="682">
        <v>0.18044861138248491</v>
      </c>
      <c r="F17" s="682">
        <v>0.18830458710798095</v>
      </c>
      <c r="G17" s="683">
        <v>0.18190000000000001</v>
      </c>
      <c r="H17" s="566"/>
      <c r="I17" s="566"/>
      <c r="J17" s="566"/>
      <c r="K17" s="566"/>
      <c r="L17" s="566"/>
    </row>
    <row r="18" spans="1:12">
      <c r="A18" s="8">
        <v>8</v>
      </c>
      <c r="B18" s="11" t="s">
        <v>327</v>
      </c>
      <c r="C18" s="681">
        <v>0.18966538618673795</v>
      </c>
      <c r="D18" s="682">
        <v>0.1832162954964513</v>
      </c>
      <c r="E18" s="682">
        <v>0.18044861138248491</v>
      </c>
      <c r="F18" s="682">
        <v>0.18830458710798095</v>
      </c>
      <c r="G18" s="683">
        <v>0.18190000000000001</v>
      </c>
      <c r="H18" s="566"/>
      <c r="I18" s="566"/>
      <c r="J18" s="566"/>
      <c r="K18" s="566"/>
      <c r="L18" s="566"/>
    </row>
    <row r="19" spans="1:12" ht="15" customHeight="1">
      <c r="A19" s="8">
        <v>9</v>
      </c>
      <c r="B19" s="11" t="s">
        <v>328</v>
      </c>
      <c r="C19" s="681">
        <v>0.24072343085689232</v>
      </c>
      <c r="D19" s="682">
        <v>0.23410533167214251</v>
      </c>
      <c r="E19" s="682">
        <v>0.23105623754045568</v>
      </c>
      <c r="F19" s="682">
        <v>0.22234421947251315</v>
      </c>
      <c r="G19" s="683">
        <v>0.21709999999999999</v>
      </c>
      <c r="H19" s="566"/>
      <c r="I19" s="566"/>
      <c r="J19" s="566"/>
      <c r="K19" s="566"/>
      <c r="L19" s="566"/>
    </row>
    <row r="20" spans="1:12">
      <c r="A20" s="8">
        <v>10</v>
      </c>
      <c r="B20" s="11" t="s">
        <v>142</v>
      </c>
      <c r="C20" s="681">
        <v>0.14990746256280255</v>
      </c>
      <c r="D20" s="682">
        <v>0.14871998500628514</v>
      </c>
      <c r="E20" s="682">
        <v>0.1483776593888495</v>
      </c>
      <c r="F20" s="682">
        <v>0.14053876745811478</v>
      </c>
      <c r="G20" s="683">
        <v>0.14149999999999999</v>
      </c>
      <c r="H20" s="566"/>
      <c r="I20" s="566"/>
      <c r="J20" s="566"/>
      <c r="K20" s="566"/>
      <c r="L20" s="566"/>
    </row>
    <row r="21" spans="1:12">
      <c r="A21" s="8">
        <v>11</v>
      </c>
      <c r="B21" s="11" t="s">
        <v>330</v>
      </c>
      <c r="C21" s="681">
        <v>0.18164825035598317</v>
      </c>
      <c r="D21" s="682">
        <v>0.18005179311913944</v>
      </c>
      <c r="E21" s="682">
        <v>0.17999428358472216</v>
      </c>
      <c r="F21" s="682">
        <v>0.17159498546563895</v>
      </c>
      <c r="G21" s="683">
        <v>0.17299999999999999</v>
      </c>
      <c r="H21" s="566"/>
      <c r="I21" s="566"/>
      <c r="J21" s="566"/>
      <c r="K21" s="566"/>
      <c r="L21" s="566"/>
    </row>
    <row r="22" spans="1:12">
      <c r="A22" s="8">
        <v>12</v>
      </c>
      <c r="B22" s="11" t="s">
        <v>331</v>
      </c>
      <c r="C22" s="681">
        <v>0.22367560271543141</v>
      </c>
      <c r="D22" s="682">
        <v>0.22154101432026355</v>
      </c>
      <c r="E22" s="682">
        <v>0.2218582627898178</v>
      </c>
      <c r="F22" s="682">
        <v>0.21272158810711816</v>
      </c>
      <c r="G22" s="683">
        <v>0.21490000000000001</v>
      </c>
      <c r="H22" s="566"/>
      <c r="I22" s="566"/>
      <c r="J22" s="566"/>
      <c r="K22" s="566"/>
      <c r="L22" s="566"/>
    </row>
    <row r="23" spans="1:12">
      <c r="A23" s="8">
        <v>13</v>
      </c>
      <c r="B23" s="11" t="s">
        <v>329</v>
      </c>
      <c r="C23" s="180"/>
      <c r="D23" s="180"/>
      <c r="E23" s="180"/>
      <c r="F23" s="180"/>
      <c r="G23" s="467"/>
      <c r="H23" s="565"/>
      <c r="I23" s="565"/>
      <c r="J23" s="565"/>
      <c r="K23" s="565"/>
      <c r="L23" s="565"/>
    </row>
    <row r="24" spans="1:12">
      <c r="A24" s="468"/>
      <c r="B24" s="113" t="s">
        <v>700</v>
      </c>
      <c r="C24" s="681">
        <v>0</v>
      </c>
      <c r="D24" s="681">
        <v>0</v>
      </c>
      <c r="E24" s="681">
        <v>0</v>
      </c>
      <c r="F24" s="681">
        <v>0</v>
      </c>
      <c r="G24" s="683">
        <v>0</v>
      </c>
      <c r="H24" s="713"/>
      <c r="I24" s="713"/>
      <c r="J24" s="713"/>
      <c r="K24" s="713"/>
      <c r="L24" s="713"/>
    </row>
    <row r="25" spans="1:12" ht="26.4">
      <c r="A25" s="8">
        <v>14</v>
      </c>
      <c r="B25" s="11" t="s">
        <v>701</v>
      </c>
      <c r="C25" s="536"/>
      <c r="D25" s="536"/>
      <c r="E25" s="536"/>
      <c r="F25" s="536"/>
      <c r="G25" s="536"/>
      <c r="H25" s="713"/>
      <c r="I25" s="713"/>
      <c r="J25" s="713"/>
      <c r="K25" s="713"/>
      <c r="L25" s="713"/>
    </row>
    <row r="26" spans="1:12">
      <c r="A26" s="10"/>
      <c r="B26" s="113" t="s">
        <v>88</v>
      </c>
      <c r="C26" s="254"/>
      <c r="D26" s="254"/>
      <c r="E26" s="254"/>
      <c r="F26" s="254"/>
      <c r="G26" s="255"/>
      <c r="H26" s="712"/>
      <c r="I26" s="712"/>
      <c r="J26" s="712"/>
      <c r="K26" s="712"/>
      <c r="L26" s="712"/>
    </row>
    <row r="27" spans="1:12" ht="15" customHeight="1">
      <c r="A27" s="256">
        <v>15</v>
      </c>
      <c r="B27" s="11" t="s">
        <v>87</v>
      </c>
      <c r="C27" s="684">
        <v>7.7714891580555723E-2</v>
      </c>
      <c r="D27" s="685">
        <v>7.5199785725246507E-2</v>
      </c>
      <c r="E27" s="685">
        <v>8.4455794896949363E-2</v>
      </c>
      <c r="F27" s="685">
        <v>8.677151535176017E-2</v>
      </c>
      <c r="G27" s="686">
        <v>8.9700000000000002E-2</v>
      </c>
      <c r="H27" s="713"/>
      <c r="I27" s="713"/>
      <c r="J27" s="713"/>
      <c r="K27" s="713"/>
      <c r="L27" s="713"/>
    </row>
    <row r="28" spans="1:12">
      <c r="A28" s="256">
        <v>16</v>
      </c>
      <c r="B28" s="11" t="s">
        <v>86</v>
      </c>
      <c r="C28" s="684">
        <v>4.0742835438436487E-2</v>
      </c>
      <c r="D28" s="685">
        <v>3.9735782325567508E-2</v>
      </c>
      <c r="E28" s="685">
        <v>3.9135507161925723E-2</v>
      </c>
      <c r="F28" s="685">
        <v>3.8882615767060091E-2</v>
      </c>
      <c r="G28" s="686">
        <v>3.9399999999999998E-2</v>
      </c>
      <c r="H28" s="713"/>
      <c r="I28" s="713"/>
      <c r="J28" s="713"/>
      <c r="K28" s="713"/>
      <c r="L28" s="713"/>
    </row>
    <row r="29" spans="1:12">
      <c r="A29" s="256">
        <v>17</v>
      </c>
      <c r="B29" s="11" t="s">
        <v>85</v>
      </c>
      <c r="C29" s="684">
        <v>7.0816742995524276E-2</v>
      </c>
      <c r="D29" s="685">
        <v>7.9801559988163823E-2</v>
      </c>
      <c r="E29" s="685">
        <v>0.10430778313433346</v>
      </c>
      <c r="F29" s="685">
        <v>0.10159692135706903</v>
      </c>
      <c r="G29" s="686">
        <v>0.1106</v>
      </c>
      <c r="H29" s="713"/>
      <c r="I29" s="713"/>
      <c r="J29" s="713"/>
      <c r="K29" s="713"/>
      <c r="L29" s="713"/>
    </row>
    <row r="30" spans="1:12">
      <c r="A30" s="256">
        <v>18</v>
      </c>
      <c r="B30" s="11" t="s">
        <v>84</v>
      </c>
      <c r="C30" s="684">
        <v>3.697205614211925E-2</v>
      </c>
      <c r="D30" s="685">
        <v>3.5464003399679006E-2</v>
      </c>
      <c r="E30" s="685">
        <v>4.5320287735023633E-2</v>
      </c>
      <c r="F30" s="685">
        <v>4.7888899584700093E-2</v>
      </c>
      <c r="G30" s="686">
        <v>5.0299999999999997E-2</v>
      </c>
      <c r="H30" s="713"/>
      <c r="I30" s="713"/>
      <c r="J30" s="713"/>
      <c r="K30" s="713"/>
      <c r="L30" s="713"/>
    </row>
    <row r="31" spans="1:12">
      <c r="A31" s="256">
        <v>19</v>
      </c>
      <c r="B31" s="11" t="s">
        <v>154</v>
      </c>
      <c r="C31" s="684">
        <v>1.2981038123240822E-3</v>
      </c>
      <c r="D31" s="685">
        <v>-5.2582282465460026E-3</v>
      </c>
      <c r="E31" s="685">
        <v>1.2417834068845579E-2</v>
      </c>
      <c r="F31" s="685">
        <v>1.4640520666768901E-2</v>
      </c>
      <c r="G31" s="686">
        <v>1.15E-2</v>
      </c>
      <c r="H31" s="713"/>
      <c r="I31" s="713"/>
      <c r="J31" s="713"/>
      <c r="K31" s="713"/>
      <c r="L31" s="713"/>
    </row>
    <row r="32" spans="1:12">
      <c r="A32" s="256">
        <v>20</v>
      </c>
      <c r="B32" s="11" t="s">
        <v>155</v>
      </c>
      <c r="C32" s="684">
        <v>7.0220691024683183E-3</v>
      </c>
      <c r="D32" s="685">
        <v>-3.0128498143912601E-2</v>
      </c>
      <c r="E32" s="685">
        <v>6.2709020380734518E-2</v>
      </c>
      <c r="F32" s="685">
        <v>7.1343561980496531E-2</v>
      </c>
      <c r="G32" s="686">
        <v>5.5199999999999999E-2</v>
      </c>
      <c r="H32" s="713"/>
      <c r="I32" s="713"/>
      <c r="J32" s="713"/>
      <c r="K32" s="713"/>
      <c r="L32" s="713"/>
    </row>
    <row r="33" spans="1:12">
      <c r="A33" s="10"/>
      <c r="B33" s="113" t="s">
        <v>216</v>
      </c>
      <c r="C33" s="180"/>
      <c r="D33" s="180"/>
      <c r="E33" s="180"/>
      <c r="F33" s="180"/>
      <c r="G33" s="467"/>
      <c r="H33" s="712"/>
      <c r="I33" s="712"/>
      <c r="J33" s="712"/>
      <c r="K33" s="712"/>
      <c r="L33" s="712"/>
    </row>
    <row r="34" spans="1:12">
      <c r="A34" s="256">
        <v>21</v>
      </c>
      <c r="B34" s="11" t="s">
        <v>83</v>
      </c>
      <c r="C34" s="684">
        <v>8.2639224953553775E-2</v>
      </c>
      <c r="D34" s="685">
        <v>7.6862849782852474E-2</v>
      </c>
      <c r="E34" s="685">
        <v>5.6073456554977676E-2</v>
      </c>
      <c r="F34" s="685">
        <v>7.9918818717348045E-2</v>
      </c>
      <c r="G34" s="686">
        <v>8.2199999999999995E-2</v>
      </c>
      <c r="H34" s="713"/>
      <c r="I34" s="713"/>
      <c r="J34" s="713"/>
      <c r="K34" s="713"/>
      <c r="L34" s="713"/>
    </row>
    <row r="35" spans="1:12" ht="15" customHeight="1">
      <c r="A35" s="256">
        <v>22</v>
      </c>
      <c r="B35" s="11" t="s">
        <v>674</v>
      </c>
      <c r="C35" s="684">
        <v>3.1007340325463702E-2</v>
      </c>
      <c r="D35" s="685">
        <v>2.8485640639040008E-2</v>
      </c>
      <c r="E35" s="685">
        <v>2.065458141958804E-2</v>
      </c>
      <c r="F35" s="685">
        <v>2.6961203129576065E-2</v>
      </c>
      <c r="G35" s="686">
        <v>2.93E-2</v>
      </c>
      <c r="H35" s="713"/>
      <c r="I35" s="713"/>
      <c r="J35" s="713"/>
      <c r="K35" s="713"/>
      <c r="L35" s="713"/>
    </row>
    <row r="36" spans="1:12">
      <c r="A36" s="256">
        <v>23</v>
      </c>
      <c r="B36" s="11" t="s">
        <v>82</v>
      </c>
      <c r="C36" s="684">
        <v>0.57598810859379612</v>
      </c>
      <c r="D36" s="685">
        <v>0.57157109710675547</v>
      </c>
      <c r="E36" s="685">
        <v>0.55120954788240673</v>
      </c>
      <c r="F36" s="685">
        <v>0.54307916303550308</v>
      </c>
      <c r="G36" s="686">
        <v>0.57150000000000001</v>
      </c>
      <c r="H36" s="713"/>
      <c r="I36" s="713"/>
      <c r="J36" s="713"/>
      <c r="K36" s="713"/>
      <c r="L36" s="713"/>
    </row>
    <row r="37" spans="1:12" ht="15" customHeight="1">
      <c r="A37" s="256">
        <v>24</v>
      </c>
      <c r="B37" s="11" t="s">
        <v>81</v>
      </c>
      <c r="C37" s="684">
        <v>0.5274035650158555</v>
      </c>
      <c r="D37" s="685">
        <v>0.56608425379687843</v>
      </c>
      <c r="E37" s="685">
        <v>0.55913895601917318</v>
      </c>
      <c r="F37" s="685">
        <v>0.57547857249439538</v>
      </c>
      <c r="G37" s="686">
        <v>0.57279999999999998</v>
      </c>
      <c r="H37" s="713"/>
      <c r="I37" s="713"/>
      <c r="J37" s="713"/>
      <c r="K37" s="713"/>
      <c r="L37" s="713"/>
    </row>
    <row r="38" spans="1:12">
      <c r="A38" s="256">
        <v>25</v>
      </c>
      <c r="B38" s="11" t="s">
        <v>80</v>
      </c>
      <c r="C38" s="684">
        <v>3.757187605011203E-2</v>
      </c>
      <c r="D38" s="685">
        <v>9.6740630104112046E-2</v>
      </c>
      <c r="E38" s="685">
        <v>0.16073765380705596</v>
      </c>
      <c r="F38" s="685">
        <v>-1.1304129831490872E-4</v>
      </c>
      <c r="G38" s="686">
        <v>-2.0899999999999998E-2</v>
      </c>
      <c r="H38" s="713"/>
      <c r="I38" s="713"/>
      <c r="J38" s="713"/>
      <c r="K38" s="713"/>
      <c r="L38" s="713"/>
    </row>
    <row r="39" spans="1:12" ht="15" customHeight="1">
      <c r="A39" s="10"/>
      <c r="B39" s="113" t="s">
        <v>217</v>
      </c>
      <c r="C39" s="180"/>
      <c r="D39" s="180"/>
      <c r="E39" s="180"/>
      <c r="F39" s="180"/>
      <c r="G39" s="467"/>
      <c r="H39" s="712"/>
      <c r="I39" s="712"/>
      <c r="J39" s="712"/>
      <c r="K39" s="712"/>
      <c r="L39" s="712"/>
    </row>
    <row r="40" spans="1:12" ht="15" customHeight="1">
      <c r="A40" s="256">
        <v>26</v>
      </c>
      <c r="B40" s="11" t="s">
        <v>79</v>
      </c>
      <c r="C40" s="684">
        <v>0.18859754257044253</v>
      </c>
      <c r="D40" s="684">
        <v>0.12215729579927162</v>
      </c>
      <c r="E40" s="684">
        <v>0.16431717314614264</v>
      </c>
      <c r="F40" s="684">
        <v>0.28634070765830338</v>
      </c>
      <c r="G40" s="687">
        <v>0.30470000000000003</v>
      </c>
      <c r="H40" s="713"/>
      <c r="I40" s="713"/>
      <c r="J40" s="713"/>
      <c r="K40" s="713"/>
      <c r="L40" s="713"/>
    </row>
    <row r="41" spans="1:12" ht="15" customHeight="1">
      <c r="A41" s="256">
        <v>27</v>
      </c>
      <c r="B41" s="11" t="s">
        <v>78</v>
      </c>
      <c r="C41" s="684">
        <v>0.58094759546835351</v>
      </c>
      <c r="D41" s="684">
        <v>0.70682418956217785</v>
      </c>
      <c r="E41" s="684">
        <v>0.72156082962024748</v>
      </c>
      <c r="F41" s="684">
        <v>0.72450984632381921</v>
      </c>
      <c r="G41" s="687">
        <v>0.74619999999999997</v>
      </c>
      <c r="H41" s="713"/>
      <c r="I41" s="713"/>
      <c r="J41" s="713"/>
      <c r="K41" s="713"/>
      <c r="L41" s="713"/>
    </row>
    <row r="42" spans="1:12" ht="15" customHeight="1">
      <c r="A42" s="256">
        <v>28</v>
      </c>
      <c r="B42" s="11" t="s">
        <v>77</v>
      </c>
      <c r="C42" s="684">
        <v>0.17216562443320205</v>
      </c>
      <c r="D42" s="684">
        <v>0.23130777812520195</v>
      </c>
      <c r="E42" s="684">
        <v>0.14870800097122061</v>
      </c>
      <c r="F42" s="684">
        <v>0.20877098946386982</v>
      </c>
      <c r="G42" s="687">
        <v>0.28189999999999998</v>
      </c>
      <c r="H42" s="713"/>
      <c r="I42" s="713"/>
      <c r="J42" s="713"/>
      <c r="K42" s="713"/>
      <c r="L42" s="713"/>
    </row>
    <row r="43" spans="1:12" ht="15" customHeight="1">
      <c r="A43" s="257"/>
      <c r="B43" s="113" t="s">
        <v>258</v>
      </c>
      <c r="C43" s="180"/>
      <c r="D43" s="180"/>
      <c r="E43" s="180"/>
      <c r="F43" s="180"/>
      <c r="G43" s="467"/>
      <c r="H43" s="712"/>
      <c r="I43" s="712"/>
      <c r="J43" s="712"/>
      <c r="K43" s="712"/>
      <c r="L43" s="712"/>
    </row>
    <row r="44" spans="1:12">
      <c r="A44" s="256">
        <v>29</v>
      </c>
      <c r="B44" s="11" t="s">
        <v>241</v>
      </c>
      <c r="C44" s="688">
        <v>174812886.93034169</v>
      </c>
      <c r="D44" s="688">
        <v>224546181.81196672</v>
      </c>
      <c r="E44" s="688">
        <v>227775251.46565872</v>
      </c>
      <c r="F44" s="688">
        <v>203264763.41620654</v>
      </c>
      <c r="G44" s="689">
        <v>181579068.78381318</v>
      </c>
      <c r="H44" s="565"/>
      <c r="I44" s="565"/>
      <c r="J44" s="565"/>
      <c r="K44" s="565"/>
      <c r="L44" s="565"/>
    </row>
    <row r="45" spans="1:12" ht="15" customHeight="1">
      <c r="A45" s="256">
        <v>30</v>
      </c>
      <c r="B45" s="11" t="s">
        <v>253</v>
      </c>
      <c r="C45" s="688">
        <v>138848413.19987985</v>
      </c>
      <c r="D45" s="690">
        <v>184337199.69594449</v>
      </c>
      <c r="E45" s="690">
        <v>175405862.61822349</v>
      </c>
      <c r="F45" s="690">
        <v>159429601.24470124</v>
      </c>
      <c r="G45" s="691">
        <v>122603437.92307965</v>
      </c>
      <c r="H45" s="565"/>
      <c r="I45" s="565"/>
      <c r="J45" s="565"/>
      <c r="K45" s="565"/>
      <c r="L45" s="565"/>
    </row>
    <row r="46" spans="1:12" ht="15" customHeight="1">
      <c r="A46" s="293">
        <v>31</v>
      </c>
      <c r="B46" s="294" t="s">
        <v>242</v>
      </c>
      <c r="C46" s="684">
        <v>1.2590196956639974</v>
      </c>
      <c r="D46" s="684">
        <v>1.2181273350270323</v>
      </c>
      <c r="E46" s="684">
        <v>1.2985612229017618</v>
      </c>
      <c r="F46" s="684">
        <v>1.2749499580333561</v>
      </c>
      <c r="G46" s="687">
        <v>1.4810275458811712</v>
      </c>
      <c r="H46" s="713"/>
      <c r="I46" s="713"/>
      <c r="J46" s="713"/>
      <c r="K46" s="713"/>
      <c r="L46" s="713"/>
    </row>
    <row r="47" spans="1:12" ht="15" customHeight="1">
      <c r="A47" s="293"/>
      <c r="B47" s="113" t="s">
        <v>337</v>
      </c>
      <c r="C47" s="180"/>
      <c r="D47" s="180"/>
      <c r="E47" s="180"/>
      <c r="F47" s="180"/>
      <c r="G47" s="467"/>
      <c r="H47" s="712"/>
      <c r="I47" s="712"/>
      <c r="J47" s="712"/>
      <c r="K47" s="712"/>
      <c r="L47" s="712"/>
    </row>
    <row r="48" spans="1:12" ht="15" customHeight="1">
      <c r="A48" s="293">
        <v>32</v>
      </c>
      <c r="B48" s="294" t="s">
        <v>344</v>
      </c>
      <c r="C48" s="692">
        <v>391474580.00692999</v>
      </c>
      <c r="D48" s="693">
        <v>402681589.8039</v>
      </c>
      <c r="E48" s="693">
        <v>412250716.22105998</v>
      </c>
      <c r="F48" s="693">
        <v>335313696.52079999</v>
      </c>
      <c r="G48" s="694">
        <v>388661700.29769504</v>
      </c>
      <c r="H48" s="565"/>
      <c r="I48" s="565"/>
      <c r="J48" s="565"/>
      <c r="K48" s="565"/>
      <c r="L48" s="565"/>
    </row>
    <row r="49" spans="1:12" ht="15" customHeight="1">
      <c r="A49" s="293">
        <v>33</v>
      </c>
      <c r="B49" s="294" t="s">
        <v>359</v>
      </c>
      <c r="C49" s="692">
        <v>299001893.01293367</v>
      </c>
      <c r="D49" s="693">
        <v>306246443.26609409</v>
      </c>
      <c r="E49" s="693">
        <v>312469588.36279923</v>
      </c>
      <c r="F49" s="693">
        <v>297846133.32624358</v>
      </c>
      <c r="G49" s="694">
        <v>282232716.80138165</v>
      </c>
      <c r="H49" s="565"/>
      <c r="I49" s="565"/>
      <c r="J49" s="565"/>
      <c r="K49" s="565"/>
      <c r="L49" s="565"/>
    </row>
    <row r="50" spans="1:12" ht="14.4" thickBot="1">
      <c r="A50" s="258">
        <v>34</v>
      </c>
      <c r="B50" s="115" t="s">
        <v>377</v>
      </c>
      <c r="C50" s="695">
        <v>1.3092712426071373</v>
      </c>
      <c r="D50" s="696">
        <v>1.3148939315321762</v>
      </c>
      <c r="E50" s="696">
        <v>1.3193306855270914</v>
      </c>
      <c r="F50" s="696">
        <v>1.1257950297226675</v>
      </c>
      <c r="G50" s="697">
        <v>1.3770965489136104</v>
      </c>
      <c r="H50" s="713"/>
      <c r="I50" s="713"/>
      <c r="J50" s="713"/>
      <c r="K50" s="713"/>
      <c r="L50" s="713"/>
    </row>
    <row r="51" spans="1:12">
      <c r="A51" s="12"/>
    </row>
    <row r="52" spans="1:12">
      <c r="B52" s="172"/>
    </row>
    <row r="53" spans="1:12" ht="52.8">
      <c r="B53" s="172" t="s">
        <v>257</v>
      </c>
    </row>
    <row r="55" spans="1:12" ht="14.4">
      <c r="B55" s="171"/>
    </row>
  </sheetData>
  <mergeCells count="1">
    <mergeCell ref="D4:G4"/>
  </mergeCells>
  <pageMargins left="0.7" right="0.7" top="0.75" bottom="0.75" header="0.3" footer="0.3"/>
  <pageSetup paperSize="9" orientation="portrait" r:id="rId1"/>
  <headerFooter>
    <oddFooter>&amp;C_x000D_&amp;1#&amp;"Calibri"&amp;10&amp;K000000 C1 - FOR INTERNAL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topLeftCell="A25" zoomScale="80" zoomScaleNormal="80" workbookViewId="0">
      <selection activeCell="G8" sqref="G8"/>
    </sheetView>
  </sheetViews>
  <sheetFormatPr defaultColWidth="8.77734375" defaultRowHeight="13.8"/>
  <cols>
    <col min="1" max="1" width="11.44140625" style="470" customWidth="1"/>
    <col min="2" max="2" width="76.77734375" style="533" customWidth="1"/>
    <col min="3" max="3" width="22.77734375" style="470" customWidth="1"/>
    <col min="4" max="16384" width="8.77734375" style="470"/>
  </cols>
  <sheetData>
    <row r="1" spans="1:4">
      <c r="A1" s="131" t="s">
        <v>30</v>
      </c>
      <c r="B1" s="469" t="str">
        <f>'Info '!C2</f>
        <v xml:space="preserve">PASHA Bank Georgia JSC </v>
      </c>
    </row>
    <row r="2" spans="1:4">
      <c r="A2" s="131" t="s">
        <v>31</v>
      </c>
      <c r="B2" s="471">
        <f>'1. key ratios '!B2</f>
        <v>45838</v>
      </c>
    </row>
    <row r="3" spans="1:4">
      <c r="B3" s="470"/>
    </row>
    <row r="4" spans="1:4">
      <c r="A4" s="470" t="s">
        <v>295</v>
      </c>
      <c r="B4" s="470" t="s">
        <v>296</v>
      </c>
    </row>
    <row r="5" spans="1:4">
      <c r="A5" s="516" t="s">
        <v>297</v>
      </c>
      <c r="B5" s="517"/>
      <c r="C5" s="518"/>
    </row>
    <row r="6" spans="1:4" ht="27.6">
      <c r="A6" s="522">
        <v>1</v>
      </c>
      <c r="B6" s="523" t="s">
        <v>751</v>
      </c>
      <c r="C6" s="524">
        <v>621313493.34819984</v>
      </c>
      <c r="D6" s="545"/>
    </row>
    <row r="7" spans="1:4">
      <c r="A7" s="522">
        <v>2</v>
      </c>
      <c r="B7" s="523" t="s">
        <v>298</v>
      </c>
      <c r="C7" s="524">
        <v>-6950627.71</v>
      </c>
      <c r="D7" s="545"/>
    </row>
    <row r="8" spans="1:4" ht="27.6">
      <c r="A8" s="525">
        <v>3</v>
      </c>
      <c r="B8" s="526" t="s">
        <v>299</v>
      </c>
      <c r="C8" s="524">
        <f>C6+C7</f>
        <v>614362865.63819981</v>
      </c>
      <c r="D8" s="545"/>
    </row>
    <row r="9" spans="1:4">
      <c r="A9" s="516" t="s">
        <v>300</v>
      </c>
      <c r="B9" s="517"/>
      <c r="C9" s="519"/>
      <c r="D9" s="545"/>
    </row>
    <row r="10" spans="1:4" ht="25.8" customHeight="1">
      <c r="A10" s="522">
        <v>4</v>
      </c>
      <c r="B10" s="527" t="s">
        <v>749</v>
      </c>
      <c r="C10" s="524">
        <f>'15. CCR '!F34</f>
        <v>198429</v>
      </c>
      <c r="D10" s="545"/>
    </row>
    <row r="11" spans="1:4" ht="25.8" customHeight="1">
      <c r="A11" s="522">
        <v>5</v>
      </c>
      <c r="B11" s="528" t="s">
        <v>750</v>
      </c>
      <c r="C11" s="524">
        <f>'15. CCR '!G34</f>
        <v>357092.45999999996</v>
      </c>
      <c r="D11" s="545"/>
    </row>
    <row r="12" spans="1:4" ht="25.8" customHeight="1">
      <c r="A12" s="522">
        <v>6</v>
      </c>
      <c r="B12" s="528" t="s">
        <v>743</v>
      </c>
      <c r="C12" s="524">
        <f>'15. CCR '!I34</f>
        <v>777730.04399999988</v>
      </c>
      <c r="D12" s="545"/>
    </row>
    <row r="13" spans="1:4" ht="25.8" customHeight="1">
      <c r="A13" s="529">
        <v>7</v>
      </c>
      <c r="B13" s="527" t="s">
        <v>744</v>
      </c>
      <c r="C13" s="524">
        <f>'15. CCR '!E34</f>
        <v>27892650</v>
      </c>
      <c r="D13" s="545"/>
    </row>
    <row r="14" spans="1:4" ht="25.8" customHeight="1">
      <c r="A14" s="525">
        <v>8</v>
      </c>
      <c r="B14" s="520" t="s">
        <v>301</v>
      </c>
      <c r="C14" s="530">
        <f>C12</f>
        <v>777730.04399999988</v>
      </c>
      <c r="D14" s="545"/>
    </row>
    <row r="15" spans="1:4">
      <c r="A15" s="516" t="s">
        <v>302</v>
      </c>
      <c r="B15" s="517"/>
      <c r="C15" s="519"/>
      <c r="D15" s="545"/>
    </row>
    <row r="16" spans="1:4" ht="27.6">
      <c r="A16" s="529">
        <v>9</v>
      </c>
      <c r="B16" s="527" t="s">
        <v>303</v>
      </c>
      <c r="C16" s="524"/>
      <c r="D16" s="545"/>
    </row>
    <row r="17" spans="1:4">
      <c r="A17" s="529">
        <v>10</v>
      </c>
      <c r="B17" s="527" t="s">
        <v>304</v>
      </c>
      <c r="C17" s="524"/>
      <c r="D17" s="545"/>
    </row>
    <row r="18" spans="1:4">
      <c r="A18" s="529">
        <v>11</v>
      </c>
      <c r="B18" s="527" t="s">
        <v>305</v>
      </c>
      <c r="C18" s="524"/>
      <c r="D18" s="545"/>
    </row>
    <row r="19" spans="1:4" ht="27.6">
      <c r="A19" s="529">
        <v>12</v>
      </c>
      <c r="B19" s="527" t="s">
        <v>306</v>
      </c>
      <c r="C19" s="524"/>
      <c r="D19" s="545"/>
    </row>
    <row r="20" spans="1:4">
      <c r="A20" s="529">
        <v>14</v>
      </c>
      <c r="B20" s="527" t="s">
        <v>307</v>
      </c>
      <c r="C20" s="524"/>
      <c r="D20" s="545"/>
    </row>
    <row r="21" spans="1:4">
      <c r="A21" s="529">
        <v>14</v>
      </c>
      <c r="B21" s="527" t="s">
        <v>308</v>
      </c>
      <c r="C21" s="524"/>
      <c r="D21" s="545"/>
    </row>
    <row r="22" spans="1:4">
      <c r="A22" s="525">
        <v>15</v>
      </c>
      <c r="B22" s="520" t="s">
        <v>309</v>
      </c>
      <c r="C22" s="530">
        <f>SUM(C16:C21)</f>
        <v>0</v>
      </c>
      <c r="D22" s="545"/>
    </row>
    <row r="23" spans="1:4">
      <c r="A23" s="516" t="s">
        <v>310</v>
      </c>
      <c r="B23" s="517"/>
      <c r="C23" s="519"/>
      <c r="D23" s="545"/>
    </row>
    <row r="24" spans="1:4">
      <c r="A24" s="534">
        <v>16</v>
      </c>
      <c r="B24" s="528" t="s">
        <v>311</v>
      </c>
      <c r="C24" s="524">
        <v>90236497.003299996</v>
      </c>
      <c r="D24" s="545"/>
    </row>
    <row r="25" spans="1:4">
      <c r="A25" s="534">
        <v>17</v>
      </c>
      <c r="B25" s="528" t="s">
        <v>312</v>
      </c>
      <c r="C25" s="524">
        <v>-46663650.412019998</v>
      </c>
      <c r="D25" s="545"/>
    </row>
    <row r="26" spans="1:4">
      <c r="A26" s="535">
        <v>18</v>
      </c>
      <c r="B26" s="520" t="s">
        <v>313</v>
      </c>
      <c r="C26" s="530">
        <f>C24+C25</f>
        <v>43572846.591279998</v>
      </c>
      <c r="D26" s="545"/>
    </row>
    <row r="27" spans="1:4">
      <c r="A27" s="516" t="s">
        <v>314</v>
      </c>
      <c r="B27" s="517"/>
      <c r="C27" s="519"/>
      <c r="D27" s="545"/>
    </row>
    <row r="28" spans="1:4" ht="27.6">
      <c r="A28" s="534">
        <v>19</v>
      </c>
      <c r="B28" s="527" t="s">
        <v>315</v>
      </c>
      <c r="C28" s="531"/>
      <c r="D28" s="545"/>
    </row>
    <row r="29" spans="1:4">
      <c r="A29" s="534">
        <v>20</v>
      </c>
      <c r="B29" s="528" t="s">
        <v>316</v>
      </c>
      <c r="C29" s="531"/>
      <c r="D29" s="545"/>
    </row>
    <row r="30" spans="1:4">
      <c r="A30" s="516" t="s">
        <v>748</v>
      </c>
      <c r="B30" s="517"/>
      <c r="C30" s="519"/>
      <c r="D30" s="545"/>
    </row>
    <row r="31" spans="1:4">
      <c r="A31" s="535">
        <v>21</v>
      </c>
      <c r="B31" s="521" t="s">
        <v>317</v>
      </c>
      <c r="C31" s="530">
        <v>116349646.08</v>
      </c>
      <c r="D31" s="545"/>
    </row>
    <row r="32" spans="1:4">
      <c r="A32" s="535">
        <v>22</v>
      </c>
      <c r="B32" s="520" t="s">
        <v>318</v>
      </c>
      <c r="C32" s="530">
        <f>C8+C14+C22+C26</f>
        <v>658713442.27347982</v>
      </c>
      <c r="D32" s="545"/>
    </row>
    <row r="33" spans="1:4">
      <c r="A33" s="516" t="s">
        <v>319</v>
      </c>
      <c r="B33" s="517"/>
      <c r="C33" s="519"/>
      <c r="D33" s="545"/>
    </row>
    <row r="34" spans="1:4">
      <c r="A34" s="525">
        <v>23</v>
      </c>
      <c r="B34" s="520" t="s">
        <v>319</v>
      </c>
      <c r="C34" s="602">
        <f>IFERROR(C31/C32,0)</f>
        <v>0.17663165591160779</v>
      </c>
      <c r="D34" s="545"/>
    </row>
    <row r="35" spans="1:4">
      <c r="A35" s="516" t="s">
        <v>320</v>
      </c>
      <c r="B35" s="517"/>
      <c r="C35" s="519"/>
      <c r="D35" s="545"/>
    </row>
    <row r="36" spans="1:4">
      <c r="A36" s="532" t="s">
        <v>321</v>
      </c>
      <c r="B36" s="527" t="s">
        <v>322</v>
      </c>
      <c r="C36" s="531"/>
      <c r="D36" s="545"/>
    </row>
    <row r="37" spans="1:4" ht="27.6">
      <c r="A37" s="532" t="s">
        <v>323</v>
      </c>
      <c r="B37" s="523" t="s">
        <v>324</v>
      </c>
      <c r="C37" s="531"/>
      <c r="D37" s="545"/>
    </row>
  </sheetData>
  <pageMargins left="0.7" right="0.7" top="0.75" bottom="0.75" header="0.3" footer="0.3"/>
  <headerFooter>
    <oddFooter>&amp;C_x000D_&amp;1#&amp;"Calibri"&amp;10&amp;K000000 C1 - FOR INTERNAL USE ONLY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5"/>
  <sheetViews>
    <sheetView zoomScale="80" zoomScaleNormal="80" workbookViewId="0">
      <selection activeCell="D20" sqref="D20"/>
    </sheetView>
  </sheetViews>
  <sheetFormatPr defaultColWidth="8.88671875" defaultRowHeight="14.4"/>
  <cols>
    <col min="1" max="1" width="11.44140625" customWidth="1"/>
    <col min="2" max="2" width="76.77734375" style="225" customWidth="1"/>
    <col min="3" max="6" width="25.33203125" customWidth="1"/>
  </cols>
  <sheetData>
    <row r="1" spans="1:6">
      <c r="A1" s="2" t="s">
        <v>30</v>
      </c>
      <c r="B1" s="3" t="str">
        <f>'Info '!C2</f>
        <v xml:space="preserve">PASHA Bank Georgia JSC </v>
      </c>
    </row>
    <row r="2" spans="1:6">
      <c r="A2" s="2" t="s">
        <v>31</v>
      </c>
      <c r="B2" s="253">
        <f>'1. key ratios '!B2</f>
        <v>45838</v>
      </c>
    </row>
    <row r="3" spans="1:6">
      <c r="A3" s="4"/>
      <c r="B3"/>
    </row>
    <row r="4" spans="1:6">
      <c r="A4" s="512" t="s">
        <v>738</v>
      </c>
    </row>
    <row r="5" spans="1:6" ht="43.2">
      <c r="B5" s="507"/>
      <c r="C5" s="513" t="s">
        <v>739</v>
      </c>
      <c r="D5" s="513" t="s">
        <v>741</v>
      </c>
      <c r="E5" s="513" t="s">
        <v>740</v>
      </c>
      <c r="F5" s="513" t="s">
        <v>742</v>
      </c>
    </row>
    <row r="6" spans="1:6">
      <c r="B6" s="514" t="s">
        <v>716</v>
      </c>
      <c r="C6" s="501">
        <f>IF(C7&gt;0,C7,IF(C8&gt;0,C8,IF(C9&gt;0,C9,0)))</f>
        <v>765515</v>
      </c>
      <c r="D6" s="501">
        <f>IF(D7&gt;0,D7,IF(D8&gt;0,D8,IF(D9&gt;0,D9,0)))</f>
        <v>21301</v>
      </c>
      <c r="E6" s="501">
        <f>IF(E7&gt;0,E7,IF(E8&gt;0,E8,IF(E9&gt;0,E9,0)))</f>
        <v>0</v>
      </c>
      <c r="F6" s="501">
        <f>IF(F7&gt;0,F7,IF(F8&gt;0,F8,IF(F9&gt;0,F9,0)))</f>
        <v>266259</v>
      </c>
    </row>
    <row r="7" spans="1:6">
      <c r="B7" s="502" t="s">
        <v>729</v>
      </c>
      <c r="C7" s="515">
        <v>765515</v>
      </c>
      <c r="D7" s="515">
        <v>21301</v>
      </c>
      <c r="E7" s="515">
        <v>0</v>
      </c>
      <c r="F7" s="515">
        <v>266259</v>
      </c>
    </row>
    <row r="8" spans="1:6">
      <c r="B8" s="502" t="s">
        <v>730</v>
      </c>
      <c r="C8" s="515"/>
      <c r="D8" s="515"/>
      <c r="E8" s="515"/>
      <c r="F8" s="515"/>
    </row>
    <row r="9" spans="1:6">
      <c r="B9" s="502" t="s">
        <v>737</v>
      </c>
      <c r="C9" s="515"/>
      <c r="D9" s="515"/>
      <c r="E9" s="515"/>
      <c r="F9" s="515"/>
    </row>
    <row r="12" spans="1:6">
      <c r="C12" s="603"/>
      <c r="D12" s="603"/>
      <c r="E12" s="603"/>
      <c r="F12" s="603"/>
    </row>
    <row r="13" spans="1:6">
      <c r="C13" s="603"/>
      <c r="D13" s="603"/>
      <c r="E13" s="603"/>
      <c r="F13" s="603"/>
    </row>
    <row r="14" spans="1:6">
      <c r="C14" s="603"/>
      <c r="D14" s="603"/>
      <c r="E14" s="603"/>
      <c r="F14" s="603"/>
    </row>
    <row r="15" spans="1:6">
      <c r="C15" s="603"/>
      <c r="D15" s="603"/>
      <c r="E15" s="603"/>
      <c r="F15" s="603"/>
    </row>
  </sheetData>
  <pageMargins left="0.7" right="0.7" top="0.75" bottom="0.75" header="0.3" footer="0.3"/>
  <headerFooter>
    <oddFooter>&amp;C_x000D_&amp;1#&amp;"Calibri"&amp;10&amp;K000000 C1 - FOR INTERNAL USE ONLY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2"/>
  <sheetViews>
    <sheetView zoomScale="80" zoomScaleNormal="80" workbookViewId="0">
      <pane xSplit="2" ySplit="6" topLeftCell="C32" activePane="bottomRight" state="frozen"/>
      <selection activeCell="B19" sqref="B19"/>
      <selection pane="topRight" activeCell="B19" sqref="B19"/>
      <selection pane="bottomLeft" activeCell="B19" sqref="B19"/>
      <selection pane="bottomRight" activeCell="I10" sqref="I10"/>
    </sheetView>
  </sheetViews>
  <sheetFormatPr defaultRowHeight="14.4"/>
  <cols>
    <col min="1" max="1" width="8.77734375" style="133"/>
    <col min="2" max="2" width="82.6640625" style="140" customWidth="1"/>
    <col min="3" max="7" width="17.5546875" style="133" customWidth="1"/>
    <col min="8" max="8" width="12.5546875" customWidth="1"/>
    <col min="9" max="9" width="11.21875" bestFit="1" customWidth="1"/>
  </cols>
  <sheetData>
    <row r="1" spans="1:12">
      <c r="A1" s="133" t="s">
        <v>30</v>
      </c>
      <c r="B1" s="3" t="str">
        <f>'Info '!C2</f>
        <v xml:space="preserve">PASHA Bank Georgia JSC </v>
      </c>
    </row>
    <row r="2" spans="1:12">
      <c r="A2" s="133" t="s">
        <v>31</v>
      </c>
      <c r="B2" s="253">
        <f>'1. key ratios '!B2</f>
        <v>45838</v>
      </c>
    </row>
    <row r="4" spans="1:12" ht="15" thickBot="1">
      <c r="A4" s="133" t="s">
        <v>376</v>
      </c>
      <c r="B4" s="259" t="s">
        <v>337</v>
      </c>
    </row>
    <row r="5" spans="1:12">
      <c r="A5" s="260"/>
      <c r="B5" s="261"/>
      <c r="C5" s="784" t="s">
        <v>338</v>
      </c>
      <c r="D5" s="784"/>
      <c r="E5" s="784"/>
      <c r="F5" s="784"/>
      <c r="G5" s="785" t="s">
        <v>339</v>
      </c>
    </row>
    <row r="6" spans="1:12">
      <c r="A6" s="262"/>
      <c r="B6" s="263"/>
      <c r="C6" s="264" t="s">
        <v>340</v>
      </c>
      <c r="D6" s="264" t="s">
        <v>341</v>
      </c>
      <c r="E6" s="264" t="s">
        <v>342</v>
      </c>
      <c r="F6" s="264" t="s">
        <v>343</v>
      </c>
      <c r="G6" s="786"/>
    </row>
    <row r="7" spans="1:12">
      <c r="A7" s="265"/>
      <c r="B7" s="266" t="s">
        <v>344</v>
      </c>
      <c r="C7" s="267"/>
      <c r="D7" s="267"/>
      <c r="E7" s="267"/>
      <c r="F7" s="267"/>
      <c r="G7" s="268"/>
    </row>
    <row r="8" spans="1:12">
      <c r="A8" s="269">
        <v>1</v>
      </c>
      <c r="B8" s="270" t="s">
        <v>345</v>
      </c>
      <c r="C8" s="271">
        <f>SUM(C9:C10)</f>
        <v>147671046.08000001</v>
      </c>
      <c r="D8" s="271">
        <f>SUM(D9:D10)</f>
        <v>0</v>
      </c>
      <c r="E8" s="271">
        <f>SUM(E9:E10)</f>
        <v>0</v>
      </c>
      <c r="F8" s="271">
        <f>SUM(F9:F10)</f>
        <v>115161256.888</v>
      </c>
      <c r="G8" s="272">
        <f>SUM(G9:G10)</f>
        <v>262832302.96799999</v>
      </c>
      <c r="H8" s="557"/>
      <c r="I8" s="557"/>
      <c r="J8" s="557"/>
      <c r="K8" s="557"/>
      <c r="L8" s="557"/>
    </row>
    <row r="9" spans="1:12">
      <c r="A9" s="269">
        <v>2</v>
      </c>
      <c r="B9" s="273" t="s">
        <v>346</v>
      </c>
      <c r="C9" s="271">
        <v>147671046.08000001</v>
      </c>
      <c r="D9" s="271"/>
      <c r="E9" s="271"/>
      <c r="F9" s="271"/>
      <c r="G9" s="272">
        <v>147671046.08000001</v>
      </c>
      <c r="H9" s="557"/>
      <c r="I9" s="557"/>
      <c r="J9" s="557"/>
      <c r="K9" s="557"/>
      <c r="L9" s="557"/>
    </row>
    <row r="10" spans="1:12" ht="27.6">
      <c r="A10" s="269">
        <v>3</v>
      </c>
      <c r="B10" s="273" t="s">
        <v>347</v>
      </c>
      <c r="C10" s="274"/>
      <c r="D10" s="274"/>
      <c r="E10" s="274"/>
      <c r="F10" s="271">
        <v>115161256.888</v>
      </c>
      <c r="G10" s="272">
        <v>115161256.888</v>
      </c>
      <c r="H10" s="557"/>
      <c r="I10" s="557"/>
      <c r="J10" s="557"/>
      <c r="K10" s="557"/>
      <c r="L10" s="557"/>
    </row>
    <row r="11" spans="1:12" ht="14.55" customHeight="1">
      <c r="A11" s="269">
        <v>4</v>
      </c>
      <c r="B11" s="270" t="s">
        <v>348</v>
      </c>
      <c r="C11" s="271">
        <f t="shared" ref="C11:F11" si="0">SUM(C12:C13)</f>
        <v>11737316.200000001</v>
      </c>
      <c r="D11" s="271">
        <f t="shared" si="0"/>
        <v>49526893.011600003</v>
      </c>
      <c r="E11" s="271">
        <f t="shared" si="0"/>
        <v>14587862.095799999</v>
      </c>
      <c r="F11" s="271">
        <f t="shared" si="0"/>
        <v>2063527.9447000003</v>
      </c>
      <c r="G11" s="272">
        <f>SUM(G12:G13)</f>
        <v>51288700.689580001</v>
      </c>
      <c r="H11" s="557"/>
      <c r="I11" s="557"/>
      <c r="J11" s="557"/>
      <c r="K11" s="557"/>
      <c r="L11" s="557"/>
    </row>
    <row r="12" spans="1:12">
      <c r="A12" s="269">
        <v>5</v>
      </c>
      <c r="B12" s="273" t="s">
        <v>349</v>
      </c>
      <c r="C12" s="271">
        <v>3177824.22</v>
      </c>
      <c r="D12" s="275">
        <v>14657266.001</v>
      </c>
      <c r="E12" s="271">
        <v>9026939.6721999999</v>
      </c>
      <c r="F12" s="271">
        <v>539972.47019999998</v>
      </c>
      <c r="G12" s="272">
        <v>26031902.245229997</v>
      </c>
      <c r="H12" s="557"/>
      <c r="I12" s="557"/>
      <c r="J12" s="557"/>
      <c r="K12" s="557"/>
      <c r="L12" s="557"/>
    </row>
    <row r="13" spans="1:12">
      <c r="A13" s="269">
        <v>6</v>
      </c>
      <c r="B13" s="273" t="s">
        <v>350</v>
      </c>
      <c r="C13" s="271">
        <v>8559491.9800000004</v>
      </c>
      <c r="D13" s="275">
        <v>34869627.010600001</v>
      </c>
      <c r="E13" s="271">
        <v>5560922.4235999994</v>
      </c>
      <c r="F13" s="271">
        <v>1523555.4745000005</v>
      </c>
      <c r="G13" s="272">
        <v>25256798.444350004</v>
      </c>
      <c r="H13" s="557"/>
      <c r="I13" s="557"/>
      <c r="J13" s="557"/>
      <c r="K13" s="557"/>
      <c r="L13" s="557"/>
    </row>
    <row r="14" spans="1:12">
      <c r="A14" s="269">
        <v>7</v>
      </c>
      <c r="B14" s="270" t="s">
        <v>351</v>
      </c>
      <c r="C14" s="271">
        <f t="shared" ref="C14:F14" si="1">SUM(C15:C16)</f>
        <v>96558969.480599999</v>
      </c>
      <c r="D14" s="271">
        <f t="shared" si="1"/>
        <v>137462732.65579998</v>
      </c>
      <c r="E14" s="271">
        <f t="shared" si="1"/>
        <v>24761471.43</v>
      </c>
      <c r="F14" s="271">
        <f t="shared" si="1"/>
        <v>-1122408.0000000093</v>
      </c>
      <c r="G14" s="272">
        <f>SUM(G15:G16)</f>
        <v>77353576.34934999</v>
      </c>
      <c r="H14" s="557"/>
      <c r="I14" s="557"/>
      <c r="J14" s="557"/>
      <c r="K14" s="557"/>
      <c r="L14" s="557"/>
    </row>
    <row r="15" spans="1:12" ht="41.4">
      <c r="A15" s="269">
        <v>8</v>
      </c>
      <c r="B15" s="273" t="s">
        <v>352</v>
      </c>
      <c r="C15" s="271">
        <v>77156789.182899997</v>
      </c>
      <c r="D15" s="275">
        <v>53911300.085799985</v>
      </c>
      <c r="E15" s="271">
        <v>14058660.77</v>
      </c>
      <c r="F15" s="271">
        <v>-1122408.0000000093</v>
      </c>
      <c r="G15" s="272">
        <v>72002171.019349992</v>
      </c>
      <c r="H15" s="557"/>
      <c r="I15" s="557"/>
      <c r="J15" s="557"/>
      <c r="K15" s="557"/>
      <c r="L15" s="557"/>
    </row>
    <row r="16" spans="1:12" ht="27.6">
      <c r="A16" s="269">
        <v>9</v>
      </c>
      <c r="B16" s="273" t="s">
        <v>353</v>
      </c>
      <c r="C16" s="271">
        <v>19402180.297700003</v>
      </c>
      <c r="D16" s="275">
        <v>83551432.569999993</v>
      </c>
      <c r="E16" s="271">
        <v>10702810.66</v>
      </c>
      <c r="F16" s="271">
        <v>0</v>
      </c>
      <c r="G16" s="272">
        <v>5351405.33</v>
      </c>
      <c r="H16" s="557"/>
      <c r="I16" s="557"/>
      <c r="J16" s="557"/>
      <c r="K16" s="557"/>
      <c r="L16" s="557"/>
    </row>
    <row r="17" spans="1:12">
      <c r="A17" s="269">
        <v>10</v>
      </c>
      <c r="B17" s="270" t="s">
        <v>354</v>
      </c>
      <c r="C17" s="271"/>
      <c r="D17" s="275"/>
      <c r="E17" s="271"/>
      <c r="F17" s="271"/>
      <c r="G17" s="272"/>
      <c r="H17" s="557"/>
      <c r="I17" s="557"/>
      <c r="J17" s="557"/>
      <c r="K17" s="557"/>
      <c r="L17" s="557"/>
    </row>
    <row r="18" spans="1:12">
      <c r="A18" s="269">
        <v>11</v>
      </c>
      <c r="B18" s="270" t="s">
        <v>355</v>
      </c>
      <c r="C18" s="271">
        <f>SUM(C19:C20)</f>
        <v>0</v>
      </c>
      <c r="D18" s="285">
        <f t="shared" ref="D18:G18" si="2">SUM(D19:D20)</f>
        <v>14576076.817200001</v>
      </c>
      <c r="E18" s="271">
        <f t="shared" si="2"/>
        <v>0</v>
      </c>
      <c r="F18" s="271">
        <f t="shared" si="2"/>
        <v>0</v>
      </c>
      <c r="G18" s="272">
        <f t="shared" si="2"/>
        <v>0</v>
      </c>
      <c r="H18" s="557"/>
      <c r="I18" s="557"/>
      <c r="J18" s="557"/>
      <c r="K18" s="557"/>
      <c r="L18" s="557"/>
    </row>
    <row r="19" spans="1:12">
      <c r="A19" s="269">
        <v>12</v>
      </c>
      <c r="B19" s="273" t="s">
        <v>356</v>
      </c>
      <c r="C19" s="274"/>
      <c r="D19" s="275">
        <v>414825.7672</v>
      </c>
      <c r="E19" s="271"/>
      <c r="F19" s="271"/>
      <c r="G19" s="272"/>
      <c r="H19" s="557"/>
      <c r="I19" s="557"/>
      <c r="J19" s="557"/>
      <c r="K19" s="557"/>
      <c r="L19" s="557"/>
    </row>
    <row r="20" spans="1:12">
      <c r="A20" s="269">
        <v>13</v>
      </c>
      <c r="B20" s="273" t="s">
        <v>357</v>
      </c>
      <c r="C20" s="271"/>
      <c r="D20" s="271">
        <v>14161251.050000001</v>
      </c>
      <c r="E20" s="271"/>
      <c r="F20" s="271"/>
      <c r="G20" s="272"/>
      <c r="H20" s="557"/>
      <c r="I20" s="557"/>
      <c r="J20" s="557"/>
      <c r="K20" s="557"/>
      <c r="L20" s="557"/>
    </row>
    <row r="21" spans="1:12">
      <c r="A21" s="276">
        <v>14</v>
      </c>
      <c r="B21" s="277" t="s">
        <v>358</v>
      </c>
      <c r="C21" s="274"/>
      <c r="D21" s="274"/>
      <c r="E21" s="274"/>
      <c r="F21" s="274"/>
      <c r="G21" s="278">
        <f>SUM(G8,G11,G14,G17,G18)</f>
        <v>391474580.00692999</v>
      </c>
      <c r="H21" s="557"/>
      <c r="I21" s="557"/>
      <c r="J21" s="557"/>
      <c r="K21" s="557"/>
      <c r="L21" s="557"/>
    </row>
    <row r="22" spans="1:12">
      <c r="A22" s="279"/>
      <c r="B22" s="280" t="s">
        <v>359</v>
      </c>
      <c r="C22" s="281"/>
      <c r="D22" s="282"/>
      <c r="E22" s="281"/>
      <c r="F22" s="281"/>
      <c r="G22" s="283"/>
      <c r="H22" s="557"/>
      <c r="I22" s="557"/>
      <c r="J22" s="557"/>
      <c r="K22" s="557"/>
      <c r="L22" s="557"/>
    </row>
    <row r="23" spans="1:12">
      <c r="A23" s="269">
        <v>15</v>
      </c>
      <c r="B23" s="270" t="s">
        <v>360</v>
      </c>
      <c r="C23" s="284">
        <v>145943838.21470001</v>
      </c>
      <c r="D23" s="285">
        <v>65555600</v>
      </c>
      <c r="E23" s="284">
        <v>0</v>
      </c>
      <c r="F23" s="284">
        <v>0</v>
      </c>
      <c r="G23" s="272">
        <v>8102449.38222</v>
      </c>
      <c r="H23" s="557"/>
      <c r="I23" s="557"/>
      <c r="J23" s="557"/>
      <c r="K23" s="557"/>
      <c r="L23" s="557"/>
    </row>
    <row r="24" spans="1:12">
      <c r="A24" s="269">
        <v>16</v>
      </c>
      <c r="B24" s="270" t="s">
        <v>361</v>
      </c>
      <c r="C24" s="271">
        <f>SUM(C25:C27,C29,C31)</f>
        <v>1453651.9303000001</v>
      </c>
      <c r="D24" s="275">
        <f t="shared" ref="D24:G24" si="3">SUM(D25:D27,D29,D31)</f>
        <v>83159406.649857983</v>
      </c>
      <c r="E24" s="271">
        <f t="shared" si="3"/>
        <v>68507697.591199309</v>
      </c>
      <c r="F24" s="271">
        <f t="shared" si="3"/>
        <v>201519051.69655398</v>
      </c>
      <c r="G24" s="272">
        <f t="shared" si="3"/>
        <v>240682731.77309862</v>
      </c>
      <c r="H24" s="557"/>
      <c r="I24" s="557"/>
      <c r="J24" s="557"/>
      <c r="K24" s="557"/>
      <c r="L24" s="557"/>
    </row>
    <row r="25" spans="1:12">
      <c r="A25" s="269">
        <v>17</v>
      </c>
      <c r="B25" s="273" t="s">
        <v>362</v>
      </c>
      <c r="C25" s="271">
        <v>1453651.9303000001</v>
      </c>
      <c r="D25" s="275">
        <v>33293196.887654997</v>
      </c>
      <c r="E25" s="271">
        <v>11127357.992546</v>
      </c>
      <c r="F25" s="271">
        <v>33283712.210889004</v>
      </c>
      <c r="G25" s="272">
        <v>44059418.529855251</v>
      </c>
      <c r="H25" s="557"/>
      <c r="I25" s="557"/>
      <c r="J25" s="557"/>
      <c r="K25" s="557"/>
      <c r="L25" s="557"/>
    </row>
    <row r="26" spans="1:12" ht="27.6">
      <c r="A26" s="269">
        <v>18</v>
      </c>
      <c r="B26" s="273" t="s">
        <v>363</v>
      </c>
      <c r="C26" s="271">
        <v>0</v>
      </c>
      <c r="D26" s="275">
        <v>48411556.662202992</v>
      </c>
      <c r="E26" s="271">
        <v>51024417.678653307</v>
      </c>
      <c r="F26" s="271">
        <v>160304498.61136496</v>
      </c>
      <c r="G26" s="272">
        <v>185976810.99008837</v>
      </c>
      <c r="H26" s="557"/>
      <c r="I26" s="557"/>
      <c r="J26" s="557"/>
      <c r="K26" s="557"/>
      <c r="L26" s="557"/>
    </row>
    <row r="27" spans="1:12">
      <c r="A27" s="269">
        <v>19</v>
      </c>
      <c r="B27" s="273" t="s">
        <v>364</v>
      </c>
      <c r="C27" s="271"/>
      <c r="D27" s="275"/>
      <c r="E27" s="271"/>
      <c r="F27" s="271"/>
      <c r="G27" s="272"/>
      <c r="H27" s="557"/>
      <c r="I27" s="557"/>
      <c r="J27" s="557"/>
      <c r="K27" s="557"/>
      <c r="L27" s="557"/>
    </row>
    <row r="28" spans="1:12">
      <c r="A28" s="269">
        <v>20</v>
      </c>
      <c r="B28" s="286" t="s">
        <v>365</v>
      </c>
      <c r="C28" s="271"/>
      <c r="D28" s="275"/>
      <c r="E28" s="271"/>
      <c r="F28" s="271"/>
      <c r="G28" s="272"/>
      <c r="H28" s="557"/>
      <c r="I28" s="557"/>
      <c r="J28" s="557"/>
      <c r="K28" s="557"/>
      <c r="L28" s="557"/>
    </row>
    <row r="29" spans="1:12">
      <c r="A29" s="269">
        <v>21</v>
      </c>
      <c r="B29" s="273" t="s">
        <v>366</v>
      </c>
      <c r="C29" s="271"/>
      <c r="D29" s="275"/>
      <c r="E29" s="271"/>
      <c r="F29" s="271"/>
      <c r="G29" s="272"/>
      <c r="H29" s="557"/>
      <c r="I29" s="557"/>
      <c r="J29" s="557"/>
      <c r="K29" s="557"/>
      <c r="L29" s="557"/>
    </row>
    <row r="30" spans="1:12">
      <c r="A30" s="269">
        <v>22</v>
      </c>
      <c r="B30" s="286" t="s">
        <v>365</v>
      </c>
      <c r="C30" s="271"/>
      <c r="D30" s="275"/>
      <c r="E30" s="271"/>
      <c r="F30" s="271"/>
      <c r="G30" s="272"/>
      <c r="H30" s="557"/>
      <c r="I30" s="557"/>
      <c r="J30" s="557"/>
      <c r="K30" s="557"/>
      <c r="L30" s="557"/>
    </row>
    <row r="31" spans="1:12">
      <c r="A31" s="269">
        <v>23</v>
      </c>
      <c r="B31" s="273" t="s">
        <v>367</v>
      </c>
      <c r="C31" s="271">
        <v>0</v>
      </c>
      <c r="D31" s="275">
        <v>1454653.1</v>
      </c>
      <c r="E31" s="271">
        <v>6355921.9199999999</v>
      </c>
      <c r="F31" s="271">
        <v>7930840.8743000003</v>
      </c>
      <c r="G31" s="272">
        <v>10646502.253155001</v>
      </c>
      <c r="H31" s="557"/>
      <c r="I31" s="557"/>
      <c r="J31" s="557"/>
      <c r="K31" s="557"/>
      <c r="L31" s="557"/>
    </row>
    <row r="32" spans="1:12">
      <c r="A32" s="269">
        <v>24</v>
      </c>
      <c r="B32" s="270" t="s">
        <v>368</v>
      </c>
      <c r="C32" s="271"/>
      <c r="D32" s="275"/>
      <c r="E32" s="271"/>
      <c r="F32" s="271"/>
      <c r="G32" s="272"/>
      <c r="H32" s="557"/>
      <c r="I32" s="557"/>
      <c r="J32" s="557"/>
      <c r="K32" s="557"/>
      <c r="L32" s="557"/>
    </row>
    <row r="33" spans="1:12">
      <c r="A33" s="269">
        <v>25</v>
      </c>
      <c r="B33" s="270" t="s">
        <v>369</v>
      </c>
      <c r="C33" s="284">
        <f>SUM(C34:C35)</f>
        <v>6098430.2100000009</v>
      </c>
      <c r="D33" s="271">
        <f>SUM(D34:D35)</f>
        <v>22018446.497400001</v>
      </c>
      <c r="E33" s="271">
        <f>SUM(E34:E35)</f>
        <v>1438725.5296</v>
      </c>
      <c r="F33" s="271">
        <f>SUM(F34:F35)</f>
        <v>22126005.026211381</v>
      </c>
      <c r="G33" s="272">
        <f>SUM(G34:G35)</f>
        <v>40461641.552861378</v>
      </c>
      <c r="H33" s="557"/>
      <c r="I33" s="557"/>
      <c r="J33" s="557"/>
      <c r="K33" s="557"/>
      <c r="L33" s="557"/>
    </row>
    <row r="34" spans="1:12">
      <c r="A34" s="269">
        <v>26</v>
      </c>
      <c r="B34" s="273" t="s">
        <v>370</v>
      </c>
      <c r="C34" s="274"/>
      <c r="D34" s="275">
        <v>1017240.6063</v>
      </c>
      <c r="E34" s="271">
        <v>0</v>
      </c>
      <c r="F34" s="271">
        <v>0</v>
      </c>
      <c r="G34" s="272">
        <v>1017240.6063</v>
      </c>
      <c r="H34" s="557"/>
      <c r="I34" s="557"/>
      <c r="J34" s="557"/>
      <c r="K34" s="557"/>
      <c r="L34" s="557"/>
    </row>
    <row r="35" spans="1:12">
      <c r="A35" s="269">
        <v>27</v>
      </c>
      <c r="B35" s="273" t="s">
        <v>371</v>
      </c>
      <c r="C35" s="271">
        <v>6098430.2100000009</v>
      </c>
      <c r="D35" s="275">
        <v>21001205.891100001</v>
      </c>
      <c r="E35" s="271">
        <v>1438725.5296</v>
      </c>
      <c r="F35" s="271">
        <v>22126005.026211381</v>
      </c>
      <c r="G35" s="272">
        <v>39444400.946561381</v>
      </c>
      <c r="H35" s="557"/>
      <c r="I35" s="557"/>
      <c r="J35" s="557"/>
      <c r="K35" s="557"/>
      <c r="L35" s="557"/>
    </row>
    <row r="36" spans="1:12">
      <c r="A36" s="269">
        <v>28</v>
      </c>
      <c r="B36" s="270" t="s">
        <v>372</v>
      </c>
      <c r="C36" s="271">
        <v>0</v>
      </c>
      <c r="D36" s="275">
        <v>23962030.194728002</v>
      </c>
      <c r="E36" s="271">
        <v>27598927.892315</v>
      </c>
      <c r="F36" s="271">
        <v>38647173.371904999</v>
      </c>
      <c r="G36" s="272">
        <v>9755070.30475365</v>
      </c>
      <c r="H36" s="557"/>
      <c r="I36" s="557"/>
      <c r="J36" s="557"/>
      <c r="K36" s="557"/>
      <c r="L36" s="557"/>
    </row>
    <row r="37" spans="1:12">
      <c r="A37" s="276">
        <v>29</v>
      </c>
      <c r="B37" s="277" t="s">
        <v>373</v>
      </c>
      <c r="C37" s="274"/>
      <c r="D37" s="274"/>
      <c r="E37" s="274"/>
      <c r="F37" s="274"/>
      <c r="G37" s="278">
        <f>SUM(G23:G24,G32:G33,G36)</f>
        <v>299001893.01293367</v>
      </c>
      <c r="H37" s="557"/>
      <c r="I37" s="557"/>
      <c r="J37" s="557"/>
      <c r="K37" s="557"/>
      <c r="L37" s="557"/>
    </row>
    <row r="38" spans="1:12">
      <c r="A38" s="265"/>
      <c r="B38" s="287"/>
      <c r="C38" s="288"/>
      <c r="D38" s="288"/>
      <c r="E38" s="288"/>
      <c r="F38" s="288"/>
      <c r="G38" s="289"/>
      <c r="H38" s="557"/>
      <c r="I38" s="557"/>
      <c r="J38" s="557"/>
      <c r="K38" s="557"/>
      <c r="L38" s="557"/>
    </row>
    <row r="39" spans="1:12" ht="15" thickBot="1">
      <c r="A39" s="290">
        <v>30</v>
      </c>
      <c r="B39" s="291" t="s">
        <v>374</v>
      </c>
      <c r="C39" s="193"/>
      <c r="D39" s="194"/>
      <c r="E39" s="194"/>
      <c r="F39" s="195"/>
      <c r="G39" s="292">
        <f>IFERROR(G21/G37,0)</f>
        <v>1.3092712426071373</v>
      </c>
      <c r="H39" s="557"/>
      <c r="I39" s="557"/>
      <c r="J39" s="557"/>
      <c r="K39" s="557"/>
      <c r="L39" s="557"/>
    </row>
    <row r="42" spans="1:12" ht="41.4">
      <c r="B42" s="140" t="s">
        <v>375</v>
      </c>
    </row>
  </sheetData>
  <mergeCells count="2">
    <mergeCell ref="C5:F5"/>
    <mergeCell ref="G5:G6"/>
  </mergeCells>
  <pageMargins left="0.7" right="0.7" top="0.75" bottom="0.75" header="0.3" footer="0.3"/>
  <headerFooter>
    <oddFooter>&amp;C_x000D_&amp;1#&amp;"Calibri"&amp;10&amp;K000000 C1 - FOR INTERNAL USE ONLY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9"/>
  <sheetViews>
    <sheetView showGridLines="0" zoomScale="80" zoomScaleNormal="80" workbookViewId="0">
      <selection activeCell="E31" sqref="E31"/>
    </sheetView>
  </sheetViews>
  <sheetFormatPr defaultColWidth="9.21875" defaultRowHeight="12"/>
  <cols>
    <col min="1" max="1" width="11.77734375" style="297" bestFit="1" customWidth="1"/>
    <col min="2" max="2" width="105.21875" style="297" bestFit="1" customWidth="1"/>
    <col min="3" max="3" width="13.88671875" style="297" bestFit="1" customWidth="1"/>
    <col min="4" max="4" width="13.109375" style="297" bestFit="1" customWidth="1"/>
    <col min="5" max="5" width="17.44140625" style="297" bestFit="1" customWidth="1"/>
    <col min="6" max="6" width="13.109375" style="297" bestFit="1" customWidth="1"/>
    <col min="7" max="7" width="30.44140625" style="297" customWidth="1"/>
    <col min="8" max="8" width="12.44140625" style="297" bestFit="1" customWidth="1"/>
    <col min="9" max="16384" width="9.21875" style="297"/>
  </cols>
  <sheetData>
    <row r="1" spans="1:8" ht="13.8">
      <c r="A1" s="295" t="s">
        <v>30</v>
      </c>
      <c r="B1" s="357" t="str">
        <f>'Info '!C2</f>
        <v xml:space="preserve">PASHA Bank Georgia JSC </v>
      </c>
    </row>
    <row r="2" spans="1:8">
      <c r="A2" s="295" t="s">
        <v>31</v>
      </c>
      <c r="B2" s="356">
        <f>'1. key ratios '!B2</f>
        <v>45838</v>
      </c>
    </row>
    <row r="3" spans="1:8">
      <c r="A3" s="296" t="s">
        <v>380</v>
      </c>
    </row>
    <row r="5" spans="1:8" ht="12" customHeight="1">
      <c r="A5" s="787" t="s">
        <v>381</v>
      </c>
      <c r="B5" s="788"/>
      <c r="C5" s="793" t="s">
        <v>382</v>
      </c>
      <c r="D5" s="794"/>
      <c r="E5" s="794"/>
      <c r="F5" s="794"/>
      <c r="G5" s="794"/>
      <c r="H5" s="795"/>
    </row>
    <row r="6" spans="1:8">
      <c r="A6" s="789"/>
      <c r="B6" s="790"/>
      <c r="C6" s="796"/>
      <c r="D6" s="797"/>
      <c r="E6" s="797"/>
      <c r="F6" s="797"/>
      <c r="G6" s="797"/>
      <c r="H6" s="798"/>
    </row>
    <row r="7" spans="1:8">
      <c r="A7" s="791"/>
      <c r="B7" s="792"/>
      <c r="C7" s="355" t="s">
        <v>383</v>
      </c>
      <c r="D7" s="355" t="s">
        <v>384</v>
      </c>
      <c r="E7" s="355" t="s">
        <v>385</v>
      </c>
      <c r="F7" s="355" t="s">
        <v>386</v>
      </c>
      <c r="G7" s="355" t="s">
        <v>387</v>
      </c>
      <c r="H7" s="355" t="s">
        <v>64</v>
      </c>
    </row>
    <row r="8" spans="1:8">
      <c r="A8" s="351">
        <v>1</v>
      </c>
      <c r="B8" s="350" t="s">
        <v>51</v>
      </c>
      <c r="C8" s="604">
        <v>2714315.8733000001</v>
      </c>
      <c r="D8" s="604"/>
      <c r="E8" s="604">
        <v>5469399.9699999997</v>
      </c>
      <c r="F8" s="604"/>
      <c r="G8" s="604">
        <v>42464260.101800002</v>
      </c>
      <c r="H8" s="605">
        <f t="shared" ref="H8:H21" si="0">SUM(C8:G8)</f>
        <v>50647975.945100002</v>
      </c>
    </row>
    <row r="9" spans="1:8">
      <c r="A9" s="351">
        <v>2</v>
      </c>
      <c r="B9" s="350" t="s">
        <v>52</v>
      </c>
      <c r="C9" s="604"/>
      <c r="D9" s="604"/>
      <c r="E9" s="604"/>
      <c r="F9" s="604"/>
      <c r="G9" s="604"/>
      <c r="H9" s="605">
        <f t="shared" si="0"/>
        <v>0</v>
      </c>
    </row>
    <row r="10" spans="1:8">
      <c r="A10" s="351">
        <v>3</v>
      </c>
      <c r="B10" s="350" t="s">
        <v>152</v>
      </c>
      <c r="C10" s="604"/>
      <c r="D10" s="604"/>
      <c r="E10" s="604"/>
      <c r="F10" s="604"/>
      <c r="G10" s="604"/>
      <c r="H10" s="605">
        <f t="shared" si="0"/>
        <v>0</v>
      </c>
    </row>
    <row r="11" spans="1:8">
      <c r="A11" s="351">
        <v>4</v>
      </c>
      <c r="B11" s="350" t="s">
        <v>53</v>
      </c>
      <c r="C11" s="604"/>
      <c r="D11" s="604"/>
      <c r="E11" s="604"/>
      <c r="F11" s="604"/>
      <c r="G11" s="604"/>
      <c r="H11" s="605">
        <f t="shared" si="0"/>
        <v>0</v>
      </c>
    </row>
    <row r="12" spans="1:8">
      <c r="A12" s="351">
        <v>5</v>
      </c>
      <c r="B12" s="350" t="s">
        <v>54</v>
      </c>
      <c r="C12" s="604"/>
      <c r="D12" s="604"/>
      <c r="E12" s="604"/>
      <c r="F12" s="604"/>
      <c r="G12" s="604"/>
      <c r="H12" s="605">
        <f t="shared" si="0"/>
        <v>0</v>
      </c>
    </row>
    <row r="13" spans="1:8">
      <c r="A13" s="351">
        <v>6</v>
      </c>
      <c r="B13" s="350" t="s">
        <v>55</v>
      </c>
      <c r="C13" s="604">
        <v>42182914.07</v>
      </c>
      <c r="D13" s="604">
        <v>70364023.556299999</v>
      </c>
      <c r="E13" s="604">
        <v>10727314.923900001</v>
      </c>
      <c r="F13" s="604"/>
      <c r="G13" s="604"/>
      <c r="H13" s="605">
        <f t="shared" si="0"/>
        <v>123274252.55020002</v>
      </c>
    </row>
    <row r="14" spans="1:8">
      <c r="A14" s="351">
        <v>7</v>
      </c>
      <c r="B14" s="350" t="s">
        <v>56</v>
      </c>
      <c r="C14" s="604"/>
      <c r="D14" s="604">
        <v>69131899.972100005</v>
      </c>
      <c r="E14" s="604">
        <v>203410174.54370001</v>
      </c>
      <c r="F14" s="604">
        <v>137206382.70809999</v>
      </c>
      <c r="G14" s="604"/>
      <c r="H14" s="605">
        <f t="shared" si="0"/>
        <v>409748457.22389996</v>
      </c>
    </row>
    <row r="15" spans="1:8">
      <c r="A15" s="351">
        <v>8</v>
      </c>
      <c r="B15" s="352" t="s">
        <v>57</v>
      </c>
      <c r="C15" s="604"/>
      <c r="D15" s="604"/>
      <c r="E15" s="604"/>
      <c r="F15" s="604"/>
      <c r="G15" s="604"/>
      <c r="H15" s="605">
        <f t="shared" si="0"/>
        <v>0</v>
      </c>
    </row>
    <row r="16" spans="1:8">
      <c r="A16" s="351">
        <v>9</v>
      </c>
      <c r="B16" s="350" t="s">
        <v>58</v>
      </c>
      <c r="C16" s="604"/>
      <c r="D16" s="604"/>
      <c r="E16" s="604"/>
      <c r="F16" s="604"/>
      <c r="G16" s="604"/>
      <c r="H16" s="605">
        <f t="shared" si="0"/>
        <v>0</v>
      </c>
    </row>
    <row r="17" spans="1:8">
      <c r="A17" s="351">
        <v>10</v>
      </c>
      <c r="B17" s="354" t="s">
        <v>395</v>
      </c>
      <c r="C17" s="604"/>
      <c r="D17" s="604">
        <v>1363295.7101</v>
      </c>
      <c r="E17" s="604">
        <v>5932363.2559000002</v>
      </c>
      <c r="F17" s="604">
        <v>13049167.4277</v>
      </c>
      <c r="G17" s="604"/>
      <c r="H17" s="605">
        <f t="shared" si="0"/>
        <v>20344826.3937</v>
      </c>
    </row>
    <row r="18" spans="1:8">
      <c r="A18" s="351">
        <v>11</v>
      </c>
      <c r="B18" s="350" t="s">
        <v>60</v>
      </c>
      <c r="C18" s="604"/>
      <c r="D18" s="604"/>
      <c r="E18" s="604"/>
      <c r="F18" s="604"/>
      <c r="G18" s="604"/>
      <c r="H18" s="605">
        <f t="shared" si="0"/>
        <v>0</v>
      </c>
    </row>
    <row r="19" spans="1:8">
      <c r="A19" s="351">
        <v>12</v>
      </c>
      <c r="B19" s="350" t="s">
        <v>61</v>
      </c>
      <c r="C19" s="604"/>
      <c r="D19" s="604"/>
      <c r="E19" s="604"/>
      <c r="F19" s="604"/>
      <c r="G19" s="604"/>
      <c r="H19" s="605">
        <f t="shared" si="0"/>
        <v>0</v>
      </c>
    </row>
    <row r="20" spans="1:8">
      <c r="A20" s="353">
        <v>13</v>
      </c>
      <c r="B20" s="352" t="s">
        <v>144</v>
      </c>
      <c r="C20" s="604"/>
      <c r="D20" s="604"/>
      <c r="E20" s="604"/>
      <c r="F20" s="604"/>
      <c r="G20" s="604"/>
      <c r="H20" s="605">
        <f t="shared" si="0"/>
        <v>0</v>
      </c>
    </row>
    <row r="21" spans="1:8">
      <c r="A21" s="351">
        <v>14</v>
      </c>
      <c r="B21" s="350" t="s">
        <v>63</v>
      </c>
      <c r="C21" s="604">
        <v>4271874.5952000003</v>
      </c>
      <c r="D21" s="604">
        <v>24857400.043899998</v>
      </c>
      <c r="E21" s="604"/>
      <c r="F21" s="604"/>
      <c r="G21" s="604">
        <v>1562905.2800000012</v>
      </c>
      <c r="H21" s="605">
        <f t="shared" si="0"/>
        <v>30692179.919100001</v>
      </c>
    </row>
    <row r="22" spans="1:8">
      <c r="A22" s="349">
        <v>15</v>
      </c>
      <c r="B22" s="348" t="s">
        <v>64</v>
      </c>
      <c r="C22" s="348">
        <f>SUM(C18:C21)+SUM(C8:C16)</f>
        <v>49169104.538500004</v>
      </c>
      <c r="D22" s="348">
        <f t="shared" ref="D22:H22" si="1">SUM(D18:D21)+SUM(D8:D16)</f>
        <v>164353323.57230002</v>
      </c>
      <c r="E22" s="348">
        <f t="shared" si="1"/>
        <v>219606889.43760002</v>
      </c>
      <c r="F22" s="348">
        <f t="shared" si="1"/>
        <v>137206382.70809999</v>
      </c>
      <c r="G22" s="348">
        <f t="shared" si="1"/>
        <v>44027165.381800003</v>
      </c>
      <c r="H22" s="605">
        <f t="shared" si="1"/>
        <v>614362865.63830006</v>
      </c>
    </row>
    <row r="24" spans="1:8">
      <c r="C24" s="606"/>
      <c r="D24" s="606"/>
      <c r="E24" s="606"/>
      <c r="F24" s="606"/>
      <c r="G24" s="606"/>
      <c r="H24" s="606"/>
    </row>
    <row r="25" spans="1:8">
      <c r="C25" s="606"/>
      <c r="D25" s="606"/>
      <c r="E25" s="606"/>
      <c r="F25" s="606"/>
      <c r="G25" s="606"/>
      <c r="H25" s="606"/>
    </row>
    <row r="26" spans="1:8" ht="24">
      <c r="B26" s="300" t="s">
        <v>482</v>
      </c>
      <c r="C26" s="606"/>
      <c r="D26" s="606"/>
      <c r="E26" s="606"/>
      <c r="F26" s="606"/>
      <c r="G26" s="606"/>
      <c r="H26" s="606"/>
    </row>
    <row r="27" spans="1:8">
      <c r="C27" s="606"/>
      <c r="D27" s="606"/>
      <c r="E27" s="606"/>
      <c r="F27" s="606"/>
      <c r="G27" s="606"/>
      <c r="H27" s="606"/>
    </row>
    <row r="28" spans="1:8">
      <c r="C28" s="606"/>
      <c r="D28" s="606"/>
      <c r="E28" s="606"/>
      <c r="F28" s="606"/>
      <c r="G28" s="606"/>
      <c r="H28" s="606"/>
    </row>
    <row r="29" spans="1:8">
      <c r="C29" s="606"/>
      <c r="D29" s="606"/>
      <c r="E29" s="606"/>
      <c r="F29" s="606"/>
      <c r="G29" s="606"/>
      <c r="H29" s="606"/>
    </row>
    <row r="30" spans="1:8">
      <c r="C30" s="606"/>
      <c r="D30" s="606"/>
      <c r="E30" s="606"/>
      <c r="F30" s="606"/>
      <c r="G30" s="606"/>
      <c r="H30" s="606"/>
    </row>
    <row r="31" spans="1:8">
      <c r="C31" s="606"/>
      <c r="D31" s="606"/>
      <c r="E31" s="606"/>
      <c r="F31" s="606"/>
      <c r="G31" s="606"/>
      <c r="H31" s="606"/>
    </row>
    <row r="32" spans="1:8">
      <c r="C32" s="606"/>
      <c r="D32" s="606"/>
      <c r="E32" s="606"/>
      <c r="F32" s="606"/>
      <c r="G32" s="606"/>
      <c r="H32" s="606"/>
    </row>
    <row r="33" spans="3:8">
      <c r="C33" s="606"/>
      <c r="D33" s="606"/>
      <c r="E33" s="606"/>
      <c r="F33" s="606"/>
      <c r="G33" s="606"/>
      <c r="H33" s="606"/>
    </row>
    <row r="34" spans="3:8">
      <c r="C34" s="606"/>
      <c r="D34" s="606"/>
      <c r="E34" s="606"/>
      <c r="F34" s="606"/>
      <c r="G34" s="606"/>
      <c r="H34" s="606"/>
    </row>
    <row r="35" spans="3:8">
      <c r="C35" s="606"/>
      <c r="D35" s="606"/>
      <c r="E35" s="606"/>
      <c r="F35" s="606"/>
      <c r="G35" s="606"/>
      <c r="H35" s="606"/>
    </row>
    <row r="36" spans="3:8">
      <c r="C36" s="606"/>
      <c r="D36" s="606"/>
      <c r="E36" s="606"/>
      <c r="F36" s="606"/>
      <c r="G36" s="606"/>
      <c r="H36" s="606"/>
    </row>
    <row r="37" spans="3:8">
      <c r="C37" s="606"/>
      <c r="D37" s="606"/>
      <c r="E37" s="606"/>
      <c r="F37" s="606"/>
      <c r="G37" s="606"/>
      <c r="H37" s="606"/>
    </row>
    <row r="38" spans="3:8">
      <c r="C38" s="606"/>
      <c r="D38" s="606"/>
      <c r="E38" s="606"/>
      <c r="F38" s="606"/>
      <c r="G38" s="606"/>
      <c r="H38" s="606"/>
    </row>
    <row r="39" spans="3:8">
      <c r="C39" s="606"/>
      <c r="D39" s="606"/>
      <c r="E39" s="606"/>
      <c r="F39" s="606"/>
      <c r="G39" s="606"/>
      <c r="H39" s="606"/>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Footer>&amp;C_x000D_&amp;1#&amp;"Calibri"&amp;10&amp;K000000 C1 - FOR INTERNAL USE ONLY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47"/>
  <sheetViews>
    <sheetView showGridLines="0" zoomScale="80" zoomScaleNormal="80" workbookViewId="0">
      <selection activeCell="D26" sqref="D26"/>
    </sheetView>
  </sheetViews>
  <sheetFormatPr defaultColWidth="9.21875" defaultRowHeight="12"/>
  <cols>
    <col min="1" max="1" width="11.77734375" style="358" bestFit="1" customWidth="1"/>
    <col min="2" max="2" width="86.77734375" style="297" customWidth="1"/>
    <col min="3" max="4" width="31.5546875" style="297" customWidth="1"/>
    <col min="5" max="5" width="15.109375" style="297" bestFit="1" customWidth="1"/>
    <col min="6" max="6" width="11.77734375" style="297" bestFit="1" customWidth="1"/>
    <col min="7" max="7" width="21.5546875" style="297" bestFit="1" customWidth="1"/>
    <col min="8" max="8" width="41.44140625" style="297" customWidth="1"/>
    <col min="9" max="16384" width="9.21875" style="297"/>
  </cols>
  <sheetData>
    <row r="1" spans="1:8" ht="13.8">
      <c r="A1" s="295" t="s">
        <v>30</v>
      </c>
      <c r="B1" s="357" t="str">
        <f>'Info '!C2</f>
        <v xml:space="preserve">PASHA Bank Georgia JSC </v>
      </c>
      <c r="C1" s="370"/>
      <c r="D1" s="370"/>
      <c r="E1" s="370"/>
      <c r="F1" s="370"/>
      <c r="G1" s="370"/>
      <c r="H1" s="370"/>
    </row>
    <row r="2" spans="1:8">
      <c r="A2" s="295" t="s">
        <v>31</v>
      </c>
      <c r="B2" s="356">
        <f>'1. key ratios '!B2</f>
        <v>45838</v>
      </c>
      <c r="C2" s="370"/>
      <c r="D2" s="370"/>
      <c r="E2" s="370"/>
      <c r="F2" s="370"/>
      <c r="G2" s="370"/>
      <c r="H2" s="370"/>
    </row>
    <row r="3" spans="1:8">
      <c r="A3" s="296" t="s">
        <v>388</v>
      </c>
      <c r="B3" s="370"/>
      <c r="C3" s="370"/>
      <c r="D3" s="370"/>
      <c r="E3" s="370"/>
      <c r="F3" s="370"/>
      <c r="G3" s="370"/>
      <c r="H3" s="370"/>
    </row>
    <row r="4" spans="1:8">
      <c r="A4" s="371"/>
      <c r="B4" s="370"/>
      <c r="C4" s="369" t="s">
        <v>0</v>
      </c>
      <c r="D4" s="369" t="s">
        <v>1</v>
      </c>
      <c r="E4" s="369" t="s">
        <v>2</v>
      </c>
      <c r="F4" s="369" t="s">
        <v>3</v>
      </c>
      <c r="G4" s="369" t="s">
        <v>4</v>
      </c>
      <c r="H4" s="369" t="s">
        <v>5</v>
      </c>
    </row>
    <row r="5" spans="1:8" ht="34.049999999999997" customHeight="1">
      <c r="A5" s="787" t="s">
        <v>389</v>
      </c>
      <c r="B5" s="788"/>
      <c r="C5" s="801" t="s">
        <v>390</v>
      </c>
      <c r="D5" s="801"/>
      <c r="E5" s="801" t="s">
        <v>627</v>
      </c>
      <c r="F5" s="799" t="s">
        <v>391</v>
      </c>
      <c r="G5" s="799" t="s">
        <v>392</v>
      </c>
      <c r="H5" s="367" t="s">
        <v>626</v>
      </c>
    </row>
    <row r="6" spans="1:8" ht="24">
      <c r="A6" s="791"/>
      <c r="B6" s="792"/>
      <c r="C6" s="368" t="s">
        <v>393</v>
      </c>
      <c r="D6" s="368" t="s">
        <v>394</v>
      </c>
      <c r="E6" s="801"/>
      <c r="F6" s="800"/>
      <c r="G6" s="800"/>
      <c r="H6" s="367" t="s">
        <v>625</v>
      </c>
    </row>
    <row r="7" spans="1:8">
      <c r="A7" s="365">
        <v>1</v>
      </c>
      <c r="B7" s="350" t="s">
        <v>51</v>
      </c>
      <c r="C7" s="607"/>
      <c r="D7" s="607">
        <v>50647975.945100002</v>
      </c>
      <c r="E7" s="607"/>
      <c r="F7" s="607"/>
      <c r="G7" s="607"/>
      <c r="H7" s="608">
        <f>C7+D7-E7-F7</f>
        <v>50647975.945100002</v>
      </c>
    </row>
    <row r="8" spans="1:8">
      <c r="A8" s="365">
        <v>2</v>
      </c>
      <c r="B8" s="350" t="s">
        <v>52</v>
      </c>
      <c r="C8" s="607"/>
      <c r="D8" s="607"/>
      <c r="E8" s="607"/>
      <c r="F8" s="607"/>
      <c r="G8" s="607"/>
      <c r="H8" s="608">
        <f t="shared" ref="H8:H20" si="0">C8+D8-E8-F8</f>
        <v>0</v>
      </c>
    </row>
    <row r="9" spans="1:8">
      <c r="A9" s="365">
        <v>3</v>
      </c>
      <c r="B9" s="350" t="s">
        <v>152</v>
      </c>
      <c r="C9" s="607"/>
      <c r="D9" s="607"/>
      <c r="E9" s="607"/>
      <c r="F9" s="607"/>
      <c r="G9" s="607"/>
      <c r="H9" s="608">
        <f t="shared" si="0"/>
        <v>0</v>
      </c>
    </row>
    <row r="10" spans="1:8">
      <c r="A10" s="365">
        <v>4</v>
      </c>
      <c r="B10" s="350" t="s">
        <v>53</v>
      </c>
      <c r="C10" s="607"/>
      <c r="D10" s="607"/>
      <c r="E10" s="607"/>
      <c r="F10" s="607"/>
      <c r="G10" s="607"/>
      <c r="H10" s="608">
        <f t="shared" si="0"/>
        <v>0</v>
      </c>
    </row>
    <row r="11" spans="1:8">
      <c r="A11" s="365">
        <v>5</v>
      </c>
      <c r="B11" s="350" t="s">
        <v>54</v>
      </c>
      <c r="C11" s="607"/>
      <c r="D11" s="607"/>
      <c r="E11" s="607"/>
      <c r="F11" s="607"/>
      <c r="G11" s="607"/>
      <c r="H11" s="608">
        <f t="shared" si="0"/>
        <v>0</v>
      </c>
    </row>
    <row r="12" spans="1:8">
      <c r="A12" s="365">
        <v>6</v>
      </c>
      <c r="B12" s="350" t="s">
        <v>55</v>
      </c>
      <c r="C12" s="607"/>
      <c r="D12" s="607">
        <v>123572390.12240002</v>
      </c>
      <c r="E12" s="607">
        <v>298137.5722</v>
      </c>
      <c r="F12" s="607"/>
      <c r="G12" s="607"/>
      <c r="H12" s="608">
        <f t="shared" si="0"/>
        <v>123274252.55020002</v>
      </c>
    </row>
    <row r="13" spans="1:8">
      <c r="A13" s="365">
        <v>7</v>
      </c>
      <c r="B13" s="350" t="s">
        <v>56</v>
      </c>
      <c r="C13" s="607">
        <v>31299062.308499999</v>
      </c>
      <c r="D13" s="607">
        <v>389627319.03109998</v>
      </c>
      <c r="E13" s="607">
        <v>12100791.4724</v>
      </c>
      <c r="F13" s="607"/>
      <c r="G13" s="607"/>
      <c r="H13" s="608">
        <f t="shared" si="0"/>
        <v>408825589.86719996</v>
      </c>
    </row>
    <row r="14" spans="1:8">
      <c r="A14" s="365">
        <v>8</v>
      </c>
      <c r="B14" s="352" t="s">
        <v>57</v>
      </c>
      <c r="C14" s="607">
        <v>38501.35</v>
      </c>
      <c r="D14" s="607">
        <v>919176.38800000004</v>
      </c>
      <c r="E14" s="607">
        <v>34810.381300000001</v>
      </c>
      <c r="F14" s="607"/>
      <c r="G14" s="607"/>
      <c r="H14" s="608">
        <f t="shared" si="0"/>
        <v>922867.3567</v>
      </c>
    </row>
    <row r="15" spans="1:8">
      <c r="A15" s="365">
        <v>9</v>
      </c>
      <c r="B15" s="350" t="s">
        <v>58</v>
      </c>
      <c r="C15" s="607"/>
      <c r="D15" s="607"/>
      <c r="E15" s="607"/>
      <c r="F15" s="607"/>
      <c r="G15" s="607"/>
      <c r="H15" s="608">
        <f t="shared" si="0"/>
        <v>0</v>
      </c>
    </row>
    <row r="16" spans="1:8">
      <c r="A16" s="365">
        <v>10</v>
      </c>
      <c r="B16" s="354" t="s">
        <v>395</v>
      </c>
      <c r="C16" s="607">
        <v>21279837.449299999</v>
      </c>
      <c r="D16" s="607">
        <v>4857363.8261000002</v>
      </c>
      <c r="E16" s="607">
        <v>5792374.8816999998</v>
      </c>
      <c r="F16" s="607"/>
      <c r="G16" s="607"/>
      <c r="H16" s="608">
        <f t="shared" si="0"/>
        <v>20344826.393699996</v>
      </c>
    </row>
    <row r="17" spans="1:8">
      <c r="A17" s="365">
        <v>11</v>
      </c>
      <c r="B17" s="350" t="s">
        <v>60</v>
      </c>
      <c r="C17" s="607"/>
      <c r="D17" s="607"/>
      <c r="E17" s="607"/>
      <c r="F17" s="607"/>
      <c r="G17" s="607"/>
      <c r="H17" s="608">
        <f t="shared" si="0"/>
        <v>0</v>
      </c>
    </row>
    <row r="18" spans="1:8">
      <c r="A18" s="365">
        <v>12</v>
      </c>
      <c r="B18" s="350" t="s">
        <v>61</v>
      </c>
      <c r="C18" s="607"/>
      <c r="D18" s="607"/>
      <c r="E18" s="607"/>
      <c r="F18" s="607"/>
      <c r="G18" s="607"/>
      <c r="H18" s="608">
        <f t="shared" si="0"/>
        <v>0</v>
      </c>
    </row>
    <row r="19" spans="1:8">
      <c r="A19" s="366">
        <v>13</v>
      </c>
      <c r="B19" s="352" t="s">
        <v>144</v>
      </c>
      <c r="C19" s="607"/>
      <c r="D19" s="607"/>
      <c r="E19" s="607"/>
      <c r="F19" s="607"/>
      <c r="G19" s="607"/>
      <c r="H19" s="608">
        <f t="shared" si="0"/>
        <v>0</v>
      </c>
    </row>
    <row r="20" spans="1:8">
      <c r="A20" s="365">
        <v>14</v>
      </c>
      <c r="B20" s="350" t="s">
        <v>63</v>
      </c>
      <c r="C20" s="607"/>
      <c r="D20" s="607">
        <v>51726609.0691</v>
      </c>
      <c r="E20" s="607">
        <v>14083801.439999999</v>
      </c>
      <c r="F20" s="607"/>
      <c r="G20" s="607"/>
      <c r="H20" s="608">
        <f t="shared" si="0"/>
        <v>37642807.629100002</v>
      </c>
    </row>
    <row r="21" spans="1:8" s="362" customFormat="1">
      <c r="A21" s="364">
        <v>15</v>
      </c>
      <c r="B21" s="363" t="s">
        <v>64</v>
      </c>
      <c r="C21" s="609">
        <f t="shared" ref="C21:H21" si="1">SUM(C7:C15)+SUM(C17:C20)</f>
        <v>31337563.658500001</v>
      </c>
      <c r="D21" s="609">
        <f t="shared" si="1"/>
        <v>616493470.55570006</v>
      </c>
      <c r="E21" s="609">
        <f t="shared" si="1"/>
        <v>26517540.865900002</v>
      </c>
      <c r="F21" s="609">
        <f t="shared" si="1"/>
        <v>0</v>
      </c>
      <c r="G21" s="609">
        <f t="shared" si="1"/>
        <v>0</v>
      </c>
      <c r="H21" s="608">
        <f t="shared" si="1"/>
        <v>621313493.34829986</v>
      </c>
    </row>
    <row r="22" spans="1:8">
      <c r="A22" s="361">
        <v>16</v>
      </c>
      <c r="B22" s="360" t="s">
        <v>396</v>
      </c>
      <c r="C22" s="607">
        <v>31147463.4285</v>
      </c>
      <c r="D22" s="845">
        <v>345761485.69809997</v>
      </c>
      <c r="E22" s="845">
        <v>11686944.055299999</v>
      </c>
      <c r="F22" s="607"/>
      <c r="G22" s="607"/>
      <c r="H22" s="608">
        <f>C22+D22-E22-F22</f>
        <v>365222005.07129997</v>
      </c>
    </row>
    <row r="23" spans="1:8">
      <c r="A23" s="361">
        <v>17</v>
      </c>
      <c r="B23" s="360" t="s">
        <v>397</v>
      </c>
      <c r="C23" s="607"/>
      <c r="D23" s="845">
        <v>77218347.467600003</v>
      </c>
      <c r="E23" s="845">
        <v>574584.10360000003</v>
      </c>
      <c r="F23" s="607"/>
      <c r="G23" s="607"/>
      <c r="H23" s="608">
        <f>C23+D23-E23-F23</f>
        <v>76643763.364000008</v>
      </c>
    </row>
    <row r="25" spans="1:8">
      <c r="C25" s="606"/>
      <c r="D25" s="606"/>
      <c r="E25" s="606"/>
      <c r="F25" s="606"/>
      <c r="G25" s="606"/>
      <c r="H25" s="606"/>
    </row>
    <row r="26" spans="1:8" ht="42.45" customHeight="1">
      <c r="B26" s="300" t="s">
        <v>482</v>
      </c>
      <c r="C26" s="606"/>
      <c r="D26" s="708"/>
      <c r="E26" s="606"/>
      <c r="F26" s="606"/>
      <c r="G26" s="606"/>
      <c r="H26" s="606"/>
    </row>
    <row r="27" spans="1:8">
      <c r="C27" s="606"/>
      <c r="D27" s="606"/>
      <c r="E27" s="606"/>
      <c r="F27" s="606"/>
      <c r="G27" s="606"/>
      <c r="H27" s="606"/>
    </row>
    <row r="28" spans="1:8">
      <c r="C28" s="606"/>
      <c r="D28" s="606"/>
      <c r="E28" s="606"/>
      <c r="F28" s="606"/>
      <c r="G28" s="606"/>
      <c r="H28" s="606"/>
    </row>
    <row r="29" spans="1:8">
      <c r="C29" s="606"/>
      <c r="D29" s="606"/>
      <c r="E29" s="606"/>
      <c r="F29" s="606"/>
      <c r="G29" s="606"/>
      <c r="H29" s="606"/>
    </row>
    <row r="30" spans="1:8">
      <c r="C30" s="606"/>
      <c r="D30" s="606"/>
      <c r="E30" s="606"/>
      <c r="F30" s="606"/>
      <c r="G30" s="606"/>
      <c r="H30" s="606"/>
    </row>
    <row r="31" spans="1:8">
      <c r="C31" s="606"/>
      <c r="D31" s="606"/>
      <c r="E31" s="606"/>
      <c r="F31" s="606"/>
      <c r="G31" s="606"/>
      <c r="H31" s="606"/>
    </row>
    <row r="32" spans="1:8">
      <c r="C32" s="606"/>
      <c r="D32" s="606"/>
      <c r="E32" s="606"/>
      <c r="F32" s="606"/>
      <c r="G32" s="606"/>
      <c r="H32" s="606"/>
    </row>
    <row r="33" spans="3:8">
      <c r="C33" s="606"/>
      <c r="D33" s="606"/>
      <c r="E33" s="606"/>
      <c r="F33" s="606"/>
      <c r="G33" s="606"/>
      <c r="H33" s="606"/>
    </row>
    <row r="34" spans="3:8">
      <c r="C34" s="606"/>
      <c r="D34" s="606"/>
      <c r="E34" s="606"/>
      <c r="F34" s="606"/>
      <c r="G34" s="606"/>
      <c r="H34" s="606"/>
    </row>
    <row r="35" spans="3:8">
      <c r="C35" s="606"/>
      <c r="D35" s="606"/>
      <c r="E35" s="606"/>
      <c r="F35" s="606"/>
      <c r="G35" s="606"/>
      <c r="H35" s="606"/>
    </row>
    <row r="36" spans="3:8">
      <c r="C36" s="606"/>
      <c r="D36" s="606"/>
      <c r="E36" s="606"/>
      <c r="F36" s="606"/>
      <c r="G36" s="606"/>
      <c r="H36" s="606"/>
    </row>
    <row r="37" spans="3:8">
      <c r="C37" s="606"/>
      <c r="D37" s="606"/>
      <c r="E37" s="606"/>
      <c r="F37" s="606"/>
      <c r="G37" s="606"/>
      <c r="H37" s="606"/>
    </row>
    <row r="38" spans="3:8">
      <c r="C38" s="606"/>
      <c r="D38" s="606"/>
      <c r="E38" s="606"/>
      <c r="F38" s="606"/>
      <c r="G38" s="606"/>
      <c r="H38" s="606"/>
    </row>
    <row r="39" spans="3:8">
      <c r="C39" s="606"/>
      <c r="D39" s="606"/>
      <c r="E39" s="606"/>
      <c r="F39" s="606"/>
      <c r="G39" s="606"/>
      <c r="H39" s="606"/>
    </row>
    <row r="40" spans="3:8">
      <c r="C40" s="606"/>
      <c r="D40" s="606"/>
      <c r="E40" s="606"/>
      <c r="F40" s="606"/>
      <c r="G40" s="606"/>
      <c r="H40" s="606"/>
    </row>
    <row r="41" spans="3:8">
      <c r="C41" s="606"/>
      <c r="D41" s="606"/>
      <c r="E41" s="606"/>
      <c r="F41" s="606"/>
      <c r="G41" s="606"/>
      <c r="H41" s="606"/>
    </row>
    <row r="42" spans="3:8">
      <c r="C42" s="606"/>
      <c r="D42" s="606"/>
      <c r="E42" s="606"/>
      <c r="F42" s="606"/>
      <c r="G42" s="606"/>
      <c r="H42" s="606"/>
    </row>
    <row r="43" spans="3:8">
      <c r="C43" s="606"/>
      <c r="D43" s="606"/>
      <c r="E43" s="606"/>
      <c r="F43" s="606"/>
      <c r="G43" s="606"/>
      <c r="H43" s="606"/>
    </row>
    <row r="44" spans="3:8">
      <c r="C44" s="606"/>
    </row>
    <row r="45" spans="3:8">
      <c r="C45" s="606"/>
    </row>
    <row r="46" spans="3:8">
      <c r="C46" s="606"/>
    </row>
    <row r="47" spans="3:8">
      <c r="C47" s="606"/>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Footer>&amp;C_x000D_&amp;1#&amp;"Calibri"&amp;10&amp;K000000 C1 - FOR INTERNAL USE ONLY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65"/>
  <sheetViews>
    <sheetView showGridLines="0" zoomScale="80" zoomScaleNormal="80" workbookViewId="0">
      <selection activeCell="D44" sqref="D44"/>
    </sheetView>
  </sheetViews>
  <sheetFormatPr defaultColWidth="9.21875" defaultRowHeight="12"/>
  <cols>
    <col min="1" max="1" width="11" style="297" bestFit="1" customWidth="1"/>
    <col min="2" max="2" width="93.44140625" style="297" customWidth="1"/>
    <col min="3" max="4" width="35" style="297" customWidth="1"/>
    <col min="5" max="5" width="15.109375" style="297" bestFit="1" customWidth="1"/>
    <col min="6" max="6" width="11.77734375" style="297" bestFit="1" customWidth="1"/>
    <col min="7" max="7" width="22" style="297" customWidth="1"/>
    <col min="8" max="8" width="19.88671875" style="297" customWidth="1"/>
    <col min="9" max="16384" width="9.21875" style="297"/>
  </cols>
  <sheetData>
    <row r="1" spans="1:9" ht="13.8">
      <c r="A1" s="295" t="s">
        <v>30</v>
      </c>
      <c r="B1" s="357" t="str">
        <f>'Info '!C2</f>
        <v xml:space="preserve">PASHA Bank Georgia JSC </v>
      </c>
      <c r="C1" s="370"/>
      <c r="D1" s="370"/>
      <c r="E1" s="370"/>
      <c r="F1" s="370"/>
      <c r="G1" s="370"/>
      <c r="H1" s="370"/>
    </row>
    <row r="2" spans="1:9">
      <c r="A2" s="295" t="s">
        <v>31</v>
      </c>
      <c r="B2" s="356">
        <f>'1. key ratios '!B2</f>
        <v>45838</v>
      </c>
      <c r="C2" s="370"/>
      <c r="D2" s="370"/>
      <c r="E2" s="370"/>
      <c r="F2" s="370"/>
      <c r="G2" s="370"/>
      <c r="H2" s="370"/>
    </row>
    <row r="3" spans="1:9">
      <c r="A3" s="296" t="s">
        <v>398</v>
      </c>
      <c r="B3" s="370"/>
      <c r="C3" s="370"/>
      <c r="D3" s="370"/>
      <c r="E3" s="370"/>
      <c r="F3" s="370"/>
      <c r="G3" s="370"/>
      <c r="H3" s="370"/>
    </row>
    <row r="4" spans="1:9">
      <c r="A4" s="371"/>
      <c r="B4" s="370"/>
      <c r="C4" s="369" t="s">
        <v>0</v>
      </c>
      <c r="D4" s="369" t="s">
        <v>1</v>
      </c>
      <c r="E4" s="369" t="s">
        <v>2</v>
      </c>
      <c r="F4" s="369" t="s">
        <v>3</v>
      </c>
      <c r="G4" s="369" t="s">
        <v>4</v>
      </c>
      <c r="H4" s="369" t="s">
        <v>5</v>
      </c>
    </row>
    <row r="5" spans="1:9" ht="41.55" customHeight="1">
      <c r="A5" s="787" t="s">
        <v>389</v>
      </c>
      <c r="B5" s="788"/>
      <c r="C5" s="801" t="s">
        <v>390</v>
      </c>
      <c r="D5" s="801"/>
      <c r="E5" s="801" t="s">
        <v>627</v>
      </c>
      <c r="F5" s="799" t="s">
        <v>391</v>
      </c>
      <c r="G5" s="799" t="s">
        <v>392</v>
      </c>
      <c r="H5" s="367" t="s">
        <v>626</v>
      </c>
    </row>
    <row r="6" spans="1:9" ht="24">
      <c r="A6" s="791"/>
      <c r="B6" s="792"/>
      <c r="C6" s="368" t="s">
        <v>393</v>
      </c>
      <c r="D6" s="368" t="s">
        <v>394</v>
      </c>
      <c r="E6" s="801"/>
      <c r="F6" s="800"/>
      <c r="G6" s="800"/>
      <c r="H6" s="367" t="s">
        <v>625</v>
      </c>
    </row>
    <row r="7" spans="1:9">
      <c r="A7" s="359">
        <v>1</v>
      </c>
      <c r="B7" s="374" t="s">
        <v>486</v>
      </c>
      <c r="C7" s="607">
        <v>0</v>
      </c>
      <c r="D7" s="607">
        <v>50647975.945100002</v>
      </c>
      <c r="E7" s="607">
        <v>0</v>
      </c>
      <c r="F7" s="607"/>
      <c r="G7" s="607"/>
      <c r="H7" s="608">
        <f t="shared" ref="H7:H34" si="0">C7+D7-E7-F7</f>
        <v>50647975.945100002</v>
      </c>
      <c r="I7" s="606"/>
    </row>
    <row r="8" spans="1:9">
      <c r="A8" s="359">
        <v>2</v>
      </c>
      <c r="B8" s="374" t="s">
        <v>399</v>
      </c>
      <c r="C8" s="607">
        <v>201671.8</v>
      </c>
      <c r="D8" s="607">
        <v>228346240.48900002</v>
      </c>
      <c r="E8" s="607">
        <v>824136.69900000002</v>
      </c>
      <c r="F8" s="607"/>
      <c r="G8" s="607"/>
      <c r="H8" s="608">
        <f t="shared" si="0"/>
        <v>227723775.59000003</v>
      </c>
      <c r="I8" s="606"/>
    </row>
    <row r="9" spans="1:9">
      <c r="A9" s="359">
        <v>3</v>
      </c>
      <c r="B9" s="374" t="s">
        <v>400</v>
      </c>
      <c r="C9" s="607"/>
      <c r="D9" s="607"/>
      <c r="E9" s="607"/>
      <c r="F9" s="607"/>
      <c r="G9" s="607"/>
      <c r="H9" s="608">
        <f t="shared" si="0"/>
        <v>0</v>
      </c>
      <c r="I9" s="606"/>
    </row>
    <row r="10" spans="1:9">
      <c r="A10" s="359">
        <v>4</v>
      </c>
      <c r="B10" s="374" t="s">
        <v>487</v>
      </c>
      <c r="C10" s="607">
        <v>3562840.2422000002</v>
      </c>
      <c r="D10" s="607">
        <v>28463792.098000001</v>
      </c>
      <c r="E10" s="607">
        <v>2396992.8020000001</v>
      </c>
      <c r="F10" s="607"/>
      <c r="G10" s="607"/>
      <c r="H10" s="608">
        <f t="shared" si="0"/>
        <v>29629639.538199998</v>
      </c>
      <c r="I10" s="606"/>
    </row>
    <row r="11" spans="1:9">
      <c r="A11" s="359">
        <v>5</v>
      </c>
      <c r="B11" s="374" t="s">
        <v>401</v>
      </c>
      <c r="C11" s="607">
        <v>0</v>
      </c>
      <c r="D11" s="607">
        <v>47501428.472999997</v>
      </c>
      <c r="E11" s="607">
        <v>114291.3314</v>
      </c>
      <c r="F11" s="607"/>
      <c r="G11" s="607"/>
      <c r="H11" s="608">
        <f t="shared" si="0"/>
        <v>47387137.141599998</v>
      </c>
      <c r="I11" s="606"/>
    </row>
    <row r="12" spans="1:9">
      <c r="A12" s="359">
        <v>6</v>
      </c>
      <c r="B12" s="374" t="s">
        <v>402</v>
      </c>
      <c r="C12" s="607">
        <v>0</v>
      </c>
      <c r="D12" s="607">
        <v>1109712.2376999999</v>
      </c>
      <c r="E12" s="607">
        <v>4130.4432999999999</v>
      </c>
      <c r="F12" s="607"/>
      <c r="G12" s="607"/>
      <c r="H12" s="608">
        <f t="shared" si="0"/>
        <v>1105581.7944</v>
      </c>
      <c r="I12" s="606"/>
    </row>
    <row r="13" spans="1:9">
      <c r="A13" s="359">
        <v>7</v>
      </c>
      <c r="B13" s="374" t="s">
        <v>403</v>
      </c>
      <c r="C13" s="607">
        <v>622.42999999999995</v>
      </c>
      <c r="D13" s="607">
        <v>0</v>
      </c>
      <c r="E13" s="607">
        <v>608.40170000000001</v>
      </c>
      <c r="F13" s="607"/>
      <c r="G13" s="607"/>
      <c r="H13" s="608">
        <f t="shared" si="0"/>
        <v>14.028299999999945</v>
      </c>
      <c r="I13" s="606"/>
    </row>
    <row r="14" spans="1:9">
      <c r="A14" s="359">
        <v>8</v>
      </c>
      <c r="B14" s="374" t="s">
        <v>404</v>
      </c>
      <c r="C14" s="607">
        <v>1206157.3629000001</v>
      </c>
      <c r="D14" s="607">
        <v>13951381.9011</v>
      </c>
      <c r="E14" s="607">
        <v>199040.21109999999</v>
      </c>
      <c r="F14" s="607"/>
      <c r="G14" s="607"/>
      <c r="H14" s="608">
        <f t="shared" si="0"/>
        <v>14958499.0529</v>
      </c>
      <c r="I14" s="606"/>
    </row>
    <row r="15" spans="1:9">
      <c r="A15" s="359">
        <v>9</v>
      </c>
      <c r="B15" s="374" t="s">
        <v>405</v>
      </c>
      <c r="C15" s="607">
        <v>0</v>
      </c>
      <c r="D15" s="607">
        <v>18789228.561000001</v>
      </c>
      <c r="E15" s="607">
        <v>68808.494500000001</v>
      </c>
      <c r="F15" s="607"/>
      <c r="G15" s="607"/>
      <c r="H15" s="608">
        <f t="shared" si="0"/>
        <v>18720420.066500001</v>
      </c>
      <c r="I15" s="606"/>
    </row>
    <row r="16" spans="1:9">
      <c r="A16" s="359">
        <v>10</v>
      </c>
      <c r="B16" s="374" t="s">
        <v>406</v>
      </c>
      <c r="C16" s="607">
        <v>0</v>
      </c>
      <c r="D16" s="607">
        <v>3264687.4758000001</v>
      </c>
      <c r="E16" s="607">
        <v>6136.4043000000001</v>
      </c>
      <c r="F16" s="607"/>
      <c r="G16" s="607"/>
      <c r="H16" s="608">
        <f t="shared" si="0"/>
        <v>3258551.0715000001</v>
      </c>
      <c r="I16" s="606"/>
    </row>
    <row r="17" spans="1:9">
      <c r="A17" s="359">
        <v>11</v>
      </c>
      <c r="B17" s="374" t="s">
        <v>407</v>
      </c>
      <c r="C17" s="607">
        <v>0</v>
      </c>
      <c r="D17" s="607">
        <v>5628787.3838999998</v>
      </c>
      <c r="E17" s="607">
        <v>69248.496799999994</v>
      </c>
      <c r="F17" s="607"/>
      <c r="G17" s="607"/>
      <c r="H17" s="608">
        <f t="shared" si="0"/>
        <v>5559538.8870999999</v>
      </c>
      <c r="I17" s="606"/>
    </row>
    <row r="18" spans="1:9">
      <c r="A18" s="359">
        <v>12</v>
      </c>
      <c r="B18" s="374" t="s">
        <v>408</v>
      </c>
      <c r="C18" s="607">
        <v>0</v>
      </c>
      <c r="D18" s="607">
        <v>25801418.9586</v>
      </c>
      <c r="E18" s="607">
        <v>195505.1164</v>
      </c>
      <c r="F18" s="607"/>
      <c r="G18" s="607"/>
      <c r="H18" s="608">
        <f t="shared" si="0"/>
        <v>25605913.8422</v>
      </c>
      <c r="I18" s="606"/>
    </row>
    <row r="19" spans="1:9">
      <c r="A19" s="359">
        <v>13</v>
      </c>
      <c r="B19" s="374" t="s">
        <v>409</v>
      </c>
      <c r="C19" s="607">
        <v>432260.48599999998</v>
      </c>
      <c r="D19" s="607">
        <v>0</v>
      </c>
      <c r="E19" s="607">
        <v>43170.160300000003</v>
      </c>
      <c r="F19" s="607"/>
      <c r="G19" s="607"/>
      <c r="H19" s="608">
        <f t="shared" si="0"/>
        <v>389090.32569999999</v>
      </c>
      <c r="I19" s="606"/>
    </row>
    <row r="20" spans="1:9">
      <c r="A20" s="359">
        <v>14</v>
      </c>
      <c r="B20" s="374" t="s">
        <v>410</v>
      </c>
      <c r="C20" s="607">
        <v>2375915.7659999998</v>
      </c>
      <c r="D20" s="607">
        <v>11713234.515900001</v>
      </c>
      <c r="E20" s="607">
        <v>471567.47409999999</v>
      </c>
      <c r="F20" s="607"/>
      <c r="G20" s="607"/>
      <c r="H20" s="608">
        <f t="shared" si="0"/>
        <v>13617582.807800001</v>
      </c>
      <c r="I20" s="606"/>
    </row>
    <row r="21" spans="1:9">
      <c r="A21" s="359">
        <v>15</v>
      </c>
      <c r="B21" s="374" t="s">
        <v>411</v>
      </c>
      <c r="C21" s="607">
        <v>9573310.6412000004</v>
      </c>
      <c r="D21" s="607">
        <v>9883702.0557000004</v>
      </c>
      <c r="E21" s="607">
        <v>1747644.6002</v>
      </c>
      <c r="F21" s="607"/>
      <c r="G21" s="607"/>
      <c r="H21" s="608">
        <f t="shared" si="0"/>
        <v>17709368.096700002</v>
      </c>
      <c r="I21" s="606"/>
    </row>
    <row r="22" spans="1:9">
      <c r="A22" s="359">
        <v>16</v>
      </c>
      <c r="B22" s="374" t="s">
        <v>412</v>
      </c>
      <c r="C22" s="607"/>
      <c r="D22" s="607"/>
      <c r="E22" s="607"/>
      <c r="F22" s="607"/>
      <c r="G22" s="607"/>
      <c r="H22" s="608">
        <f t="shared" si="0"/>
        <v>0</v>
      </c>
      <c r="I22" s="606"/>
    </row>
    <row r="23" spans="1:9">
      <c r="A23" s="359">
        <v>17</v>
      </c>
      <c r="B23" s="374" t="s">
        <v>490</v>
      </c>
      <c r="C23" s="607">
        <v>0</v>
      </c>
      <c r="D23" s="607">
        <v>8629521.8706999999</v>
      </c>
      <c r="E23" s="607">
        <v>116969.06080000001</v>
      </c>
      <c r="F23" s="607"/>
      <c r="G23" s="607"/>
      <c r="H23" s="608">
        <f t="shared" si="0"/>
        <v>8512552.8099000007</v>
      </c>
      <c r="I23" s="606"/>
    </row>
    <row r="24" spans="1:9">
      <c r="A24" s="359">
        <v>18</v>
      </c>
      <c r="B24" s="374" t="s">
        <v>413</v>
      </c>
      <c r="C24" s="607">
        <v>0</v>
      </c>
      <c r="D24" s="607">
        <v>78558359.905000001</v>
      </c>
      <c r="E24" s="607">
        <v>349968.04389999999</v>
      </c>
      <c r="F24" s="607"/>
      <c r="G24" s="607"/>
      <c r="H24" s="608">
        <f t="shared" si="0"/>
        <v>78208391.861100003</v>
      </c>
      <c r="I24" s="606"/>
    </row>
    <row r="25" spans="1:9">
      <c r="A25" s="359">
        <v>19</v>
      </c>
      <c r="B25" s="374" t="s">
        <v>414</v>
      </c>
      <c r="C25" s="607"/>
      <c r="D25" s="607"/>
      <c r="E25" s="607"/>
      <c r="F25" s="607"/>
      <c r="G25" s="607"/>
      <c r="H25" s="608">
        <f t="shared" si="0"/>
        <v>0</v>
      </c>
      <c r="I25" s="606"/>
    </row>
    <row r="26" spans="1:9">
      <c r="A26" s="359">
        <v>20</v>
      </c>
      <c r="B26" s="374" t="s">
        <v>489</v>
      </c>
      <c r="C26" s="607">
        <v>0</v>
      </c>
      <c r="D26" s="607">
        <v>7747232.9183</v>
      </c>
      <c r="E26" s="607">
        <v>168442.6868</v>
      </c>
      <c r="F26" s="607"/>
      <c r="G26" s="607"/>
      <c r="H26" s="608">
        <f t="shared" si="0"/>
        <v>7578790.2314999998</v>
      </c>
      <c r="I26" s="606"/>
    </row>
    <row r="27" spans="1:9">
      <c r="A27" s="359">
        <v>21</v>
      </c>
      <c r="B27" s="374" t="s">
        <v>415</v>
      </c>
      <c r="C27" s="607"/>
      <c r="D27" s="607"/>
      <c r="E27" s="607"/>
      <c r="F27" s="607"/>
      <c r="G27" s="607"/>
      <c r="H27" s="608">
        <f t="shared" si="0"/>
        <v>0</v>
      </c>
      <c r="I27" s="606"/>
    </row>
    <row r="28" spans="1:9">
      <c r="A28" s="359">
        <v>22</v>
      </c>
      <c r="B28" s="374" t="s">
        <v>416</v>
      </c>
      <c r="C28" s="607">
        <v>0</v>
      </c>
      <c r="D28" s="607">
        <v>5004906.3099999996</v>
      </c>
      <c r="E28" s="607">
        <v>36688.885000000002</v>
      </c>
      <c r="F28" s="607"/>
      <c r="G28" s="607"/>
      <c r="H28" s="608">
        <f t="shared" si="0"/>
        <v>4968217.4249999998</v>
      </c>
      <c r="I28" s="606"/>
    </row>
    <row r="29" spans="1:9">
      <c r="A29" s="359">
        <v>23</v>
      </c>
      <c r="B29" s="374" t="s">
        <v>417</v>
      </c>
      <c r="C29" s="607">
        <v>2285864.9761000001</v>
      </c>
      <c r="D29" s="607">
        <v>17161740.394000001</v>
      </c>
      <c r="E29" s="607">
        <v>355438.4387</v>
      </c>
      <c r="F29" s="607"/>
      <c r="G29" s="607"/>
      <c r="H29" s="608">
        <f t="shared" si="0"/>
        <v>19092166.931400001</v>
      </c>
      <c r="I29" s="606"/>
    </row>
    <row r="30" spans="1:9">
      <c r="A30" s="359">
        <v>24</v>
      </c>
      <c r="B30" s="374" t="s">
        <v>488</v>
      </c>
      <c r="C30" s="607">
        <v>11698674.340500001</v>
      </c>
      <c r="D30" s="607">
        <v>1506064.98</v>
      </c>
      <c r="E30" s="607">
        <v>5264659.6190999998</v>
      </c>
      <c r="F30" s="607"/>
      <c r="G30" s="607"/>
      <c r="H30" s="608">
        <f t="shared" si="0"/>
        <v>7940079.7014000015</v>
      </c>
      <c r="I30" s="606"/>
    </row>
    <row r="31" spans="1:9">
      <c r="A31" s="359">
        <v>25</v>
      </c>
      <c r="B31" s="374" t="s">
        <v>418</v>
      </c>
      <c r="C31" s="607">
        <v>0</v>
      </c>
      <c r="D31" s="607">
        <v>572060.60510000004</v>
      </c>
      <c r="E31" s="607">
        <v>10.768000000000001</v>
      </c>
      <c r="F31" s="607"/>
      <c r="G31" s="607"/>
      <c r="H31" s="608">
        <f t="shared" si="0"/>
        <v>572049.8371</v>
      </c>
      <c r="I31" s="606"/>
    </row>
    <row r="32" spans="1:9">
      <c r="A32" s="359">
        <v>26</v>
      </c>
      <c r="B32" s="374" t="s">
        <v>485</v>
      </c>
      <c r="C32" s="607">
        <v>245.55</v>
      </c>
      <c r="D32" s="607">
        <v>485384.408</v>
      </c>
      <c r="E32" s="607">
        <v>281.2885</v>
      </c>
      <c r="F32" s="607"/>
      <c r="G32" s="607"/>
      <c r="H32" s="608">
        <f t="shared" si="0"/>
        <v>485348.66949999996</v>
      </c>
      <c r="I32" s="606"/>
    </row>
    <row r="33" spans="1:9">
      <c r="A33" s="359">
        <v>27</v>
      </c>
      <c r="B33" s="359" t="s">
        <v>419</v>
      </c>
      <c r="C33" s="607"/>
      <c r="D33" s="607">
        <v>41353593.689099997</v>
      </c>
      <c r="E33" s="607">
        <v>10661413.77</v>
      </c>
      <c r="F33" s="607"/>
      <c r="G33" s="607"/>
      <c r="H33" s="608">
        <f t="shared" si="0"/>
        <v>30692179.919099998</v>
      </c>
      <c r="I33" s="606"/>
    </row>
    <row r="34" spans="1:9">
      <c r="A34" s="359">
        <v>28</v>
      </c>
      <c r="B34" s="363" t="s">
        <v>64</v>
      </c>
      <c r="C34" s="609">
        <f>SUM(C7:C33)</f>
        <v>31337563.594900005</v>
      </c>
      <c r="D34" s="609">
        <f>SUM(D7:D33)</f>
        <v>606120455.17500007</v>
      </c>
      <c r="E34" s="609">
        <f>SUM(E7:E33)</f>
        <v>23095153.195900001</v>
      </c>
      <c r="F34" s="609">
        <f>SUM(F7:F33)</f>
        <v>0</v>
      </c>
      <c r="G34" s="609">
        <f>SUM(G7:G33)</f>
        <v>0</v>
      </c>
      <c r="H34" s="608">
        <f t="shared" si="0"/>
        <v>614362865.57400012</v>
      </c>
      <c r="I34" s="606"/>
    </row>
    <row r="36" spans="1:9">
      <c r="B36" s="373"/>
    </row>
    <row r="37" spans="1:9">
      <c r="C37" s="606"/>
      <c r="D37" s="606"/>
      <c r="E37" s="606"/>
      <c r="F37" s="606"/>
      <c r="G37" s="606"/>
      <c r="H37" s="606"/>
    </row>
    <row r="38" spans="1:9">
      <c r="C38" s="606"/>
      <c r="D38" s="606"/>
      <c r="E38" s="606"/>
      <c r="F38" s="606"/>
      <c r="G38" s="606"/>
      <c r="H38" s="606"/>
    </row>
    <row r="39" spans="1:9">
      <c r="C39" s="606"/>
      <c r="D39" s="606"/>
      <c r="E39" s="606"/>
      <c r="F39" s="606"/>
      <c r="G39" s="606"/>
      <c r="H39" s="606"/>
    </row>
    <row r="40" spans="1:9">
      <c r="C40" s="606"/>
      <c r="D40" s="606"/>
      <c r="E40" s="606"/>
      <c r="F40" s="606"/>
      <c r="G40" s="606"/>
      <c r="H40" s="606"/>
    </row>
    <row r="41" spans="1:9">
      <c r="C41" s="606"/>
      <c r="D41" s="606"/>
      <c r="E41" s="606"/>
      <c r="F41" s="606"/>
      <c r="G41" s="606"/>
      <c r="H41" s="606"/>
    </row>
    <row r="42" spans="1:9">
      <c r="C42" s="606"/>
      <c r="D42" s="606"/>
      <c r="E42" s="606"/>
      <c r="F42" s="606"/>
      <c r="G42" s="606"/>
      <c r="H42" s="606"/>
    </row>
    <row r="43" spans="1:9">
      <c r="C43" s="606"/>
      <c r="D43" s="606"/>
      <c r="E43" s="606"/>
      <c r="F43" s="606"/>
      <c r="G43" s="606"/>
      <c r="H43" s="606"/>
    </row>
    <row r="44" spans="1:9">
      <c r="C44" s="606"/>
      <c r="D44" s="606"/>
      <c r="E44" s="606"/>
      <c r="F44" s="606"/>
      <c r="G44" s="606"/>
      <c r="H44" s="606"/>
    </row>
    <row r="45" spans="1:9">
      <c r="C45" s="606"/>
      <c r="D45" s="606"/>
      <c r="E45" s="606"/>
      <c r="F45" s="606"/>
      <c r="G45" s="606"/>
      <c r="H45" s="606"/>
    </row>
    <row r="46" spans="1:9">
      <c r="C46" s="606"/>
      <c r="D46" s="606"/>
      <c r="E46" s="606"/>
      <c r="F46" s="606"/>
      <c r="G46" s="606"/>
      <c r="H46" s="606"/>
    </row>
    <row r="47" spans="1:9">
      <c r="C47" s="606"/>
      <c r="D47" s="606"/>
      <c r="E47" s="606"/>
      <c r="F47" s="606"/>
      <c r="G47" s="606"/>
      <c r="H47" s="606"/>
    </row>
    <row r="48" spans="1:9">
      <c r="C48" s="606"/>
      <c r="D48" s="606"/>
      <c r="E48" s="606"/>
      <c r="F48" s="606"/>
      <c r="G48" s="606"/>
      <c r="H48" s="606"/>
    </row>
    <row r="49" spans="3:8">
      <c r="C49" s="606"/>
      <c r="D49" s="606"/>
      <c r="E49" s="606"/>
      <c r="F49" s="606"/>
      <c r="G49" s="606"/>
      <c r="H49" s="606"/>
    </row>
    <row r="50" spans="3:8">
      <c r="C50" s="606"/>
      <c r="D50" s="606"/>
      <c r="E50" s="606"/>
      <c r="F50" s="606"/>
      <c r="G50" s="606"/>
      <c r="H50" s="606"/>
    </row>
    <row r="51" spans="3:8">
      <c r="C51" s="606"/>
      <c r="D51" s="606"/>
      <c r="E51" s="606"/>
      <c r="F51" s="606"/>
      <c r="G51" s="606"/>
      <c r="H51" s="606"/>
    </row>
    <row r="52" spans="3:8">
      <c r="C52" s="606"/>
      <c r="D52" s="606"/>
      <c r="E52" s="606"/>
      <c r="F52" s="606"/>
      <c r="G52" s="606"/>
      <c r="H52" s="606"/>
    </row>
    <row r="53" spans="3:8">
      <c r="C53" s="606"/>
      <c r="D53" s="606"/>
      <c r="E53" s="606"/>
      <c r="F53" s="606"/>
      <c r="G53" s="606"/>
      <c r="H53" s="606"/>
    </row>
    <row r="54" spans="3:8">
      <c r="C54" s="606"/>
      <c r="D54" s="606"/>
      <c r="E54" s="606"/>
      <c r="F54" s="606"/>
      <c r="G54" s="606"/>
      <c r="H54" s="606"/>
    </row>
    <row r="55" spans="3:8">
      <c r="C55" s="606"/>
      <c r="D55" s="606"/>
      <c r="E55" s="606"/>
      <c r="F55" s="606"/>
      <c r="G55" s="606"/>
      <c r="H55" s="606"/>
    </row>
    <row r="56" spans="3:8">
      <c r="C56" s="606"/>
      <c r="D56" s="606"/>
      <c r="E56" s="606"/>
      <c r="F56" s="606"/>
      <c r="G56" s="606"/>
      <c r="H56" s="606"/>
    </row>
    <row r="57" spans="3:8">
      <c r="C57" s="606"/>
      <c r="D57" s="606"/>
      <c r="E57" s="606"/>
      <c r="F57" s="606"/>
      <c r="G57" s="606"/>
      <c r="H57" s="606"/>
    </row>
    <row r="58" spans="3:8">
      <c r="C58" s="606"/>
      <c r="D58" s="606"/>
      <c r="E58" s="606"/>
      <c r="F58" s="606"/>
      <c r="G58" s="606"/>
      <c r="H58" s="606"/>
    </row>
    <row r="59" spans="3:8">
      <c r="C59" s="606"/>
      <c r="D59" s="606"/>
      <c r="E59" s="606"/>
      <c r="F59" s="606"/>
      <c r="G59" s="606"/>
      <c r="H59" s="606"/>
    </row>
    <row r="60" spans="3:8">
      <c r="C60" s="606"/>
      <c r="D60" s="606"/>
      <c r="E60" s="606"/>
      <c r="F60" s="606"/>
      <c r="G60" s="606"/>
      <c r="H60" s="606"/>
    </row>
    <row r="61" spans="3:8">
      <c r="C61" s="606"/>
      <c r="D61" s="606"/>
      <c r="E61" s="606"/>
      <c r="F61" s="606"/>
      <c r="G61" s="606"/>
      <c r="H61" s="606"/>
    </row>
    <row r="62" spans="3:8">
      <c r="C62" s="606"/>
      <c r="D62" s="606"/>
      <c r="E62" s="606"/>
      <c r="F62" s="606"/>
      <c r="G62" s="606"/>
      <c r="H62" s="606"/>
    </row>
    <row r="63" spans="3:8">
      <c r="C63" s="606"/>
      <c r="D63" s="606"/>
      <c r="E63" s="606"/>
      <c r="F63" s="606"/>
      <c r="G63" s="606"/>
      <c r="H63" s="606"/>
    </row>
    <row r="64" spans="3:8">
      <c r="C64" s="606"/>
      <c r="D64" s="606"/>
      <c r="E64" s="606"/>
      <c r="F64" s="606"/>
      <c r="G64" s="606"/>
      <c r="H64" s="606"/>
    </row>
    <row r="65" spans="3:3">
      <c r="C65" s="606"/>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30"/>
  <sheetViews>
    <sheetView showGridLines="0" zoomScale="80" zoomScaleNormal="80" workbookViewId="0">
      <selection activeCell="B27" sqref="B27"/>
    </sheetView>
  </sheetViews>
  <sheetFormatPr defaultColWidth="9.21875" defaultRowHeight="12"/>
  <cols>
    <col min="1" max="1" width="11.77734375" style="297" bestFit="1" customWidth="1"/>
    <col min="2" max="2" width="108" style="297" bestFit="1" customWidth="1"/>
    <col min="3" max="3" width="35.5546875" style="297" customWidth="1"/>
    <col min="4" max="4" width="38.44140625" style="297" customWidth="1"/>
    <col min="5" max="16384" width="9.21875" style="297"/>
  </cols>
  <sheetData>
    <row r="1" spans="1:6" ht="13.8">
      <c r="A1" s="295" t="s">
        <v>30</v>
      </c>
      <c r="B1" s="357" t="str">
        <f>'Info '!C2</f>
        <v xml:space="preserve">PASHA Bank Georgia JSC </v>
      </c>
    </row>
    <row r="2" spans="1:6">
      <c r="A2" s="295" t="s">
        <v>31</v>
      </c>
      <c r="B2" s="356">
        <f>'1. key ratios '!B2</f>
        <v>45838</v>
      </c>
    </row>
    <row r="3" spans="1:6">
      <c r="A3" s="296" t="s">
        <v>420</v>
      </c>
    </row>
    <row r="5" spans="1:6">
      <c r="A5" s="802" t="s">
        <v>634</v>
      </c>
      <c r="B5" s="802"/>
      <c r="C5" s="355" t="s">
        <v>437</v>
      </c>
      <c r="D5" s="355" t="s">
        <v>478</v>
      </c>
    </row>
    <row r="6" spans="1:6">
      <c r="A6" s="382">
        <v>1</v>
      </c>
      <c r="B6" s="375" t="s">
        <v>633</v>
      </c>
      <c r="C6" s="604">
        <v>11348753.984600229</v>
      </c>
      <c r="D6" s="604">
        <v>373220.2721</v>
      </c>
      <c r="E6" s="606"/>
      <c r="F6" s="606"/>
    </row>
    <row r="7" spans="1:6">
      <c r="A7" s="379">
        <v>2</v>
      </c>
      <c r="B7" s="375" t="s">
        <v>632</v>
      </c>
      <c r="C7" s="605">
        <f>SUM(C8:C9)</f>
        <v>992535.07</v>
      </c>
      <c r="D7" s="605">
        <f>SUM(D8:D9)</f>
        <v>563.52729999999997</v>
      </c>
      <c r="E7" s="606"/>
      <c r="F7" s="606"/>
    </row>
    <row r="8" spans="1:6">
      <c r="A8" s="381">
        <v>2.1</v>
      </c>
      <c r="B8" s="380" t="s">
        <v>493</v>
      </c>
      <c r="C8" s="604">
        <v>412234.2683</v>
      </c>
      <c r="D8" s="604">
        <v>0</v>
      </c>
      <c r="E8" s="606"/>
      <c r="F8" s="606"/>
    </row>
    <row r="9" spans="1:6">
      <c r="A9" s="381">
        <v>2.2000000000000002</v>
      </c>
      <c r="B9" s="380" t="s">
        <v>491</v>
      </c>
      <c r="C9" s="604">
        <v>580300.80169999995</v>
      </c>
      <c r="D9" s="604">
        <v>563.52729999999997</v>
      </c>
      <c r="E9" s="606"/>
      <c r="F9" s="606"/>
    </row>
    <row r="10" spans="1:6">
      <c r="A10" s="382">
        <v>3</v>
      </c>
      <c r="B10" s="375" t="s">
        <v>631</v>
      </c>
      <c r="C10" s="605">
        <f>SUM(C11:C13)</f>
        <v>915604.29978620994</v>
      </c>
      <c r="D10" s="605">
        <f>SUM(D11:D13)</f>
        <v>71016.058600000004</v>
      </c>
      <c r="E10" s="606"/>
      <c r="F10" s="606"/>
    </row>
    <row r="11" spans="1:6">
      <c r="A11" s="381">
        <v>3.1</v>
      </c>
      <c r="B11" s="380" t="s">
        <v>422</v>
      </c>
      <c r="C11" s="604">
        <v>41189.57</v>
      </c>
      <c r="D11" s="604"/>
      <c r="E11" s="606"/>
      <c r="F11" s="606"/>
    </row>
    <row r="12" spans="1:6">
      <c r="A12" s="381">
        <v>3.2</v>
      </c>
      <c r="B12" s="380" t="s">
        <v>630</v>
      </c>
      <c r="C12" s="604">
        <v>760982.85860000004</v>
      </c>
      <c r="D12" s="604">
        <v>1847.0953</v>
      </c>
      <c r="E12" s="606"/>
      <c r="F12" s="606"/>
    </row>
    <row r="13" spans="1:6">
      <c r="A13" s="381">
        <v>3.3</v>
      </c>
      <c r="B13" s="380" t="s">
        <v>492</v>
      </c>
      <c r="C13" s="604">
        <v>113431.87118620999</v>
      </c>
      <c r="D13" s="604">
        <v>69168.963300000003</v>
      </c>
      <c r="E13" s="606"/>
      <c r="F13" s="606"/>
    </row>
    <row r="14" spans="1:6">
      <c r="A14" s="379">
        <v>4</v>
      </c>
      <c r="B14" s="378" t="s">
        <v>629</v>
      </c>
      <c r="C14" s="604">
        <v>261259.30049999984</v>
      </c>
      <c r="D14" s="604">
        <v>-91.553399999999996</v>
      </c>
      <c r="E14" s="606"/>
      <c r="F14" s="606"/>
    </row>
    <row r="15" spans="1:6">
      <c r="A15" s="376">
        <v>5</v>
      </c>
      <c r="B15" s="375" t="s">
        <v>628</v>
      </c>
      <c r="C15" s="605">
        <f>C6+C7-C10+C14</f>
        <v>11686944.055314019</v>
      </c>
      <c r="D15" s="605">
        <f>D6+D7-D10+D14</f>
        <v>302676.18740000005</v>
      </c>
      <c r="E15" s="606"/>
      <c r="F15" s="606"/>
    </row>
    <row r="18" spans="3:4">
      <c r="C18" s="606"/>
      <c r="D18" s="708"/>
    </row>
    <row r="19" spans="3:4">
      <c r="C19" s="606"/>
      <c r="D19" s="606"/>
    </row>
    <row r="20" spans="3:4">
      <c r="C20" s="606"/>
      <c r="D20" s="606"/>
    </row>
    <row r="21" spans="3:4">
      <c r="C21" s="606"/>
      <c r="D21" s="606"/>
    </row>
    <row r="22" spans="3:4">
      <c r="C22" s="606"/>
      <c r="D22" s="606"/>
    </row>
    <row r="23" spans="3:4">
      <c r="C23" s="606"/>
      <c r="D23" s="606"/>
    </row>
    <row r="24" spans="3:4">
      <c r="C24" s="606"/>
      <c r="D24" s="606"/>
    </row>
    <row r="25" spans="3:4">
      <c r="C25" s="606"/>
      <c r="D25" s="606"/>
    </row>
    <row r="26" spans="3:4">
      <c r="C26" s="606"/>
      <c r="D26" s="606"/>
    </row>
    <row r="27" spans="3:4">
      <c r="C27" s="606"/>
      <c r="D27" s="606"/>
    </row>
    <row r="28" spans="3:4">
      <c r="C28" s="606"/>
      <c r="D28" s="606"/>
    </row>
    <row r="29" spans="3:4">
      <c r="C29" s="606"/>
      <c r="D29" s="606"/>
    </row>
    <row r="30" spans="3:4">
      <c r="C30" s="606"/>
      <c r="D30" s="606"/>
    </row>
  </sheetData>
  <mergeCells count="1">
    <mergeCell ref="A5:B5"/>
  </mergeCells>
  <pageMargins left="0.7" right="0.7" top="0.75" bottom="0.75" header="0.3" footer="0.3"/>
  <pageSetup orientation="portrait" horizontalDpi="4294967292" verticalDpi="0" r:id="rId1"/>
  <headerFooter>
    <oddFooter>&amp;C_x000D_&amp;1#&amp;"Calibri"&amp;10&amp;K000000 C1 - FOR INTERNAL USE ONLY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E33"/>
  <sheetViews>
    <sheetView showGridLines="0" zoomScale="80" zoomScaleNormal="80" workbookViewId="0">
      <selection activeCell="C24" sqref="C24"/>
    </sheetView>
  </sheetViews>
  <sheetFormatPr defaultColWidth="9.21875" defaultRowHeight="12"/>
  <cols>
    <col min="1" max="1" width="11.77734375" style="297" bestFit="1" customWidth="1"/>
    <col min="2" max="2" width="128.88671875" style="297" bestFit="1" customWidth="1"/>
    <col min="3" max="3" width="37" style="297" customWidth="1"/>
    <col min="4" max="4" width="50.5546875" style="297" customWidth="1"/>
    <col min="5" max="16384" width="9.21875" style="297"/>
  </cols>
  <sheetData>
    <row r="1" spans="1:5" ht="13.8">
      <c r="A1" s="295" t="s">
        <v>30</v>
      </c>
      <c r="B1" s="357" t="str">
        <f>'Info '!C2</f>
        <v xml:space="preserve">PASHA Bank Georgia JSC </v>
      </c>
    </row>
    <row r="2" spans="1:5">
      <c r="A2" s="295" t="s">
        <v>31</v>
      </c>
      <c r="B2" s="356">
        <f>'1. key ratios '!B2</f>
        <v>45838</v>
      </c>
    </row>
    <row r="3" spans="1:5">
      <c r="A3" s="296" t="s">
        <v>424</v>
      </c>
    </row>
    <row r="4" spans="1:5">
      <c r="A4" s="296"/>
    </row>
    <row r="5" spans="1:5" ht="15" customHeight="1">
      <c r="A5" s="803" t="s">
        <v>494</v>
      </c>
      <c r="B5" s="804"/>
      <c r="C5" s="807" t="s">
        <v>425</v>
      </c>
      <c r="D5" s="807" t="s">
        <v>426</v>
      </c>
    </row>
    <row r="6" spans="1:5">
      <c r="A6" s="805"/>
      <c r="B6" s="806"/>
      <c r="C6" s="807"/>
      <c r="D6" s="807"/>
    </row>
    <row r="7" spans="1:5">
      <c r="A7" s="348">
        <v>1</v>
      </c>
      <c r="B7" s="348" t="s">
        <v>421</v>
      </c>
      <c r="C7" s="604">
        <v>30622361.0625</v>
      </c>
      <c r="D7" s="383"/>
      <c r="E7" s="606"/>
    </row>
    <row r="8" spans="1:5">
      <c r="A8" s="377">
        <v>2</v>
      </c>
      <c r="B8" s="377" t="s">
        <v>427</v>
      </c>
      <c r="C8" s="604">
        <v>137709.65789999999</v>
      </c>
      <c r="D8" s="383"/>
      <c r="E8" s="606"/>
    </row>
    <row r="9" spans="1:5">
      <c r="A9" s="377">
        <v>3</v>
      </c>
      <c r="B9" s="386" t="s">
        <v>637</v>
      </c>
      <c r="C9" s="604">
        <v>1078145.5384000009</v>
      </c>
      <c r="D9" s="383"/>
      <c r="E9" s="606"/>
    </row>
    <row r="10" spans="1:5">
      <c r="A10" s="377">
        <v>4</v>
      </c>
      <c r="B10" s="377" t="s">
        <v>428</v>
      </c>
      <c r="C10" s="605">
        <f>SUM(C11:C17)</f>
        <v>690752.89410000015</v>
      </c>
      <c r="D10" s="383"/>
      <c r="E10" s="606"/>
    </row>
    <row r="11" spans="1:5">
      <c r="A11" s="377">
        <v>5</v>
      </c>
      <c r="B11" s="385" t="s">
        <v>636</v>
      </c>
      <c r="C11" s="604"/>
      <c r="D11" s="383"/>
      <c r="E11" s="606"/>
    </row>
    <row r="12" spans="1:5">
      <c r="A12" s="377">
        <v>6</v>
      </c>
      <c r="B12" s="385" t="s">
        <v>429</v>
      </c>
      <c r="C12" s="604">
        <v>550042.96200000006</v>
      </c>
      <c r="D12" s="383"/>
      <c r="E12" s="606"/>
    </row>
    <row r="13" spans="1:5">
      <c r="A13" s="377">
        <v>7</v>
      </c>
      <c r="B13" s="385" t="s">
        <v>432</v>
      </c>
      <c r="C13" s="604">
        <v>50892.282800000001</v>
      </c>
      <c r="D13" s="383"/>
      <c r="E13" s="606"/>
    </row>
    <row r="14" spans="1:5">
      <c r="A14" s="377">
        <v>8</v>
      </c>
      <c r="B14" s="385" t="s">
        <v>430</v>
      </c>
      <c r="C14" s="604">
        <v>545.86</v>
      </c>
      <c r="D14" s="377"/>
      <c r="E14" s="606"/>
    </row>
    <row r="15" spans="1:5">
      <c r="A15" s="377">
        <v>9</v>
      </c>
      <c r="B15" s="385" t="s">
        <v>431</v>
      </c>
      <c r="C15" s="604"/>
      <c r="D15" s="377"/>
      <c r="E15" s="606"/>
    </row>
    <row r="16" spans="1:5">
      <c r="A16" s="377">
        <v>10</v>
      </c>
      <c r="B16" s="385" t="s">
        <v>433</v>
      </c>
      <c r="C16" s="604"/>
      <c r="D16" s="377"/>
      <c r="E16" s="606"/>
    </row>
    <row r="17" spans="1:5">
      <c r="A17" s="377">
        <v>11</v>
      </c>
      <c r="B17" s="385" t="s">
        <v>635</v>
      </c>
      <c r="C17" s="604">
        <v>89271.789300000004</v>
      </c>
      <c r="D17" s="383"/>
      <c r="E17" s="606"/>
    </row>
    <row r="18" spans="1:5">
      <c r="A18" s="348">
        <v>12</v>
      </c>
      <c r="B18" s="384" t="s">
        <v>423</v>
      </c>
      <c r="C18" s="605">
        <f>C7+C8+C9-C10</f>
        <v>31147463.364700001</v>
      </c>
      <c r="D18" s="383"/>
      <c r="E18" s="606"/>
    </row>
    <row r="21" spans="1:5">
      <c r="B21" s="295"/>
      <c r="C21" s="606"/>
    </row>
    <row r="22" spans="1:5">
      <c r="B22" s="295"/>
      <c r="C22" s="606"/>
    </row>
    <row r="23" spans="1:5">
      <c r="B23" s="296"/>
      <c r="C23" s="606"/>
    </row>
    <row r="24" spans="1:5">
      <c r="C24" s="606"/>
    </row>
    <row r="25" spans="1:5">
      <c r="C25" s="606"/>
    </row>
    <row r="26" spans="1:5">
      <c r="C26" s="606"/>
    </row>
    <row r="27" spans="1:5">
      <c r="C27" s="606"/>
    </row>
    <row r="28" spans="1:5">
      <c r="C28" s="606"/>
    </row>
    <row r="29" spans="1:5">
      <c r="C29" s="606"/>
    </row>
    <row r="30" spans="1:5">
      <c r="C30" s="606"/>
    </row>
    <row r="31" spans="1:5">
      <c r="C31" s="606"/>
    </row>
    <row r="32" spans="1:5">
      <c r="C32" s="606"/>
    </row>
    <row r="33" spans="3:3">
      <c r="C33" s="606"/>
    </row>
  </sheetData>
  <mergeCells count="3">
    <mergeCell ref="A5:B6"/>
    <mergeCell ref="C5:C6"/>
    <mergeCell ref="D5:D6"/>
  </mergeCells>
  <pageMargins left="0.7" right="0.7" top="0.75" bottom="0.75" header="0.3" footer="0.3"/>
  <pageSetup paperSize="9" orientation="portrait" r:id="rId1"/>
  <headerFooter>
    <oddFooter>&amp;C_x000D_&amp;1#&amp;"Calibri"&amp;10&amp;K000000 C1 - FOR INTERNAL USE ONLY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7"/>
  <sheetViews>
    <sheetView showGridLines="0" zoomScale="80" zoomScaleNormal="80" workbookViewId="0">
      <selection activeCell="F41" sqref="F41"/>
    </sheetView>
  </sheetViews>
  <sheetFormatPr defaultColWidth="9.21875" defaultRowHeight="12"/>
  <cols>
    <col min="1" max="1" width="11.77734375" style="370" bestFit="1" customWidth="1"/>
    <col min="2" max="2" width="63.88671875" style="370" customWidth="1"/>
    <col min="3" max="3" width="15.5546875" style="370" customWidth="1"/>
    <col min="4" max="18" width="22.21875" style="370" customWidth="1"/>
    <col min="19" max="19" width="23.21875" style="370" bestFit="1" customWidth="1"/>
    <col min="20" max="26" width="22.21875" style="370" customWidth="1"/>
    <col min="27" max="27" width="23.21875" style="370" bestFit="1" customWidth="1"/>
    <col min="28" max="28" width="20" style="370" customWidth="1"/>
    <col min="29" max="16384" width="9.21875" style="370"/>
  </cols>
  <sheetData>
    <row r="1" spans="1:28" ht="13.8">
      <c r="A1" s="295" t="s">
        <v>30</v>
      </c>
      <c r="B1" s="357" t="str">
        <f>'Info '!C2</f>
        <v xml:space="preserve">PASHA Bank Georgia JSC </v>
      </c>
    </row>
    <row r="2" spans="1:28">
      <c r="A2" s="295" t="s">
        <v>31</v>
      </c>
      <c r="B2" s="356">
        <f>'1. key ratios '!B2</f>
        <v>45838</v>
      </c>
      <c r="C2" s="371"/>
    </row>
    <row r="3" spans="1:28">
      <c r="A3" s="296" t="s">
        <v>434</v>
      </c>
    </row>
    <row r="5" spans="1:28" ht="15" customHeight="1">
      <c r="A5" s="809" t="s">
        <v>649</v>
      </c>
      <c r="B5" s="810"/>
      <c r="C5" s="815" t="s">
        <v>435</v>
      </c>
      <c r="D5" s="816"/>
      <c r="E5" s="816"/>
      <c r="F5" s="816"/>
      <c r="G5" s="816"/>
      <c r="H5" s="816"/>
      <c r="I5" s="816"/>
      <c r="J5" s="816"/>
      <c r="K5" s="816"/>
      <c r="L5" s="816"/>
      <c r="M5" s="816"/>
      <c r="N5" s="816"/>
      <c r="O5" s="816"/>
      <c r="P5" s="816"/>
      <c r="Q5" s="816"/>
      <c r="R5" s="816"/>
      <c r="S5" s="816"/>
      <c r="T5" s="394"/>
      <c r="U5" s="394"/>
      <c r="V5" s="394"/>
      <c r="W5" s="394"/>
      <c r="X5" s="394"/>
      <c r="Y5" s="394"/>
      <c r="Z5" s="394"/>
      <c r="AA5" s="393"/>
      <c r="AB5" s="388"/>
    </row>
    <row r="6" spans="1:28" ht="12" customHeight="1">
      <c r="A6" s="811"/>
      <c r="B6" s="812"/>
      <c r="C6" s="817" t="s">
        <v>64</v>
      </c>
      <c r="D6" s="819" t="s">
        <v>648</v>
      </c>
      <c r="E6" s="819"/>
      <c r="F6" s="819"/>
      <c r="G6" s="819"/>
      <c r="H6" s="819" t="s">
        <v>647</v>
      </c>
      <c r="I6" s="819"/>
      <c r="J6" s="819"/>
      <c r="K6" s="819"/>
      <c r="L6" s="391"/>
      <c r="M6" s="820" t="s">
        <v>646</v>
      </c>
      <c r="N6" s="820"/>
      <c r="O6" s="820"/>
      <c r="P6" s="820"/>
      <c r="Q6" s="820"/>
      <c r="R6" s="820"/>
      <c r="S6" s="800"/>
      <c r="T6" s="392"/>
      <c r="U6" s="808" t="s">
        <v>645</v>
      </c>
      <c r="V6" s="808"/>
      <c r="W6" s="808"/>
      <c r="X6" s="808"/>
      <c r="Y6" s="808"/>
      <c r="Z6" s="808"/>
      <c r="AA6" s="801"/>
      <c r="AB6" s="391"/>
    </row>
    <row r="7" spans="1:28" ht="24">
      <c r="A7" s="813"/>
      <c r="B7" s="814"/>
      <c r="C7" s="818"/>
      <c r="D7" s="390"/>
      <c r="E7" s="367" t="s">
        <v>436</v>
      </c>
      <c r="F7" s="367" t="s">
        <v>643</v>
      </c>
      <c r="G7" s="369" t="s">
        <v>644</v>
      </c>
      <c r="H7" s="371"/>
      <c r="I7" s="367" t="s">
        <v>436</v>
      </c>
      <c r="J7" s="367" t="s">
        <v>643</v>
      </c>
      <c r="K7" s="369" t="s">
        <v>644</v>
      </c>
      <c r="L7" s="389"/>
      <c r="M7" s="367" t="s">
        <v>436</v>
      </c>
      <c r="N7" s="367" t="s">
        <v>643</v>
      </c>
      <c r="O7" s="367" t="s">
        <v>642</v>
      </c>
      <c r="P7" s="367" t="s">
        <v>641</v>
      </c>
      <c r="Q7" s="367" t="s">
        <v>640</v>
      </c>
      <c r="R7" s="367" t="s">
        <v>639</v>
      </c>
      <c r="S7" s="367" t="s">
        <v>638</v>
      </c>
      <c r="T7" s="389"/>
      <c r="U7" s="367" t="s">
        <v>436</v>
      </c>
      <c r="V7" s="367" t="s">
        <v>643</v>
      </c>
      <c r="W7" s="367" t="s">
        <v>642</v>
      </c>
      <c r="X7" s="367" t="s">
        <v>641</v>
      </c>
      <c r="Y7" s="367" t="s">
        <v>640</v>
      </c>
      <c r="Z7" s="367" t="s">
        <v>639</v>
      </c>
      <c r="AA7" s="367" t="s">
        <v>638</v>
      </c>
      <c r="AB7" s="388"/>
    </row>
    <row r="8" spans="1:28">
      <c r="A8" s="387">
        <v>1</v>
      </c>
      <c r="B8" s="363" t="s">
        <v>437</v>
      </c>
      <c r="C8" s="610">
        <f>SUM(C9:C14)</f>
        <v>376908949.06269997</v>
      </c>
      <c r="D8" s="610">
        <f t="shared" ref="D8:AA8" si="0">SUM(D9:D14)</f>
        <v>337549221.32080001</v>
      </c>
      <c r="E8" s="610">
        <f t="shared" si="0"/>
        <v>5476322.6156000001</v>
      </c>
      <c r="F8" s="610">
        <f t="shared" si="0"/>
        <v>0</v>
      </c>
      <c r="G8" s="610">
        <f t="shared" si="0"/>
        <v>4856122.08</v>
      </c>
      <c r="H8" s="610">
        <f t="shared" si="0"/>
        <v>8212264.3770999992</v>
      </c>
      <c r="I8" s="610">
        <f t="shared" si="0"/>
        <v>0</v>
      </c>
      <c r="J8" s="610">
        <f t="shared" si="0"/>
        <v>3702157.7522999998</v>
      </c>
      <c r="K8" s="610">
        <f t="shared" si="0"/>
        <v>0</v>
      </c>
      <c r="L8" s="610">
        <f t="shared" si="0"/>
        <v>28596078.018999998</v>
      </c>
      <c r="M8" s="610">
        <f t="shared" si="0"/>
        <v>302.93</v>
      </c>
      <c r="N8" s="610">
        <f t="shared" si="0"/>
        <v>1399.5</v>
      </c>
      <c r="O8" s="610">
        <f t="shared" si="0"/>
        <v>702.6</v>
      </c>
      <c r="P8" s="610">
        <f t="shared" si="0"/>
        <v>4154939.9969000001</v>
      </c>
      <c r="Q8" s="610">
        <f t="shared" si="0"/>
        <v>2630816.6653999998</v>
      </c>
      <c r="R8" s="610">
        <f t="shared" si="0"/>
        <v>11759472.317499999</v>
      </c>
      <c r="S8" s="610">
        <f t="shared" si="0"/>
        <v>0</v>
      </c>
      <c r="T8" s="610">
        <f t="shared" si="0"/>
        <v>2551385.3457999998</v>
      </c>
      <c r="U8" s="610">
        <f t="shared" si="0"/>
        <v>0</v>
      </c>
      <c r="V8" s="610">
        <f t="shared" si="0"/>
        <v>0</v>
      </c>
      <c r="W8" s="610">
        <f t="shared" si="0"/>
        <v>0</v>
      </c>
      <c r="X8" s="610">
        <f t="shared" si="0"/>
        <v>0</v>
      </c>
      <c r="Y8" s="610">
        <f t="shared" si="0"/>
        <v>0</v>
      </c>
      <c r="Z8" s="610">
        <f t="shared" si="0"/>
        <v>2551385.3457999998</v>
      </c>
      <c r="AA8" s="610">
        <f t="shared" si="0"/>
        <v>0</v>
      </c>
    </row>
    <row r="9" spans="1:28">
      <c r="A9" s="359">
        <v>1.1000000000000001</v>
      </c>
      <c r="B9" s="379" t="s">
        <v>438</v>
      </c>
      <c r="C9" s="611"/>
      <c r="D9" s="612"/>
      <c r="E9" s="612"/>
      <c r="F9" s="612"/>
      <c r="G9" s="612"/>
      <c r="H9" s="613"/>
      <c r="I9" s="612"/>
      <c r="J9" s="612"/>
      <c r="K9" s="612"/>
      <c r="L9" s="612"/>
      <c r="M9" s="612"/>
      <c r="N9" s="612"/>
      <c r="O9" s="612"/>
      <c r="P9" s="612"/>
      <c r="Q9" s="612"/>
      <c r="R9" s="612"/>
      <c r="S9" s="612"/>
      <c r="T9" s="612"/>
      <c r="U9" s="612"/>
      <c r="V9" s="612"/>
      <c r="W9" s="612"/>
      <c r="X9" s="612"/>
      <c r="Y9" s="612"/>
      <c r="Z9" s="612"/>
      <c r="AA9" s="612"/>
    </row>
    <row r="10" spans="1:28">
      <c r="A10" s="359">
        <v>1.2</v>
      </c>
      <c r="B10" s="379" t="s">
        <v>439</v>
      </c>
      <c r="C10" s="611"/>
      <c r="D10" s="612"/>
      <c r="E10" s="612"/>
      <c r="F10" s="612"/>
      <c r="G10" s="612"/>
      <c r="H10" s="613"/>
      <c r="I10" s="612"/>
      <c r="J10" s="612"/>
      <c r="K10" s="612"/>
      <c r="L10" s="612"/>
      <c r="M10" s="612"/>
      <c r="N10" s="612"/>
      <c r="O10" s="612"/>
      <c r="P10" s="612"/>
      <c r="Q10" s="612"/>
      <c r="R10" s="612"/>
      <c r="S10" s="612"/>
      <c r="T10" s="612"/>
      <c r="U10" s="612"/>
      <c r="V10" s="612"/>
      <c r="W10" s="612"/>
      <c r="X10" s="612"/>
      <c r="Y10" s="612"/>
      <c r="Z10" s="612"/>
      <c r="AA10" s="612"/>
    </row>
    <row r="11" spans="1:28">
      <c r="A11" s="359">
        <v>1.3</v>
      </c>
      <c r="B11" s="379" t="s">
        <v>440</v>
      </c>
      <c r="C11" s="614">
        <v>21519345.77</v>
      </c>
      <c r="D11" s="615">
        <v>21519345.77</v>
      </c>
      <c r="E11" s="613"/>
      <c r="F11" s="613"/>
      <c r="G11" s="613"/>
      <c r="H11" s="615"/>
      <c r="I11" s="613"/>
      <c r="J11" s="613"/>
      <c r="K11" s="613"/>
      <c r="L11" s="613"/>
      <c r="M11" s="613"/>
      <c r="N11" s="613"/>
      <c r="O11" s="613"/>
      <c r="P11" s="613"/>
      <c r="Q11" s="613"/>
      <c r="R11" s="613"/>
      <c r="S11" s="613"/>
      <c r="T11" s="613"/>
      <c r="U11" s="613"/>
      <c r="V11" s="613"/>
      <c r="W11" s="613"/>
      <c r="X11" s="613"/>
      <c r="Y11" s="613"/>
      <c r="Z11" s="613"/>
      <c r="AA11" s="613"/>
    </row>
    <row r="12" spans="1:28">
      <c r="A12" s="359">
        <v>1.4</v>
      </c>
      <c r="B12" s="379" t="s">
        <v>441</v>
      </c>
      <c r="C12" s="614">
        <v>68696866.066100001</v>
      </c>
      <c r="D12" s="615">
        <v>68533450.066100001</v>
      </c>
      <c r="E12" s="613">
        <v>0</v>
      </c>
      <c r="F12" s="613">
        <v>0</v>
      </c>
      <c r="G12" s="613">
        <v>0</v>
      </c>
      <c r="H12" s="613">
        <v>0</v>
      </c>
      <c r="I12" s="613">
        <v>0</v>
      </c>
      <c r="J12" s="613">
        <v>0</v>
      </c>
      <c r="K12" s="613">
        <v>0</v>
      </c>
      <c r="L12" s="613">
        <v>163416</v>
      </c>
      <c r="M12" s="613">
        <v>0</v>
      </c>
      <c r="N12" s="613">
        <v>0</v>
      </c>
      <c r="O12" s="613">
        <v>0</v>
      </c>
      <c r="P12" s="613">
        <v>0</v>
      </c>
      <c r="Q12" s="613">
        <v>0</v>
      </c>
      <c r="R12" s="613">
        <v>163416</v>
      </c>
      <c r="S12" s="613">
        <v>0</v>
      </c>
      <c r="T12" s="613">
        <v>0</v>
      </c>
      <c r="U12" s="613">
        <v>0</v>
      </c>
      <c r="V12" s="613">
        <v>0</v>
      </c>
      <c r="W12" s="613">
        <v>0</v>
      </c>
      <c r="X12" s="613">
        <v>0</v>
      </c>
      <c r="Y12" s="613">
        <v>0</v>
      </c>
      <c r="Z12" s="613">
        <v>0</v>
      </c>
      <c r="AA12" s="613">
        <v>0</v>
      </c>
    </row>
    <row r="13" spans="1:28">
      <c r="A13" s="359">
        <v>1.5</v>
      </c>
      <c r="B13" s="379" t="s">
        <v>442</v>
      </c>
      <c r="C13" s="616">
        <v>279456938.19190001</v>
      </c>
      <c r="D13" s="613">
        <v>242615004.01550001</v>
      </c>
      <c r="E13" s="613">
        <v>5476322.6156000001</v>
      </c>
      <c r="F13" s="613">
        <v>0</v>
      </c>
      <c r="G13" s="613">
        <v>4856122.08</v>
      </c>
      <c r="H13" s="613">
        <v>8187394.0687999995</v>
      </c>
      <c r="I13" s="613">
        <v>0</v>
      </c>
      <c r="J13" s="613">
        <v>3702157.7522999998</v>
      </c>
      <c r="K13" s="613">
        <v>0</v>
      </c>
      <c r="L13" s="613">
        <v>26103154.761799999</v>
      </c>
      <c r="M13" s="613">
        <v>0</v>
      </c>
      <c r="N13" s="613">
        <v>0</v>
      </c>
      <c r="O13" s="613">
        <v>0</v>
      </c>
      <c r="P13" s="613">
        <v>3999870.7861000001</v>
      </c>
      <c r="Q13" s="613">
        <v>2630816.6653999998</v>
      </c>
      <c r="R13" s="613">
        <v>9446061.3510999996</v>
      </c>
      <c r="S13" s="613">
        <v>0</v>
      </c>
      <c r="T13" s="613">
        <v>2551385.3457999998</v>
      </c>
      <c r="U13" s="613">
        <v>0</v>
      </c>
      <c r="V13" s="613">
        <v>0</v>
      </c>
      <c r="W13" s="613">
        <v>0</v>
      </c>
      <c r="X13" s="613">
        <v>0</v>
      </c>
      <c r="Y13" s="613">
        <v>0</v>
      </c>
      <c r="Z13" s="613">
        <v>2551385.3457999998</v>
      </c>
      <c r="AA13" s="613">
        <v>0</v>
      </c>
    </row>
    <row r="14" spans="1:28">
      <c r="A14" s="359">
        <v>1.6</v>
      </c>
      <c r="B14" s="379" t="s">
        <v>443</v>
      </c>
      <c r="C14" s="616">
        <v>7235799.0346999997</v>
      </c>
      <c r="D14" s="613">
        <v>4881421.4692000002</v>
      </c>
      <c r="E14" s="613">
        <v>0</v>
      </c>
      <c r="F14" s="613">
        <v>0</v>
      </c>
      <c r="G14" s="615">
        <v>0</v>
      </c>
      <c r="H14" s="613">
        <v>24870.308300000001</v>
      </c>
      <c r="I14" s="613">
        <v>0</v>
      </c>
      <c r="J14" s="613">
        <v>0</v>
      </c>
      <c r="K14" s="613">
        <v>0</v>
      </c>
      <c r="L14" s="613">
        <v>2329507.2571999999</v>
      </c>
      <c r="M14" s="613">
        <v>302.93</v>
      </c>
      <c r="N14" s="613">
        <v>1399.5</v>
      </c>
      <c r="O14" s="613">
        <v>702.6</v>
      </c>
      <c r="P14" s="613">
        <v>155069.2108</v>
      </c>
      <c r="Q14" s="613">
        <v>0</v>
      </c>
      <c r="R14" s="613">
        <v>2149994.9663999998</v>
      </c>
      <c r="S14" s="613">
        <v>0</v>
      </c>
      <c r="T14" s="613">
        <v>0</v>
      </c>
      <c r="U14" s="613">
        <v>0</v>
      </c>
      <c r="V14" s="613">
        <v>0</v>
      </c>
      <c r="W14" s="613">
        <v>0</v>
      </c>
      <c r="X14" s="613">
        <v>0</v>
      </c>
      <c r="Y14" s="613">
        <v>0</v>
      </c>
      <c r="Z14" s="613">
        <v>0</v>
      </c>
      <c r="AA14" s="613">
        <v>0</v>
      </c>
    </row>
    <row r="15" spans="1:28">
      <c r="A15" s="387">
        <v>2</v>
      </c>
      <c r="B15" s="363" t="s">
        <v>444</v>
      </c>
      <c r="C15" s="610">
        <f>SUM(C16:C21)</f>
        <v>82687747.437600017</v>
      </c>
      <c r="D15" s="610">
        <f t="shared" ref="D15:AA15" si="1">SUM(D16:D21)</f>
        <v>82687747.437600017</v>
      </c>
      <c r="E15" s="610">
        <f t="shared" si="1"/>
        <v>0</v>
      </c>
      <c r="F15" s="610">
        <f t="shared" si="1"/>
        <v>0</v>
      </c>
      <c r="G15" s="610">
        <f t="shared" si="1"/>
        <v>0</v>
      </c>
      <c r="H15" s="610">
        <f t="shared" si="1"/>
        <v>0</v>
      </c>
      <c r="I15" s="610">
        <f t="shared" si="1"/>
        <v>0</v>
      </c>
      <c r="J15" s="610">
        <f t="shared" si="1"/>
        <v>0</v>
      </c>
      <c r="K15" s="610">
        <f t="shared" si="1"/>
        <v>0</v>
      </c>
      <c r="L15" s="610">
        <f t="shared" si="1"/>
        <v>0</v>
      </c>
      <c r="M15" s="610">
        <f t="shared" si="1"/>
        <v>0</v>
      </c>
      <c r="N15" s="610">
        <f t="shared" si="1"/>
        <v>0</v>
      </c>
      <c r="O15" s="610">
        <f t="shared" si="1"/>
        <v>0</v>
      </c>
      <c r="P15" s="610">
        <f t="shared" si="1"/>
        <v>0</v>
      </c>
      <c r="Q15" s="610">
        <f t="shared" si="1"/>
        <v>0</v>
      </c>
      <c r="R15" s="610">
        <f t="shared" si="1"/>
        <v>0</v>
      </c>
      <c r="S15" s="610">
        <f t="shared" si="1"/>
        <v>0</v>
      </c>
      <c r="T15" s="610">
        <f t="shared" si="1"/>
        <v>0</v>
      </c>
      <c r="U15" s="610">
        <f t="shared" si="1"/>
        <v>0</v>
      </c>
      <c r="V15" s="610">
        <f t="shared" si="1"/>
        <v>0</v>
      </c>
      <c r="W15" s="610">
        <f t="shared" si="1"/>
        <v>0</v>
      </c>
      <c r="X15" s="610">
        <f t="shared" si="1"/>
        <v>0</v>
      </c>
      <c r="Y15" s="610">
        <f t="shared" si="1"/>
        <v>0</v>
      </c>
      <c r="Z15" s="610">
        <f t="shared" si="1"/>
        <v>0</v>
      </c>
      <c r="AA15" s="610">
        <f t="shared" si="1"/>
        <v>0</v>
      </c>
    </row>
    <row r="16" spans="1:28">
      <c r="A16" s="359">
        <v>2.1</v>
      </c>
      <c r="B16" s="379" t="s">
        <v>438</v>
      </c>
      <c r="C16" s="616"/>
      <c r="D16" s="613"/>
      <c r="E16" s="613"/>
      <c r="F16" s="613"/>
      <c r="G16" s="613"/>
      <c r="H16" s="613"/>
      <c r="I16" s="613"/>
      <c r="J16" s="613"/>
      <c r="K16" s="613"/>
      <c r="L16" s="613"/>
      <c r="M16" s="613"/>
      <c r="N16" s="613"/>
      <c r="O16" s="613"/>
      <c r="P16" s="613"/>
      <c r="Q16" s="613"/>
      <c r="R16" s="613"/>
      <c r="S16" s="613"/>
      <c r="T16" s="613"/>
      <c r="U16" s="613"/>
      <c r="V16" s="613"/>
      <c r="W16" s="612"/>
      <c r="X16" s="612"/>
      <c r="Y16" s="612"/>
      <c r="Z16" s="612"/>
      <c r="AA16" s="612"/>
    </row>
    <row r="17" spans="1:27">
      <c r="A17" s="359">
        <v>2.2000000000000002</v>
      </c>
      <c r="B17" s="379" t="s">
        <v>439</v>
      </c>
      <c r="C17" s="614">
        <v>5469399.9699999997</v>
      </c>
      <c r="D17" s="615">
        <v>5469399.9699999997</v>
      </c>
      <c r="E17" s="613"/>
      <c r="F17" s="613"/>
      <c r="G17" s="613"/>
      <c r="H17" s="613"/>
      <c r="I17" s="613"/>
      <c r="J17" s="613"/>
      <c r="K17" s="613"/>
      <c r="L17" s="613"/>
      <c r="M17" s="613"/>
      <c r="N17" s="613"/>
      <c r="O17" s="613"/>
      <c r="P17" s="613"/>
      <c r="Q17" s="613"/>
      <c r="R17" s="613"/>
      <c r="S17" s="613"/>
      <c r="T17" s="613"/>
      <c r="U17" s="613"/>
      <c r="V17" s="613"/>
      <c r="W17" s="612"/>
      <c r="X17" s="612"/>
      <c r="Y17" s="612"/>
      <c r="Z17" s="612"/>
      <c r="AA17" s="612"/>
    </row>
    <row r="18" spans="1:27">
      <c r="A18" s="359">
        <v>2.2999999999999998</v>
      </c>
      <c r="B18" s="379" t="s">
        <v>440</v>
      </c>
      <c r="C18" s="614">
        <v>10999222.84</v>
      </c>
      <c r="D18" s="615">
        <v>10999222.84</v>
      </c>
      <c r="E18" s="613">
        <v>0</v>
      </c>
      <c r="F18" s="613">
        <v>0</v>
      </c>
      <c r="G18" s="613">
        <v>0</v>
      </c>
      <c r="H18" s="613">
        <v>0</v>
      </c>
      <c r="I18" s="613">
        <v>0</v>
      </c>
      <c r="J18" s="613">
        <v>0</v>
      </c>
      <c r="K18" s="613">
        <v>0</v>
      </c>
      <c r="L18" s="613">
        <v>0</v>
      </c>
      <c r="M18" s="613">
        <v>0</v>
      </c>
      <c r="N18" s="613">
        <v>0</v>
      </c>
      <c r="O18" s="613">
        <v>0</v>
      </c>
      <c r="P18" s="613">
        <v>0</v>
      </c>
      <c r="Q18" s="613">
        <v>0</v>
      </c>
      <c r="R18" s="613">
        <v>0</v>
      </c>
      <c r="S18" s="613">
        <v>0</v>
      </c>
      <c r="T18" s="613">
        <v>0</v>
      </c>
      <c r="U18" s="613">
        <v>0</v>
      </c>
      <c r="V18" s="613">
        <v>0</v>
      </c>
      <c r="W18" s="612">
        <v>0</v>
      </c>
      <c r="X18" s="612">
        <v>0</v>
      </c>
      <c r="Y18" s="612">
        <v>0</v>
      </c>
      <c r="Z18" s="612">
        <v>0</v>
      </c>
      <c r="AA18" s="612">
        <v>0</v>
      </c>
    </row>
    <row r="19" spans="1:27">
      <c r="A19" s="359">
        <v>2.4</v>
      </c>
      <c r="B19" s="379" t="s">
        <v>441</v>
      </c>
      <c r="C19" s="614">
        <v>36121044.430000007</v>
      </c>
      <c r="D19" s="615">
        <v>36121044.430000007</v>
      </c>
      <c r="E19" s="613">
        <v>0</v>
      </c>
      <c r="F19" s="613">
        <v>0</v>
      </c>
      <c r="G19" s="613">
        <v>0</v>
      </c>
      <c r="H19" s="613">
        <v>0</v>
      </c>
      <c r="I19" s="613">
        <v>0</v>
      </c>
      <c r="J19" s="613">
        <v>0</v>
      </c>
      <c r="K19" s="613">
        <v>0</v>
      </c>
      <c r="L19" s="613">
        <v>0</v>
      </c>
      <c r="M19" s="613">
        <v>0</v>
      </c>
      <c r="N19" s="613">
        <v>0</v>
      </c>
      <c r="O19" s="613">
        <v>0</v>
      </c>
      <c r="P19" s="613">
        <v>0</v>
      </c>
      <c r="Q19" s="613">
        <v>0</v>
      </c>
      <c r="R19" s="613">
        <v>0</v>
      </c>
      <c r="S19" s="613">
        <v>0</v>
      </c>
      <c r="T19" s="613">
        <v>0</v>
      </c>
      <c r="U19" s="613">
        <v>0</v>
      </c>
      <c r="V19" s="613">
        <v>0</v>
      </c>
      <c r="W19" s="612">
        <v>0</v>
      </c>
      <c r="X19" s="612">
        <v>0</v>
      </c>
      <c r="Y19" s="612">
        <v>0</v>
      </c>
      <c r="Z19" s="612">
        <v>0</v>
      </c>
      <c r="AA19" s="612">
        <v>0</v>
      </c>
    </row>
    <row r="20" spans="1:27">
      <c r="A20" s="359">
        <v>2.5</v>
      </c>
      <c r="B20" s="379" t="s">
        <v>442</v>
      </c>
      <c r="C20" s="614">
        <v>30098080.1976</v>
      </c>
      <c r="D20" s="615">
        <v>30098080.1976</v>
      </c>
      <c r="E20" s="613">
        <v>0</v>
      </c>
      <c r="F20" s="613">
        <v>0</v>
      </c>
      <c r="G20" s="613">
        <v>0</v>
      </c>
      <c r="H20" s="613">
        <v>0</v>
      </c>
      <c r="I20" s="613">
        <v>0</v>
      </c>
      <c r="J20" s="613">
        <v>0</v>
      </c>
      <c r="K20" s="613">
        <v>0</v>
      </c>
      <c r="L20" s="613">
        <v>0</v>
      </c>
      <c r="M20" s="613">
        <v>0</v>
      </c>
      <c r="N20" s="613">
        <v>0</v>
      </c>
      <c r="O20" s="613">
        <v>0</v>
      </c>
      <c r="P20" s="613">
        <v>0</v>
      </c>
      <c r="Q20" s="613">
        <v>0</v>
      </c>
      <c r="R20" s="613">
        <v>0</v>
      </c>
      <c r="S20" s="613">
        <v>0</v>
      </c>
      <c r="T20" s="613">
        <v>0</v>
      </c>
      <c r="U20" s="613">
        <v>0</v>
      </c>
      <c r="V20" s="613">
        <v>0</v>
      </c>
      <c r="W20" s="612">
        <v>0</v>
      </c>
      <c r="X20" s="612">
        <v>0</v>
      </c>
      <c r="Y20" s="612">
        <v>0</v>
      </c>
      <c r="Z20" s="612">
        <v>0</v>
      </c>
      <c r="AA20" s="612">
        <v>0</v>
      </c>
    </row>
    <row r="21" spans="1:27">
      <c r="A21" s="359">
        <v>2.6</v>
      </c>
      <c r="B21" s="379" t="s">
        <v>443</v>
      </c>
      <c r="C21" s="611"/>
      <c r="D21" s="612"/>
      <c r="E21" s="612"/>
      <c r="F21" s="612"/>
      <c r="G21" s="612"/>
      <c r="H21" s="613"/>
      <c r="I21" s="612"/>
      <c r="J21" s="612"/>
      <c r="K21" s="612"/>
      <c r="L21" s="612"/>
      <c r="M21" s="612"/>
      <c r="N21" s="612"/>
      <c r="O21" s="612"/>
      <c r="P21" s="612"/>
      <c r="Q21" s="612"/>
      <c r="R21" s="612"/>
      <c r="S21" s="612"/>
      <c r="T21" s="612"/>
      <c r="U21" s="612"/>
      <c r="V21" s="612"/>
      <c r="W21" s="612"/>
      <c r="X21" s="612"/>
      <c r="Y21" s="612"/>
      <c r="Z21" s="612"/>
      <c r="AA21" s="612"/>
    </row>
    <row r="22" spans="1:27">
      <c r="A22" s="387">
        <v>3</v>
      </c>
      <c r="B22" s="363" t="s">
        <v>484</v>
      </c>
      <c r="C22" s="610">
        <f>SUM(C23:C28)</f>
        <v>90526855.991799995</v>
      </c>
      <c r="D22" s="610">
        <f>SUM(D23:D28)</f>
        <v>88275931.771799996</v>
      </c>
      <c r="E22" s="617"/>
      <c r="F22" s="617"/>
      <c r="G22" s="617"/>
      <c r="H22" s="610">
        <f>SUM(H23:H28)</f>
        <v>2250924.2200000002</v>
      </c>
      <c r="I22" s="617"/>
      <c r="J22" s="617"/>
      <c r="K22" s="617"/>
      <c r="L22" s="610">
        <f>SUM(L23:L28)</f>
        <v>0</v>
      </c>
      <c r="M22" s="617"/>
      <c r="N22" s="617"/>
      <c r="O22" s="617"/>
      <c r="P22" s="617"/>
      <c r="Q22" s="617"/>
      <c r="R22" s="617"/>
      <c r="S22" s="617"/>
      <c r="T22" s="610">
        <f>SUM(T23:T28)</f>
        <v>0</v>
      </c>
      <c r="U22" s="617"/>
      <c r="V22" s="617"/>
      <c r="W22" s="617"/>
      <c r="X22" s="617"/>
      <c r="Y22" s="617"/>
      <c r="Z22" s="617"/>
      <c r="AA22" s="617"/>
    </row>
    <row r="23" spans="1:27">
      <c r="A23" s="359">
        <v>3.1</v>
      </c>
      <c r="B23" s="379" t="s">
        <v>438</v>
      </c>
      <c r="C23" s="616"/>
      <c r="D23" s="610"/>
      <c r="E23" s="617"/>
      <c r="F23" s="617"/>
      <c r="G23" s="617"/>
      <c r="H23" s="610"/>
      <c r="I23" s="617"/>
      <c r="J23" s="617"/>
      <c r="K23" s="617"/>
      <c r="L23" s="610"/>
      <c r="M23" s="617"/>
      <c r="N23" s="617"/>
      <c r="O23" s="617"/>
      <c r="P23" s="617"/>
      <c r="Q23" s="617"/>
      <c r="R23" s="617"/>
      <c r="S23" s="617"/>
      <c r="T23" s="610"/>
      <c r="U23" s="617"/>
      <c r="V23" s="617"/>
      <c r="W23" s="617"/>
      <c r="X23" s="617"/>
      <c r="Y23" s="617"/>
      <c r="Z23" s="617"/>
      <c r="AA23" s="617"/>
    </row>
    <row r="24" spans="1:27">
      <c r="A24" s="359">
        <v>3.2</v>
      </c>
      <c r="B24" s="379" t="s">
        <v>439</v>
      </c>
      <c r="C24" s="616"/>
      <c r="D24" s="610"/>
      <c r="E24" s="617"/>
      <c r="F24" s="617"/>
      <c r="G24" s="617"/>
      <c r="H24" s="610"/>
      <c r="I24" s="617"/>
      <c r="J24" s="617"/>
      <c r="K24" s="617"/>
      <c r="L24" s="610"/>
      <c r="M24" s="617"/>
      <c r="N24" s="617"/>
      <c r="O24" s="617"/>
      <c r="P24" s="617"/>
      <c r="Q24" s="617"/>
      <c r="R24" s="617"/>
      <c r="S24" s="617"/>
      <c r="T24" s="610"/>
      <c r="U24" s="617"/>
      <c r="V24" s="617"/>
      <c r="W24" s="617"/>
      <c r="X24" s="617"/>
      <c r="Y24" s="617"/>
      <c r="Z24" s="617"/>
      <c r="AA24" s="617"/>
    </row>
    <row r="25" spans="1:27">
      <c r="A25" s="359">
        <v>3.3</v>
      </c>
      <c r="B25" s="379" t="s">
        <v>440</v>
      </c>
      <c r="C25" s="616">
        <v>1420000</v>
      </c>
      <c r="D25" s="613">
        <v>1420000</v>
      </c>
      <c r="E25" s="617"/>
      <c r="F25" s="617"/>
      <c r="G25" s="617"/>
      <c r="H25" s="610">
        <v>0</v>
      </c>
      <c r="I25" s="617"/>
      <c r="J25" s="617"/>
      <c r="K25" s="617"/>
      <c r="L25" s="610"/>
      <c r="M25" s="617"/>
      <c r="N25" s="617"/>
      <c r="O25" s="617"/>
      <c r="P25" s="617"/>
      <c r="Q25" s="617"/>
      <c r="R25" s="617"/>
      <c r="S25" s="617"/>
      <c r="T25" s="610"/>
      <c r="U25" s="617"/>
      <c r="V25" s="617"/>
      <c r="W25" s="617"/>
      <c r="X25" s="617"/>
      <c r="Y25" s="617"/>
      <c r="Z25" s="617"/>
      <c r="AA25" s="617"/>
    </row>
    <row r="26" spans="1:27">
      <c r="A26" s="359">
        <v>3.4</v>
      </c>
      <c r="B26" s="379" t="s">
        <v>441</v>
      </c>
      <c r="C26" s="616">
        <v>1665084.2261000001</v>
      </c>
      <c r="D26" s="613">
        <v>1665084.2261000001</v>
      </c>
      <c r="E26" s="617"/>
      <c r="F26" s="617"/>
      <c r="G26" s="617"/>
      <c r="H26" s="610">
        <v>0</v>
      </c>
      <c r="I26" s="617"/>
      <c r="J26" s="617"/>
      <c r="K26" s="617"/>
      <c r="L26" s="610"/>
      <c r="M26" s="617"/>
      <c r="N26" s="617"/>
      <c r="O26" s="617"/>
      <c r="P26" s="617"/>
      <c r="Q26" s="617"/>
      <c r="R26" s="617"/>
      <c r="S26" s="617"/>
      <c r="T26" s="610"/>
      <c r="U26" s="617"/>
      <c r="V26" s="617"/>
      <c r="W26" s="617"/>
      <c r="X26" s="617"/>
      <c r="Y26" s="617"/>
      <c r="Z26" s="617"/>
      <c r="AA26" s="617"/>
    </row>
    <row r="27" spans="1:27">
      <c r="A27" s="359">
        <v>3.5</v>
      </c>
      <c r="B27" s="379" t="s">
        <v>442</v>
      </c>
      <c r="C27" s="616">
        <v>84754445.899700001</v>
      </c>
      <c r="D27" s="613">
        <v>82503521.679700002</v>
      </c>
      <c r="E27" s="617"/>
      <c r="F27" s="617"/>
      <c r="G27" s="617"/>
      <c r="H27" s="613">
        <v>2250924.2200000002</v>
      </c>
      <c r="I27" s="617"/>
      <c r="J27" s="617"/>
      <c r="K27" s="617"/>
      <c r="L27" s="610"/>
      <c r="M27" s="617"/>
      <c r="N27" s="617"/>
      <c r="O27" s="617"/>
      <c r="P27" s="617"/>
      <c r="Q27" s="617"/>
      <c r="R27" s="617"/>
      <c r="S27" s="617"/>
      <c r="T27" s="610"/>
      <c r="U27" s="617"/>
      <c r="V27" s="617"/>
      <c r="W27" s="617"/>
      <c r="X27" s="617"/>
      <c r="Y27" s="617"/>
      <c r="Z27" s="617"/>
      <c r="AA27" s="617"/>
    </row>
    <row r="28" spans="1:27">
      <c r="A28" s="359">
        <v>3.6</v>
      </c>
      <c r="B28" s="379" t="s">
        <v>443</v>
      </c>
      <c r="C28" s="616">
        <v>2687325.8659999999</v>
      </c>
      <c r="D28" s="613">
        <v>2687325.8659999999</v>
      </c>
      <c r="E28" s="617"/>
      <c r="F28" s="617"/>
      <c r="G28" s="617"/>
      <c r="H28" s="610">
        <v>0</v>
      </c>
      <c r="I28" s="617"/>
      <c r="J28" s="617"/>
      <c r="K28" s="617"/>
      <c r="L28" s="610"/>
      <c r="M28" s="617"/>
      <c r="N28" s="617"/>
      <c r="O28" s="617"/>
      <c r="P28" s="617"/>
      <c r="Q28" s="617"/>
      <c r="R28" s="617"/>
      <c r="S28" s="617"/>
      <c r="T28" s="610"/>
      <c r="U28" s="617"/>
      <c r="V28" s="617"/>
      <c r="W28" s="617"/>
      <c r="X28" s="617"/>
      <c r="Y28" s="617"/>
      <c r="Z28" s="617"/>
      <c r="AA28" s="617"/>
    </row>
    <row r="31" spans="1:27">
      <c r="C31" s="618"/>
      <c r="D31" s="618"/>
      <c r="E31" s="618"/>
      <c r="F31" s="618"/>
      <c r="G31" s="618"/>
      <c r="H31" s="618"/>
      <c r="I31" s="618"/>
      <c r="J31" s="618"/>
      <c r="K31" s="618"/>
      <c r="L31" s="618"/>
      <c r="M31" s="618"/>
      <c r="N31" s="618"/>
      <c r="O31" s="618"/>
      <c r="P31" s="618"/>
      <c r="Q31" s="618"/>
      <c r="R31" s="618"/>
      <c r="S31" s="618"/>
      <c r="T31" s="618"/>
      <c r="U31" s="618"/>
      <c r="V31" s="618"/>
      <c r="W31" s="618"/>
      <c r="X31" s="618"/>
      <c r="Y31" s="618"/>
      <c r="Z31" s="618"/>
      <c r="AA31" s="618"/>
    </row>
    <row r="32" spans="1:27">
      <c r="C32" s="618"/>
      <c r="D32" s="618"/>
      <c r="E32" s="618"/>
      <c r="F32" s="618"/>
      <c r="G32" s="618"/>
      <c r="H32" s="618"/>
      <c r="I32" s="618"/>
      <c r="J32" s="618"/>
      <c r="K32" s="618"/>
      <c r="L32" s="618"/>
      <c r="M32" s="618"/>
      <c r="N32" s="618"/>
      <c r="O32" s="618"/>
      <c r="P32" s="618"/>
      <c r="Q32" s="618"/>
      <c r="R32" s="618"/>
      <c r="S32" s="618"/>
      <c r="T32" s="618"/>
      <c r="U32" s="618"/>
      <c r="V32" s="618"/>
      <c r="W32" s="618"/>
      <c r="X32" s="618"/>
      <c r="Y32" s="618"/>
      <c r="Z32" s="618"/>
      <c r="AA32" s="618"/>
    </row>
    <row r="33" spans="3:27">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c r="AA33" s="618"/>
    </row>
    <row r="34" spans="3:27">
      <c r="C34" s="618"/>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row>
    <row r="35" spans="3:27">
      <c r="C35" s="618"/>
      <c r="D35" s="618"/>
      <c r="E35" s="618"/>
      <c r="F35" s="618"/>
      <c r="G35" s="618"/>
      <c r="H35" s="618"/>
      <c r="I35" s="618"/>
      <c r="J35" s="618"/>
      <c r="K35" s="618"/>
      <c r="L35" s="618"/>
      <c r="M35" s="618"/>
      <c r="N35" s="618"/>
      <c r="O35" s="618"/>
      <c r="P35" s="618"/>
      <c r="Q35" s="618"/>
      <c r="R35" s="618"/>
      <c r="S35" s="618"/>
      <c r="T35" s="618"/>
      <c r="U35" s="618"/>
      <c r="V35" s="618"/>
      <c r="W35" s="618"/>
      <c r="X35" s="618"/>
      <c r="Y35" s="618"/>
      <c r="Z35" s="618"/>
      <c r="AA35" s="618"/>
    </row>
    <row r="36" spans="3:27">
      <c r="C36" s="618"/>
      <c r="D36" s="618"/>
      <c r="E36" s="618"/>
      <c r="F36" s="618"/>
      <c r="G36" s="618"/>
      <c r="H36" s="618"/>
      <c r="I36" s="618"/>
      <c r="J36" s="618"/>
      <c r="K36" s="618"/>
      <c r="L36" s="618"/>
      <c r="M36" s="618"/>
      <c r="N36" s="618"/>
      <c r="O36" s="618"/>
      <c r="P36" s="618"/>
      <c r="Q36" s="618"/>
      <c r="R36" s="618"/>
      <c r="S36" s="618"/>
      <c r="T36" s="618"/>
      <c r="U36" s="618"/>
      <c r="V36" s="618"/>
      <c r="W36" s="618"/>
      <c r="X36" s="618"/>
      <c r="Y36" s="618"/>
      <c r="Z36" s="618"/>
      <c r="AA36" s="618"/>
    </row>
    <row r="37" spans="3:27">
      <c r="C37" s="618"/>
      <c r="D37" s="618"/>
      <c r="E37" s="618"/>
      <c r="F37" s="618"/>
      <c r="G37" s="618"/>
      <c r="H37" s="618"/>
      <c r="I37" s="618"/>
      <c r="J37" s="618"/>
      <c r="K37" s="618"/>
      <c r="L37" s="618"/>
      <c r="M37" s="618"/>
      <c r="N37" s="618"/>
      <c r="O37" s="618"/>
      <c r="P37" s="618"/>
      <c r="Q37" s="618"/>
      <c r="R37" s="618"/>
      <c r="S37" s="618"/>
      <c r="T37" s="618"/>
      <c r="U37" s="618"/>
      <c r="V37" s="618"/>
      <c r="W37" s="618"/>
      <c r="X37" s="618"/>
      <c r="Y37" s="618"/>
      <c r="Z37" s="618"/>
      <c r="AA37" s="618"/>
    </row>
    <row r="38" spans="3:27">
      <c r="C38" s="618"/>
      <c r="D38" s="618"/>
      <c r="E38" s="618"/>
      <c r="F38" s="618"/>
      <c r="G38" s="618"/>
      <c r="H38" s="618"/>
      <c r="I38" s="618"/>
      <c r="J38" s="618"/>
      <c r="K38" s="618"/>
      <c r="L38" s="618"/>
      <c r="M38" s="618"/>
      <c r="N38" s="618"/>
      <c r="O38" s="618"/>
      <c r="P38" s="618"/>
      <c r="Q38" s="618"/>
      <c r="R38" s="618"/>
      <c r="S38" s="618"/>
      <c r="T38" s="618"/>
      <c r="U38" s="618"/>
      <c r="V38" s="618"/>
      <c r="W38" s="618"/>
      <c r="X38" s="618"/>
      <c r="Y38" s="618"/>
      <c r="Z38" s="618"/>
      <c r="AA38" s="618"/>
    </row>
    <row r="39" spans="3:27">
      <c r="C39" s="618"/>
      <c r="D39" s="618"/>
      <c r="E39" s="618"/>
      <c r="F39" s="618"/>
      <c r="G39" s="618"/>
      <c r="H39" s="618"/>
      <c r="I39" s="618"/>
      <c r="J39" s="618"/>
      <c r="K39" s="618"/>
      <c r="L39" s="618"/>
      <c r="M39" s="618"/>
      <c r="N39" s="618"/>
      <c r="O39" s="618"/>
      <c r="P39" s="618"/>
      <c r="Q39" s="618"/>
      <c r="R39" s="618"/>
      <c r="S39" s="618"/>
      <c r="T39" s="618"/>
      <c r="U39" s="618"/>
      <c r="V39" s="618"/>
      <c r="W39" s="618"/>
      <c r="X39" s="618"/>
      <c r="Y39" s="618"/>
      <c r="Z39" s="618"/>
      <c r="AA39" s="618"/>
    </row>
    <row r="40" spans="3:27">
      <c r="C40" s="618"/>
      <c r="D40" s="618"/>
      <c r="E40" s="618"/>
      <c r="F40" s="618"/>
      <c r="G40" s="618"/>
      <c r="H40" s="618"/>
      <c r="I40" s="618"/>
      <c r="J40" s="618"/>
      <c r="K40" s="618"/>
      <c r="L40" s="618"/>
      <c r="M40" s="618"/>
      <c r="N40" s="618"/>
      <c r="O40" s="618"/>
      <c r="P40" s="618"/>
      <c r="Q40" s="618"/>
      <c r="R40" s="618"/>
      <c r="S40" s="618"/>
      <c r="T40" s="618"/>
      <c r="U40" s="618"/>
      <c r="V40" s="618"/>
      <c r="W40" s="618"/>
      <c r="X40" s="618"/>
      <c r="Y40" s="618"/>
      <c r="Z40" s="618"/>
      <c r="AA40" s="618"/>
    </row>
    <row r="41" spans="3:27">
      <c r="C41" s="618"/>
      <c r="D41" s="618"/>
      <c r="E41" s="618"/>
      <c r="F41" s="618"/>
      <c r="G41" s="618"/>
      <c r="H41" s="618"/>
      <c r="I41" s="618"/>
      <c r="J41" s="618"/>
      <c r="K41" s="618"/>
      <c r="L41" s="618"/>
      <c r="M41" s="618"/>
      <c r="N41" s="618"/>
      <c r="O41" s="618"/>
      <c r="P41" s="618"/>
      <c r="Q41" s="618"/>
      <c r="R41" s="618"/>
      <c r="S41" s="618"/>
      <c r="T41" s="618"/>
      <c r="U41" s="618"/>
      <c r="V41" s="618"/>
      <c r="W41" s="618"/>
      <c r="X41" s="618"/>
      <c r="Y41" s="618"/>
      <c r="Z41" s="618"/>
      <c r="AA41" s="618"/>
    </row>
    <row r="42" spans="3:27">
      <c r="C42" s="618"/>
      <c r="D42" s="618"/>
      <c r="E42" s="618"/>
      <c r="F42" s="618"/>
      <c r="G42" s="618"/>
      <c r="H42" s="618"/>
      <c r="I42" s="618"/>
      <c r="J42" s="618"/>
      <c r="K42" s="618"/>
      <c r="L42" s="618"/>
      <c r="M42" s="618"/>
      <c r="N42" s="618"/>
      <c r="O42" s="618"/>
      <c r="P42" s="618"/>
      <c r="Q42" s="618"/>
      <c r="R42" s="618"/>
      <c r="S42" s="618"/>
      <c r="T42" s="618"/>
      <c r="U42" s="618"/>
      <c r="V42" s="618"/>
      <c r="W42" s="618"/>
      <c r="X42" s="618"/>
      <c r="Y42" s="618"/>
      <c r="Z42" s="618"/>
      <c r="AA42" s="618"/>
    </row>
    <row r="43" spans="3:27">
      <c r="C43" s="618"/>
      <c r="D43" s="618"/>
      <c r="E43" s="618"/>
      <c r="F43" s="618"/>
      <c r="G43" s="618"/>
      <c r="H43" s="618"/>
      <c r="I43" s="618"/>
      <c r="J43" s="618"/>
      <c r="K43" s="618"/>
      <c r="L43" s="618"/>
      <c r="M43" s="618"/>
      <c r="N43" s="618"/>
      <c r="O43" s="618"/>
      <c r="P43" s="618"/>
      <c r="Q43" s="618"/>
      <c r="R43" s="618"/>
      <c r="S43" s="618"/>
      <c r="T43" s="618"/>
      <c r="U43" s="618"/>
      <c r="V43" s="618"/>
      <c r="W43" s="618"/>
      <c r="X43" s="618"/>
      <c r="Y43" s="618"/>
      <c r="Z43" s="618"/>
      <c r="AA43" s="618"/>
    </row>
    <row r="44" spans="3:27">
      <c r="C44" s="618"/>
      <c r="D44" s="618"/>
      <c r="E44" s="618"/>
      <c r="F44" s="618"/>
      <c r="G44" s="618"/>
      <c r="H44" s="618"/>
      <c r="I44" s="618"/>
      <c r="J44" s="618"/>
      <c r="K44" s="618"/>
      <c r="L44" s="618"/>
      <c r="M44" s="618"/>
      <c r="N44" s="618"/>
      <c r="O44" s="618"/>
      <c r="P44" s="618"/>
      <c r="Q44" s="618"/>
      <c r="R44" s="618"/>
      <c r="S44" s="618"/>
      <c r="T44" s="618"/>
      <c r="U44" s="618"/>
      <c r="V44" s="618"/>
      <c r="W44" s="618"/>
      <c r="X44" s="618"/>
      <c r="Y44" s="618"/>
      <c r="Z44" s="618"/>
      <c r="AA44" s="618"/>
    </row>
    <row r="45" spans="3:27">
      <c r="C45" s="618"/>
      <c r="D45" s="618"/>
      <c r="E45" s="618"/>
      <c r="F45" s="618"/>
      <c r="G45" s="618"/>
      <c r="H45" s="618"/>
      <c r="I45" s="618"/>
      <c r="J45" s="618"/>
      <c r="K45" s="618"/>
      <c r="L45" s="618"/>
      <c r="M45" s="618"/>
      <c r="N45" s="618"/>
      <c r="O45" s="618"/>
      <c r="P45" s="618"/>
      <c r="Q45" s="618"/>
      <c r="R45" s="618"/>
      <c r="S45" s="618"/>
      <c r="T45" s="618"/>
      <c r="U45" s="618"/>
      <c r="V45" s="618"/>
      <c r="W45" s="618"/>
      <c r="X45" s="618"/>
      <c r="Y45" s="618"/>
      <c r="Z45" s="618"/>
      <c r="AA45" s="618"/>
    </row>
    <row r="46" spans="3:27">
      <c r="C46" s="618"/>
      <c r="D46" s="618"/>
      <c r="E46" s="618"/>
      <c r="F46" s="618"/>
      <c r="G46" s="618"/>
      <c r="H46" s="618"/>
      <c r="I46" s="618"/>
      <c r="J46" s="618"/>
      <c r="K46" s="618"/>
      <c r="L46" s="618"/>
      <c r="M46" s="618"/>
      <c r="N46" s="618"/>
      <c r="O46" s="618"/>
      <c r="P46" s="618"/>
      <c r="Q46" s="618"/>
      <c r="R46" s="618"/>
      <c r="S46" s="618"/>
      <c r="T46" s="618"/>
      <c r="U46" s="618"/>
      <c r="V46" s="618"/>
      <c r="W46" s="618"/>
      <c r="X46" s="618"/>
      <c r="Y46" s="618"/>
      <c r="Z46" s="618"/>
      <c r="AA46" s="618"/>
    </row>
    <row r="47" spans="3:27">
      <c r="C47" s="618"/>
      <c r="D47" s="618"/>
      <c r="E47" s="618"/>
      <c r="F47" s="618"/>
      <c r="G47" s="618"/>
      <c r="H47" s="618"/>
      <c r="I47" s="618"/>
      <c r="J47" s="618"/>
      <c r="K47" s="618"/>
      <c r="L47" s="618"/>
      <c r="M47" s="618"/>
      <c r="N47" s="618"/>
      <c r="O47" s="618"/>
      <c r="P47" s="618"/>
      <c r="Q47" s="618"/>
      <c r="R47" s="618"/>
      <c r="S47" s="618"/>
      <c r="T47" s="618"/>
      <c r="U47" s="618"/>
      <c r="V47" s="618"/>
      <c r="W47" s="618"/>
      <c r="X47" s="618"/>
      <c r="Y47" s="618"/>
      <c r="Z47" s="618"/>
      <c r="AA47" s="618"/>
    </row>
    <row r="48" spans="3:27">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row>
    <row r="49" spans="3:27">
      <c r="C49" s="618"/>
      <c r="D49" s="618"/>
      <c r="E49" s="618"/>
      <c r="F49" s="618"/>
      <c r="G49" s="618"/>
      <c r="H49" s="618"/>
      <c r="I49" s="618"/>
      <c r="J49" s="618"/>
      <c r="K49" s="618"/>
      <c r="L49" s="618"/>
      <c r="M49" s="618"/>
      <c r="N49" s="618"/>
      <c r="O49" s="618"/>
      <c r="P49" s="618"/>
      <c r="Q49" s="618"/>
      <c r="R49" s="618"/>
      <c r="S49" s="618"/>
      <c r="T49" s="618"/>
      <c r="U49" s="618"/>
      <c r="V49" s="618"/>
      <c r="W49" s="618"/>
      <c r="X49" s="618"/>
      <c r="Y49" s="618"/>
      <c r="Z49" s="618"/>
      <c r="AA49" s="618"/>
    </row>
    <row r="50" spans="3:27">
      <c r="C50" s="618"/>
      <c r="D50" s="618"/>
      <c r="E50" s="618"/>
      <c r="F50" s="618"/>
      <c r="G50" s="618"/>
      <c r="H50" s="618"/>
      <c r="I50" s="618"/>
      <c r="J50" s="618"/>
      <c r="K50" s="618"/>
      <c r="L50" s="618"/>
      <c r="M50" s="618"/>
      <c r="N50" s="618"/>
      <c r="O50" s="618"/>
      <c r="P50" s="618"/>
      <c r="Q50" s="618"/>
      <c r="R50" s="618"/>
      <c r="S50" s="618"/>
      <c r="T50" s="618"/>
      <c r="U50" s="618"/>
      <c r="V50" s="618"/>
      <c r="W50" s="618"/>
      <c r="X50" s="618"/>
      <c r="Y50" s="618"/>
      <c r="Z50" s="618"/>
      <c r="AA50" s="618"/>
    </row>
    <row r="51" spans="3:27">
      <c r="C51" s="618"/>
      <c r="D51" s="618"/>
      <c r="E51" s="618"/>
      <c r="F51" s="618"/>
      <c r="G51" s="618"/>
      <c r="H51" s="618"/>
      <c r="I51" s="618"/>
      <c r="J51" s="618"/>
      <c r="K51" s="618"/>
      <c r="L51" s="618"/>
      <c r="M51" s="618"/>
      <c r="N51" s="618"/>
      <c r="O51" s="618"/>
      <c r="P51" s="618"/>
      <c r="Q51" s="618"/>
      <c r="R51" s="618"/>
      <c r="S51" s="618"/>
      <c r="T51" s="618"/>
      <c r="U51" s="618"/>
      <c r="V51" s="618"/>
      <c r="W51" s="618"/>
      <c r="X51" s="618"/>
      <c r="Y51" s="618"/>
      <c r="Z51" s="618"/>
      <c r="AA51" s="618"/>
    </row>
    <row r="52" spans="3:27">
      <c r="C52" s="618"/>
    </row>
    <row r="53" spans="3:27">
      <c r="C53" s="618"/>
    </row>
    <row r="54" spans="3:27">
      <c r="C54" s="618"/>
    </row>
    <row r="55" spans="3:27">
      <c r="C55" s="618"/>
    </row>
    <row r="56" spans="3:27">
      <c r="C56" s="618"/>
    </row>
    <row r="57" spans="3:27">
      <c r="C57" s="618"/>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Footer>&amp;C_x000D_&amp;1#&amp;"Calibri"&amp;10&amp;K000000 C1 - FOR INTERNAL USE ONLY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0"/>
  <sheetViews>
    <sheetView showGridLines="0" zoomScale="80" zoomScaleNormal="80" workbookViewId="0">
      <selection activeCell="C30" sqref="C30:C31"/>
    </sheetView>
  </sheetViews>
  <sheetFormatPr defaultColWidth="9.21875" defaultRowHeight="12"/>
  <cols>
    <col min="1" max="1" width="11.77734375" style="370" bestFit="1" customWidth="1"/>
    <col min="2" max="2" width="90.21875" style="370" bestFit="1" customWidth="1"/>
    <col min="3" max="3" width="20.21875" style="370" customWidth="1"/>
    <col min="4" max="4" width="22.21875" style="370" customWidth="1"/>
    <col min="5" max="7" width="17.109375" style="370" customWidth="1"/>
    <col min="8" max="8" width="22.21875" style="370" customWidth="1"/>
    <col min="9" max="10" width="17.109375" style="370" customWidth="1"/>
    <col min="11" max="27" width="22.21875" style="370" customWidth="1"/>
    <col min="28" max="16384" width="9.21875" style="370"/>
  </cols>
  <sheetData>
    <row r="1" spans="1:27" ht="13.8">
      <c r="A1" s="295" t="s">
        <v>30</v>
      </c>
      <c r="B1" s="357" t="str">
        <f>'Info '!C2</f>
        <v xml:space="preserve">PASHA Bank Georgia JSC </v>
      </c>
    </row>
    <row r="2" spans="1:27">
      <c r="A2" s="295" t="s">
        <v>31</v>
      </c>
      <c r="B2" s="356">
        <f>'1. key ratios '!B2</f>
        <v>45838</v>
      </c>
    </row>
    <row r="3" spans="1:27">
      <c r="A3" s="296" t="s">
        <v>446</v>
      </c>
      <c r="C3" s="372"/>
    </row>
    <row r="4" spans="1:27" ht="12.6" thickBot="1">
      <c r="A4" s="296"/>
      <c r="B4" s="372"/>
      <c r="C4" s="372"/>
    </row>
    <row r="5" spans="1:27" ht="13.5" customHeight="1">
      <c r="A5" s="821" t="s">
        <v>652</v>
      </c>
      <c r="B5" s="822"/>
      <c r="C5" s="830" t="s">
        <v>651</v>
      </c>
      <c r="D5" s="831"/>
      <c r="E5" s="831"/>
      <c r="F5" s="831"/>
      <c r="G5" s="831"/>
      <c r="H5" s="831"/>
      <c r="I5" s="831"/>
      <c r="J5" s="831"/>
      <c r="K5" s="831"/>
      <c r="L5" s="831"/>
      <c r="M5" s="831"/>
      <c r="N5" s="831"/>
      <c r="O5" s="831"/>
      <c r="P5" s="831"/>
      <c r="Q5" s="831"/>
      <c r="R5" s="831"/>
      <c r="S5" s="832"/>
      <c r="T5" s="394"/>
      <c r="U5" s="394"/>
      <c r="V5" s="394"/>
      <c r="W5" s="394"/>
      <c r="X5" s="394"/>
      <c r="Y5" s="394"/>
      <c r="Z5" s="394"/>
      <c r="AA5" s="393"/>
    </row>
    <row r="6" spans="1:27" ht="12" customHeight="1">
      <c r="A6" s="823"/>
      <c r="B6" s="824"/>
      <c r="C6" s="827" t="s">
        <v>64</v>
      </c>
      <c r="D6" s="819" t="s">
        <v>648</v>
      </c>
      <c r="E6" s="819"/>
      <c r="F6" s="819"/>
      <c r="G6" s="819"/>
      <c r="H6" s="819" t="s">
        <v>647</v>
      </c>
      <c r="I6" s="819"/>
      <c r="J6" s="819"/>
      <c r="K6" s="819"/>
      <c r="L6" s="391"/>
      <c r="M6" s="820" t="s">
        <v>646</v>
      </c>
      <c r="N6" s="820"/>
      <c r="O6" s="820"/>
      <c r="P6" s="820"/>
      <c r="Q6" s="820"/>
      <c r="R6" s="820"/>
      <c r="S6" s="829"/>
      <c r="T6" s="394"/>
      <c r="U6" s="808" t="s">
        <v>645</v>
      </c>
      <c r="V6" s="808"/>
      <c r="W6" s="808"/>
      <c r="X6" s="808"/>
      <c r="Y6" s="808"/>
      <c r="Z6" s="808"/>
      <c r="AA6" s="801"/>
    </row>
    <row r="7" spans="1:27" ht="24">
      <c r="A7" s="825"/>
      <c r="B7" s="826"/>
      <c r="C7" s="828"/>
      <c r="D7" s="390"/>
      <c r="E7" s="367" t="s">
        <v>436</v>
      </c>
      <c r="F7" s="367" t="s">
        <v>643</v>
      </c>
      <c r="G7" s="369" t="s">
        <v>644</v>
      </c>
      <c r="H7" s="371"/>
      <c r="I7" s="367" t="s">
        <v>436</v>
      </c>
      <c r="J7" s="367" t="s">
        <v>643</v>
      </c>
      <c r="K7" s="369" t="s">
        <v>644</v>
      </c>
      <c r="L7" s="389"/>
      <c r="M7" s="367" t="s">
        <v>436</v>
      </c>
      <c r="N7" s="367" t="s">
        <v>643</v>
      </c>
      <c r="O7" s="367" t="s">
        <v>642</v>
      </c>
      <c r="P7" s="367" t="s">
        <v>641</v>
      </c>
      <c r="Q7" s="367" t="s">
        <v>640</v>
      </c>
      <c r="R7" s="367" t="s">
        <v>639</v>
      </c>
      <c r="S7" s="415" t="s">
        <v>638</v>
      </c>
      <c r="T7" s="414"/>
      <c r="U7" s="367" t="s">
        <v>436</v>
      </c>
      <c r="V7" s="367" t="s">
        <v>643</v>
      </c>
      <c r="W7" s="367" t="s">
        <v>642</v>
      </c>
      <c r="X7" s="367" t="s">
        <v>641</v>
      </c>
      <c r="Y7" s="367" t="s">
        <v>640</v>
      </c>
      <c r="Z7" s="367" t="s">
        <v>639</v>
      </c>
      <c r="AA7" s="367" t="s">
        <v>638</v>
      </c>
    </row>
    <row r="8" spans="1:27">
      <c r="A8" s="413">
        <v>1</v>
      </c>
      <c r="B8" s="412" t="s">
        <v>437</v>
      </c>
      <c r="C8" s="619">
        <v>355389603.29269999</v>
      </c>
      <c r="D8" s="620">
        <v>316029875.55080003</v>
      </c>
      <c r="E8" s="620">
        <v>5476322.6156000001</v>
      </c>
      <c r="F8" s="620">
        <v>0</v>
      </c>
      <c r="G8" s="620">
        <v>4857363.858</v>
      </c>
      <c r="H8" s="620">
        <v>8212264.3771000002</v>
      </c>
      <c r="I8" s="620">
        <v>0</v>
      </c>
      <c r="J8" s="620">
        <v>3702157.7522999998</v>
      </c>
      <c r="K8" s="620">
        <v>0</v>
      </c>
      <c r="L8" s="620">
        <v>28596078.019000001</v>
      </c>
      <c r="M8" s="620">
        <v>302.93</v>
      </c>
      <c r="N8" s="620">
        <v>1399.5</v>
      </c>
      <c r="O8" s="620">
        <v>702.6</v>
      </c>
      <c r="P8" s="620">
        <v>4154939.9969000001</v>
      </c>
      <c r="Q8" s="620">
        <v>2630816.6653999998</v>
      </c>
      <c r="R8" s="620">
        <v>11759472.317500001</v>
      </c>
      <c r="S8" s="620">
        <v>0</v>
      </c>
      <c r="T8" s="620">
        <v>2551385.3457999998</v>
      </c>
      <c r="U8" s="620">
        <v>0</v>
      </c>
      <c r="V8" s="620">
        <v>0</v>
      </c>
      <c r="W8" s="620">
        <v>0</v>
      </c>
      <c r="X8" s="620">
        <v>0</v>
      </c>
      <c r="Y8" s="620">
        <v>0</v>
      </c>
      <c r="Z8" s="620">
        <v>2551385.3457999998</v>
      </c>
      <c r="AA8" s="621">
        <v>0</v>
      </c>
    </row>
    <row r="9" spans="1:27">
      <c r="A9" s="405">
        <v>1.1000000000000001</v>
      </c>
      <c r="B9" s="411" t="s">
        <v>447</v>
      </c>
      <c r="C9" s="622">
        <v>339561987.39249998</v>
      </c>
      <c r="D9" s="620">
        <v>300240515.38679999</v>
      </c>
      <c r="E9" s="620">
        <v>5476322.6156000001</v>
      </c>
      <c r="F9" s="620">
        <v>0</v>
      </c>
      <c r="G9" s="620">
        <v>4856122.08</v>
      </c>
      <c r="H9" s="620">
        <v>8212264.3771000002</v>
      </c>
      <c r="I9" s="620">
        <v>0</v>
      </c>
      <c r="J9" s="620">
        <v>3702157.7522999998</v>
      </c>
      <c r="K9" s="620">
        <v>0</v>
      </c>
      <c r="L9" s="620">
        <v>28557822.2828</v>
      </c>
      <c r="M9" s="620">
        <v>0</v>
      </c>
      <c r="N9" s="620">
        <v>0</v>
      </c>
      <c r="O9" s="620">
        <v>0</v>
      </c>
      <c r="P9" s="620">
        <v>4141127.2768999999</v>
      </c>
      <c r="Q9" s="620">
        <v>2630816.7291999999</v>
      </c>
      <c r="R9" s="620">
        <v>11759472.317500001</v>
      </c>
      <c r="S9" s="620">
        <v>0</v>
      </c>
      <c r="T9" s="620">
        <v>2551385.3457999998</v>
      </c>
      <c r="U9" s="620">
        <v>0</v>
      </c>
      <c r="V9" s="620">
        <v>0</v>
      </c>
      <c r="W9" s="620">
        <v>0</v>
      </c>
      <c r="X9" s="620">
        <v>0</v>
      </c>
      <c r="Y9" s="620">
        <v>0</v>
      </c>
      <c r="Z9" s="620">
        <v>2551385.3457999998</v>
      </c>
      <c r="AA9" s="621">
        <v>0</v>
      </c>
    </row>
    <row r="10" spans="1:27">
      <c r="A10" s="409" t="s">
        <v>14</v>
      </c>
      <c r="B10" s="410" t="s">
        <v>448</v>
      </c>
      <c r="C10" s="623">
        <v>232347137.41729999</v>
      </c>
      <c r="D10" s="620">
        <v>193189081.41159999</v>
      </c>
      <c r="E10" s="620">
        <v>5476322.6156000001</v>
      </c>
      <c r="F10" s="620">
        <v>0</v>
      </c>
      <c r="G10" s="620">
        <v>4856122.08</v>
      </c>
      <c r="H10" s="620">
        <v>8212264.3771000002</v>
      </c>
      <c r="I10" s="620">
        <v>0</v>
      </c>
      <c r="J10" s="620">
        <v>3702157.7522999998</v>
      </c>
      <c r="K10" s="620">
        <v>0</v>
      </c>
      <c r="L10" s="620">
        <v>28394406.2828</v>
      </c>
      <c r="M10" s="620">
        <v>0</v>
      </c>
      <c r="N10" s="620">
        <v>0</v>
      </c>
      <c r="O10" s="620">
        <v>0</v>
      </c>
      <c r="P10" s="620">
        <v>4141127.2768999999</v>
      </c>
      <c r="Q10" s="620">
        <v>2630816.7291999999</v>
      </c>
      <c r="R10" s="620">
        <v>11596056.317500001</v>
      </c>
      <c r="S10" s="620">
        <v>0</v>
      </c>
      <c r="T10" s="620">
        <v>2551385.3457999998</v>
      </c>
      <c r="U10" s="620">
        <v>0</v>
      </c>
      <c r="V10" s="620">
        <v>0</v>
      </c>
      <c r="W10" s="620">
        <v>0</v>
      </c>
      <c r="X10" s="620">
        <v>0</v>
      </c>
      <c r="Y10" s="620">
        <v>0</v>
      </c>
      <c r="Z10" s="620">
        <v>2551385.3457999998</v>
      </c>
      <c r="AA10" s="621">
        <v>0</v>
      </c>
    </row>
    <row r="11" spans="1:27">
      <c r="A11" s="407" t="s">
        <v>449</v>
      </c>
      <c r="B11" s="408" t="s">
        <v>450</v>
      </c>
      <c r="C11" s="624">
        <v>101984203.8389</v>
      </c>
      <c r="D11" s="620">
        <v>86740112.771500006</v>
      </c>
      <c r="E11" s="620">
        <v>5476322.6156000001</v>
      </c>
      <c r="F11" s="620">
        <v>0</v>
      </c>
      <c r="G11" s="620">
        <v>0</v>
      </c>
      <c r="H11" s="620">
        <v>7159868.8777999999</v>
      </c>
      <c r="I11" s="620">
        <v>0</v>
      </c>
      <c r="J11" s="620">
        <v>3702157.7522999998</v>
      </c>
      <c r="K11" s="620">
        <v>0</v>
      </c>
      <c r="L11" s="620">
        <v>8084222.1896000002</v>
      </c>
      <c r="M11" s="620">
        <v>0</v>
      </c>
      <c r="N11" s="620">
        <v>0</v>
      </c>
      <c r="O11" s="620">
        <v>0</v>
      </c>
      <c r="P11" s="620">
        <v>2160030.969</v>
      </c>
      <c r="Q11" s="620">
        <v>2630816.7291999999</v>
      </c>
      <c r="R11" s="620">
        <v>2151826.5554</v>
      </c>
      <c r="S11" s="620">
        <v>0</v>
      </c>
      <c r="T11" s="620">
        <v>0</v>
      </c>
      <c r="U11" s="620">
        <v>0</v>
      </c>
      <c r="V11" s="620">
        <v>0</v>
      </c>
      <c r="W11" s="620">
        <v>0</v>
      </c>
      <c r="X11" s="620">
        <v>0</v>
      </c>
      <c r="Y11" s="620">
        <v>0</v>
      </c>
      <c r="Z11" s="620">
        <v>0</v>
      </c>
      <c r="AA11" s="621">
        <v>0</v>
      </c>
    </row>
    <row r="12" spans="1:27">
      <c r="A12" s="407" t="s">
        <v>451</v>
      </c>
      <c r="B12" s="408" t="s">
        <v>452</v>
      </c>
      <c r="C12" s="624">
        <v>56503166.256899998</v>
      </c>
      <c r="D12" s="620">
        <v>51331638.306900002</v>
      </c>
      <c r="E12" s="620">
        <v>0</v>
      </c>
      <c r="F12" s="620">
        <v>0</v>
      </c>
      <c r="G12" s="620">
        <v>0</v>
      </c>
      <c r="H12" s="620">
        <v>0</v>
      </c>
      <c r="I12" s="620">
        <v>0</v>
      </c>
      <c r="J12" s="620">
        <v>0</v>
      </c>
      <c r="K12" s="620">
        <v>0</v>
      </c>
      <c r="L12" s="620">
        <v>5171527.95</v>
      </c>
      <c r="M12" s="620">
        <v>0</v>
      </c>
      <c r="N12" s="620">
        <v>0</v>
      </c>
      <c r="O12" s="620">
        <v>0</v>
      </c>
      <c r="P12" s="620">
        <v>0</v>
      </c>
      <c r="Q12" s="620">
        <v>0</v>
      </c>
      <c r="R12" s="620">
        <v>5171527.95</v>
      </c>
      <c r="S12" s="620">
        <v>0</v>
      </c>
      <c r="T12" s="620">
        <v>0</v>
      </c>
      <c r="U12" s="620">
        <v>0</v>
      </c>
      <c r="V12" s="620">
        <v>0</v>
      </c>
      <c r="W12" s="620">
        <v>0</v>
      </c>
      <c r="X12" s="620">
        <v>0</v>
      </c>
      <c r="Y12" s="620">
        <v>0</v>
      </c>
      <c r="Z12" s="620">
        <v>0</v>
      </c>
      <c r="AA12" s="621">
        <v>0</v>
      </c>
    </row>
    <row r="13" spans="1:27">
      <c r="A13" s="407" t="s">
        <v>453</v>
      </c>
      <c r="B13" s="408" t="s">
        <v>454</v>
      </c>
      <c r="C13" s="624">
        <v>13771025.623199999</v>
      </c>
      <c r="D13" s="620">
        <v>4739125.54</v>
      </c>
      <c r="E13" s="620">
        <v>0</v>
      </c>
      <c r="F13" s="620">
        <v>0</v>
      </c>
      <c r="G13" s="620">
        <v>0</v>
      </c>
      <c r="H13" s="620">
        <v>0</v>
      </c>
      <c r="I13" s="620">
        <v>0</v>
      </c>
      <c r="J13" s="620">
        <v>0</v>
      </c>
      <c r="K13" s="620">
        <v>0</v>
      </c>
      <c r="L13" s="620">
        <v>9031900.0832000002</v>
      </c>
      <c r="M13" s="620">
        <v>0</v>
      </c>
      <c r="N13" s="620">
        <v>0</v>
      </c>
      <c r="O13" s="620">
        <v>0</v>
      </c>
      <c r="P13" s="620">
        <v>0</v>
      </c>
      <c r="Q13" s="620">
        <v>0</v>
      </c>
      <c r="R13" s="620">
        <v>144662.3751</v>
      </c>
      <c r="S13" s="620">
        <v>0</v>
      </c>
      <c r="T13" s="620">
        <v>0</v>
      </c>
      <c r="U13" s="620">
        <v>0</v>
      </c>
      <c r="V13" s="620">
        <v>0</v>
      </c>
      <c r="W13" s="620">
        <v>0</v>
      </c>
      <c r="X13" s="620">
        <v>0</v>
      </c>
      <c r="Y13" s="620">
        <v>0</v>
      </c>
      <c r="Z13" s="620">
        <v>0</v>
      </c>
      <c r="AA13" s="621">
        <v>0</v>
      </c>
    </row>
    <row r="14" spans="1:27">
      <c r="A14" s="407" t="s">
        <v>455</v>
      </c>
      <c r="B14" s="408" t="s">
        <v>456</v>
      </c>
      <c r="C14" s="624">
        <v>60363728.6932</v>
      </c>
      <c r="D14" s="620">
        <v>50643026.222099997</v>
      </c>
      <c r="E14" s="620">
        <v>0</v>
      </c>
      <c r="F14" s="620">
        <v>0</v>
      </c>
      <c r="G14" s="620">
        <v>4856122.08</v>
      </c>
      <c r="H14" s="620">
        <v>1055228.0160000001</v>
      </c>
      <c r="I14" s="620">
        <v>0</v>
      </c>
      <c r="J14" s="620">
        <v>0</v>
      </c>
      <c r="K14" s="620">
        <v>0</v>
      </c>
      <c r="L14" s="620">
        <v>6114089.1092999997</v>
      </c>
      <c r="M14" s="620">
        <v>0</v>
      </c>
      <c r="N14" s="620">
        <v>0</v>
      </c>
      <c r="O14" s="620">
        <v>0</v>
      </c>
      <c r="P14" s="620">
        <v>1981096.3078999999</v>
      </c>
      <c r="Q14" s="620">
        <v>0</v>
      </c>
      <c r="R14" s="620">
        <v>4132992.8014000002</v>
      </c>
      <c r="S14" s="620">
        <v>0</v>
      </c>
      <c r="T14" s="620">
        <v>2551385.3457999998</v>
      </c>
      <c r="U14" s="620">
        <v>0</v>
      </c>
      <c r="V14" s="620">
        <v>0</v>
      </c>
      <c r="W14" s="620">
        <v>0</v>
      </c>
      <c r="X14" s="620">
        <v>0</v>
      </c>
      <c r="Y14" s="620">
        <v>0</v>
      </c>
      <c r="Z14" s="620">
        <v>2551385.3457999998</v>
      </c>
      <c r="AA14" s="621">
        <v>0</v>
      </c>
    </row>
    <row r="15" spans="1:27">
      <c r="A15" s="406">
        <v>1.2</v>
      </c>
      <c r="B15" s="404" t="s">
        <v>650</v>
      </c>
      <c r="C15" s="622">
        <v>11441728.954700001</v>
      </c>
      <c r="D15" s="620">
        <v>1438256.5275000001</v>
      </c>
      <c r="E15" s="620">
        <v>12959.555700000001</v>
      </c>
      <c r="F15" s="620">
        <v>0</v>
      </c>
      <c r="G15" s="620">
        <v>17344.6113</v>
      </c>
      <c r="H15" s="620">
        <v>263669.55320000002</v>
      </c>
      <c r="I15" s="620">
        <v>0</v>
      </c>
      <c r="J15" s="620">
        <v>12317.159600000001</v>
      </c>
      <c r="K15" s="620">
        <v>0</v>
      </c>
      <c r="L15" s="620">
        <v>8525624.1218999997</v>
      </c>
      <c r="M15" s="620">
        <v>0</v>
      </c>
      <c r="N15" s="620">
        <v>0</v>
      </c>
      <c r="O15" s="620">
        <v>0</v>
      </c>
      <c r="P15" s="620">
        <v>2183874.5236</v>
      </c>
      <c r="Q15" s="620">
        <v>238999.25349999999</v>
      </c>
      <c r="R15" s="620">
        <v>1968464.4705000001</v>
      </c>
      <c r="S15" s="620">
        <v>0</v>
      </c>
      <c r="T15" s="620">
        <v>1214178.7520999999</v>
      </c>
      <c r="U15" s="620">
        <v>0</v>
      </c>
      <c r="V15" s="620">
        <v>0</v>
      </c>
      <c r="W15" s="620">
        <v>0</v>
      </c>
      <c r="X15" s="620">
        <v>0</v>
      </c>
      <c r="Y15" s="620">
        <v>0</v>
      </c>
      <c r="Z15" s="620">
        <v>1214178.7520999999</v>
      </c>
      <c r="AA15" s="621">
        <v>0</v>
      </c>
    </row>
    <row r="16" spans="1:27">
      <c r="A16" s="405">
        <v>1.3</v>
      </c>
      <c r="B16" s="404" t="s">
        <v>495</v>
      </c>
      <c r="C16" s="625"/>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7"/>
    </row>
    <row r="17" spans="1:27">
      <c r="A17" s="401" t="s">
        <v>457</v>
      </c>
      <c r="B17" s="403" t="s">
        <v>458</v>
      </c>
      <c r="C17" s="628">
        <v>212552269.8125</v>
      </c>
      <c r="D17" s="620">
        <v>175870994.49169999</v>
      </c>
      <c r="E17" s="620">
        <v>5476322.6156000001</v>
      </c>
      <c r="F17" s="620">
        <v>0</v>
      </c>
      <c r="G17" s="620">
        <v>4856122.08</v>
      </c>
      <c r="H17" s="620">
        <v>7660349.0371000003</v>
      </c>
      <c r="I17" s="620">
        <v>0</v>
      </c>
      <c r="J17" s="620">
        <v>3611770.76</v>
      </c>
      <c r="K17" s="620">
        <v>0</v>
      </c>
      <c r="L17" s="620">
        <v>24441057.929299999</v>
      </c>
      <c r="M17" s="620">
        <v>0</v>
      </c>
      <c r="N17" s="620">
        <v>0</v>
      </c>
      <c r="O17" s="620">
        <v>0</v>
      </c>
      <c r="P17" s="620">
        <v>2247031.9575999998</v>
      </c>
      <c r="Q17" s="620">
        <v>2389992.534</v>
      </c>
      <c r="R17" s="620">
        <v>9840008.8907999992</v>
      </c>
      <c r="S17" s="620">
        <v>0</v>
      </c>
      <c r="T17" s="620">
        <v>2326559.8259000001</v>
      </c>
      <c r="U17" s="620">
        <v>0</v>
      </c>
      <c r="V17" s="620">
        <v>0</v>
      </c>
      <c r="W17" s="620">
        <v>0</v>
      </c>
      <c r="X17" s="620">
        <v>0</v>
      </c>
      <c r="Y17" s="620">
        <v>0</v>
      </c>
      <c r="Z17" s="620">
        <v>2326559.8259000001</v>
      </c>
      <c r="AA17" s="621">
        <v>0</v>
      </c>
    </row>
    <row r="18" spans="1:27">
      <c r="A18" s="399" t="s">
        <v>459</v>
      </c>
      <c r="B18" s="400" t="s">
        <v>460</v>
      </c>
      <c r="C18" s="629">
        <v>210045881.13409999</v>
      </c>
      <c r="D18" s="620">
        <v>173364605.81330001</v>
      </c>
      <c r="E18" s="620">
        <v>5476322.6156000001</v>
      </c>
      <c r="F18" s="620">
        <v>0</v>
      </c>
      <c r="G18" s="620">
        <v>4856122.08</v>
      </c>
      <c r="H18" s="620">
        <v>7660349.0371000003</v>
      </c>
      <c r="I18" s="620">
        <v>0</v>
      </c>
      <c r="J18" s="620">
        <v>3611770.76</v>
      </c>
      <c r="K18" s="620">
        <v>0</v>
      </c>
      <c r="L18" s="620">
        <v>24441057.929299999</v>
      </c>
      <c r="M18" s="620">
        <v>0</v>
      </c>
      <c r="N18" s="620">
        <v>0</v>
      </c>
      <c r="O18" s="620">
        <v>0</v>
      </c>
      <c r="P18" s="620">
        <v>2247031.9575999998</v>
      </c>
      <c r="Q18" s="620">
        <v>2389992.534</v>
      </c>
      <c r="R18" s="620">
        <v>9840008.8907999992</v>
      </c>
      <c r="S18" s="620">
        <v>0</v>
      </c>
      <c r="T18" s="620">
        <v>2326559.8259000001</v>
      </c>
      <c r="U18" s="620">
        <v>0</v>
      </c>
      <c r="V18" s="620">
        <v>0</v>
      </c>
      <c r="W18" s="620">
        <v>0</v>
      </c>
      <c r="X18" s="620">
        <v>0</v>
      </c>
      <c r="Y18" s="620">
        <v>0</v>
      </c>
      <c r="Z18" s="620">
        <v>2326559.8259000001</v>
      </c>
      <c r="AA18" s="621">
        <v>0</v>
      </c>
    </row>
    <row r="19" spans="1:27">
      <c r="A19" s="401" t="s">
        <v>461</v>
      </c>
      <c r="B19" s="402" t="s">
        <v>462</v>
      </c>
      <c r="C19" s="630">
        <v>307871543.0948</v>
      </c>
      <c r="D19" s="620">
        <v>279489901.51810002</v>
      </c>
      <c r="E19" s="620">
        <v>2818375.1468000002</v>
      </c>
      <c r="F19" s="620">
        <v>0</v>
      </c>
      <c r="G19" s="620">
        <v>835541.28159999999</v>
      </c>
      <c r="H19" s="620">
        <v>10268422.9001</v>
      </c>
      <c r="I19" s="620">
        <v>0</v>
      </c>
      <c r="J19" s="620">
        <v>3890585.3837000001</v>
      </c>
      <c r="K19" s="620">
        <v>0</v>
      </c>
      <c r="L19" s="620">
        <v>18113218.676600002</v>
      </c>
      <c r="M19" s="620">
        <v>0</v>
      </c>
      <c r="N19" s="620">
        <v>0</v>
      </c>
      <c r="O19" s="620">
        <v>0</v>
      </c>
      <c r="P19" s="620">
        <v>3773977.2371</v>
      </c>
      <c r="Q19" s="620">
        <v>7222268.2797999997</v>
      </c>
      <c r="R19" s="620">
        <v>3778571.9413999999</v>
      </c>
      <c r="S19" s="620">
        <v>0</v>
      </c>
      <c r="T19" s="620">
        <v>0</v>
      </c>
      <c r="U19" s="620">
        <v>0</v>
      </c>
      <c r="V19" s="620">
        <v>0</v>
      </c>
      <c r="W19" s="620">
        <v>0</v>
      </c>
      <c r="X19" s="620">
        <v>0</v>
      </c>
      <c r="Y19" s="620">
        <v>0</v>
      </c>
      <c r="Z19" s="620">
        <v>0</v>
      </c>
      <c r="AA19" s="621">
        <v>0</v>
      </c>
    </row>
    <row r="20" spans="1:27">
      <c r="A20" s="399" t="s">
        <v>463</v>
      </c>
      <c r="B20" s="400" t="s">
        <v>460</v>
      </c>
      <c r="C20" s="629">
        <v>285154353.148</v>
      </c>
      <c r="D20" s="620">
        <v>257529290.2748</v>
      </c>
      <c r="E20" s="620">
        <v>2818375.1468000002</v>
      </c>
      <c r="F20" s="620">
        <v>0</v>
      </c>
      <c r="G20" s="620">
        <v>0</v>
      </c>
      <c r="H20" s="620">
        <v>10268422.9001</v>
      </c>
      <c r="I20" s="620">
        <v>0</v>
      </c>
      <c r="J20" s="620">
        <v>3890585.3837000001</v>
      </c>
      <c r="K20" s="620">
        <v>0</v>
      </c>
      <c r="L20" s="620">
        <v>17356639.973099999</v>
      </c>
      <c r="M20" s="620">
        <v>0</v>
      </c>
      <c r="N20" s="620">
        <v>0</v>
      </c>
      <c r="O20" s="620">
        <v>0</v>
      </c>
      <c r="P20" s="620">
        <v>3693631.5677</v>
      </c>
      <c r="Q20" s="620">
        <v>7008881.1605000002</v>
      </c>
      <c r="R20" s="620">
        <v>3778571.9413999999</v>
      </c>
      <c r="S20" s="620">
        <v>0</v>
      </c>
      <c r="T20" s="620">
        <v>0</v>
      </c>
      <c r="U20" s="620">
        <v>0</v>
      </c>
      <c r="V20" s="620">
        <v>0</v>
      </c>
      <c r="W20" s="620">
        <v>0</v>
      </c>
      <c r="X20" s="620">
        <v>0</v>
      </c>
      <c r="Y20" s="620">
        <v>0</v>
      </c>
      <c r="Z20" s="620">
        <v>0</v>
      </c>
      <c r="AA20" s="621">
        <v>0</v>
      </c>
    </row>
    <row r="21" spans="1:27">
      <c r="A21" s="398">
        <v>1.4</v>
      </c>
      <c r="B21" s="397" t="s">
        <v>464</v>
      </c>
      <c r="C21" s="631"/>
      <c r="D21" s="620"/>
      <c r="E21" s="620"/>
      <c r="F21" s="620"/>
      <c r="G21" s="620"/>
      <c r="H21" s="620"/>
      <c r="I21" s="620"/>
      <c r="J21" s="620"/>
      <c r="K21" s="620"/>
      <c r="L21" s="620"/>
      <c r="M21" s="620"/>
      <c r="N21" s="620"/>
      <c r="O21" s="620"/>
      <c r="P21" s="620"/>
      <c r="Q21" s="620"/>
      <c r="R21" s="620"/>
      <c r="S21" s="620"/>
      <c r="T21" s="620"/>
      <c r="U21" s="620"/>
      <c r="V21" s="620"/>
      <c r="W21" s="620"/>
      <c r="X21" s="620"/>
      <c r="Y21" s="620"/>
      <c r="Z21" s="620"/>
      <c r="AA21" s="621"/>
    </row>
    <row r="22" spans="1:27" ht="12.6" thickBot="1">
      <c r="A22" s="396">
        <v>1.5</v>
      </c>
      <c r="B22" s="395" t="s">
        <v>465</v>
      </c>
      <c r="C22" s="632">
        <v>477129.75349999999</v>
      </c>
      <c r="D22" s="633">
        <v>477129.75349999999</v>
      </c>
      <c r="E22" s="633">
        <v>0</v>
      </c>
      <c r="F22" s="633">
        <v>0</v>
      </c>
      <c r="G22" s="633">
        <v>0</v>
      </c>
      <c r="H22" s="633">
        <v>0</v>
      </c>
      <c r="I22" s="633">
        <v>0</v>
      </c>
      <c r="J22" s="633">
        <v>0</v>
      </c>
      <c r="K22" s="633">
        <v>0</v>
      </c>
      <c r="L22" s="633">
        <v>0</v>
      </c>
      <c r="M22" s="633">
        <v>0</v>
      </c>
      <c r="N22" s="633">
        <v>0</v>
      </c>
      <c r="O22" s="633">
        <v>0</v>
      </c>
      <c r="P22" s="633">
        <v>0</v>
      </c>
      <c r="Q22" s="633">
        <v>0</v>
      </c>
      <c r="R22" s="633">
        <v>0</v>
      </c>
      <c r="S22" s="633">
        <v>0</v>
      </c>
      <c r="T22" s="633">
        <v>0</v>
      </c>
      <c r="U22" s="633">
        <v>0</v>
      </c>
      <c r="V22" s="633">
        <v>0</v>
      </c>
      <c r="W22" s="633">
        <v>0</v>
      </c>
      <c r="X22" s="633">
        <v>0</v>
      </c>
      <c r="Y22" s="633">
        <v>0</v>
      </c>
      <c r="Z22" s="633">
        <v>0</v>
      </c>
      <c r="AA22" s="634">
        <v>0</v>
      </c>
    </row>
    <row r="25" spans="1:27">
      <c r="C25" s="635"/>
      <c r="D25" s="635"/>
      <c r="E25" s="635"/>
      <c r="F25" s="635"/>
      <c r="G25" s="635"/>
      <c r="H25" s="635"/>
      <c r="I25" s="635"/>
      <c r="J25" s="635"/>
      <c r="K25" s="635"/>
      <c r="L25" s="635"/>
      <c r="M25" s="635"/>
      <c r="N25" s="635"/>
      <c r="O25" s="635"/>
      <c r="P25" s="635"/>
      <c r="Q25" s="635"/>
      <c r="R25" s="635"/>
      <c r="S25" s="635"/>
      <c r="T25" s="635"/>
      <c r="U25" s="635"/>
      <c r="V25" s="635"/>
      <c r="W25" s="635"/>
      <c r="X25" s="635"/>
      <c r="Y25" s="635"/>
      <c r="Z25" s="635"/>
      <c r="AA25" s="635"/>
    </row>
    <row r="26" spans="1:27">
      <c r="C26" s="635"/>
      <c r="D26" s="635"/>
      <c r="E26" s="635"/>
      <c r="F26" s="635"/>
      <c r="G26" s="635"/>
      <c r="H26" s="635"/>
      <c r="I26" s="635"/>
      <c r="J26" s="635"/>
      <c r="K26" s="635"/>
      <c r="L26" s="635"/>
      <c r="M26" s="635"/>
      <c r="N26" s="635"/>
      <c r="O26" s="635"/>
      <c r="P26" s="635"/>
      <c r="Q26" s="635"/>
      <c r="R26" s="635"/>
      <c r="S26" s="635"/>
      <c r="T26" s="635"/>
      <c r="U26" s="635"/>
      <c r="V26" s="635"/>
      <c r="W26" s="635"/>
      <c r="X26" s="635"/>
      <c r="Y26" s="635"/>
      <c r="Z26" s="635"/>
      <c r="AA26" s="635"/>
    </row>
    <row r="27" spans="1:27">
      <c r="C27" s="635"/>
      <c r="D27" s="635"/>
      <c r="E27" s="635"/>
      <c r="F27" s="635"/>
      <c r="G27" s="635"/>
      <c r="H27" s="635"/>
      <c r="I27" s="635"/>
      <c r="J27" s="635"/>
      <c r="K27" s="635"/>
      <c r="L27" s="635"/>
      <c r="M27" s="635"/>
      <c r="N27" s="635"/>
      <c r="O27" s="635"/>
      <c r="P27" s="635"/>
      <c r="Q27" s="635"/>
      <c r="R27" s="635"/>
      <c r="S27" s="635"/>
      <c r="T27" s="635"/>
      <c r="U27" s="635"/>
      <c r="V27" s="635"/>
      <c r="W27" s="635"/>
      <c r="X27" s="635"/>
      <c r="Y27" s="635"/>
      <c r="Z27" s="635"/>
      <c r="AA27" s="635"/>
    </row>
    <row r="28" spans="1:27">
      <c r="C28" s="635"/>
      <c r="D28" s="635"/>
      <c r="E28" s="635"/>
      <c r="F28" s="635"/>
      <c r="G28" s="635"/>
      <c r="H28" s="635"/>
      <c r="I28" s="635"/>
      <c r="J28" s="635"/>
      <c r="K28" s="635"/>
      <c r="L28" s="635"/>
      <c r="M28" s="635"/>
      <c r="N28" s="635"/>
      <c r="O28" s="635"/>
      <c r="P28" s="635"/>
      <c r="Q28" s="635"/>
      <c r="R28" s="635"/>
      <c r="S28" s="635"/>
      <c r="T28" s="635"/>
      <c r="U28" s="635"/>
      <c r="V28" s="635"/>
      <c r="W28" s="635"/>
      <c r="X28" s="635"/>
      <c r="Y28" s="635"/>
      <c r="Z28" s="635"/>
      <c r="AA28" s="635"/>
    </row>
    <row r="29" spans="1:27">
      <c r="C29" s="635"/>
      <c r="D29" s="635"/>
      <c r="E29" s="635"/>
      <c r="F29" s="635"/>
      <c r="G29" s="635"/>
      <c r="H29" s="635"/>
      <c r="I29" s="635"/>
      <c r="J29" s="635"/>
      <c r="K29" s="635"/>
      <c r="L29" s="635"/>
      <c r="M29" s="635"/>
      <c r="N29" s="635"/>
      <c r="O29" s="635"/>
      <c r="P29" s="635"/>
      <c r="Q29" s="635"/>
      <c r="R29" s="635"/>
      <c r="S29" s="635"/>
      <c r="T29" s="635"/>
      <c r="U29" s="635"/>
      <c r="V29" s="635"/>
      <c r="W29" s="635"/>
      <c r="X29" s="635"/>
      <c r="Y29" s="635"/>
      <c r="Z29" s="635"/>
      <c r="AA29" s="635"/>
    </row>
    <row r="30" spans="1:27">
      <c r="C30" s="635"/>
      <c r="D30" s="635"/>
      <c r="E30" s="635"/>
      <c r="F30" s="635"/>
      <c r="G30" s="635"/>
      <c r="H30" s="635"/>
      <c r="I30" s="635"/>
      <c r="J30" s="635"/>
      <c r="K30" s="635"/>
      <c r="L30" s="635"/>
      <c r="M30" s="635"/>
      <c r="N30" s="635"/>
      <c r="O30" s="635"/>
      <c r="P30" s="635"/>
      <c r="Q30" s="635"/>
      <c r="R30" s="635"/>
      <c r="S30" s="635"/>
      <c r="T30" s="635"/>
      <c r="U30" s="635"/>
      <c r="V30" s="635"/>
      <c r="W30" s="635"/>
      <c r="X30" s="635"/>
      <c r="Y30" s="635"/>
      <c r="Z30" s="635"/>
      <c r="AA30" s="635"/>
    </row>
    <row r="31" spans="1:27">
      <c r="C31" s="635"/>
      <c r="D31" s="635"/>
      <c r="E31" s="635"/>
      <c r="F31" s="635"/>
      <c r="G31" s="635"/>
      <c r="H31" s="635"/>
      <c r="I31" s="635"/>
      <c r="J31" s="635"/>
      <c r="K31" s="635"/>
      <c r="L31" s="635"/>
      <c r="M31" s="635"/>
      <c r="N31" s="635"/>
      <c r="O31" s="635"/>
      <c r="P31" s="635"/>
      <c r="Q31" s="635"/>
      <c r="R31" s="635"/>
      <c r="S31" s="635"/>
      <c r="T31" s="635"/>
      <c r="U31" s="635"/>
      <c r="V31" s="635"/>
      <c r="W31" s="635"/>
      <c r="X31" s="635"/>
      <c r="Y31" s="635"/>
      <c r="Z31" s="635"/>
      <c r="AA31" s="635"/>
    </row>
    <row r="32" spans="1:27">
      <c r="C32" s="635"/>
      <c r="D32" s="635"/>
      <c r="E32" s="635"/>
      <c r="F32" s="635"/>
      <c r="G32" s="635"/>
      <c r="H32" s="635"/>
      <c r="I32" s="635"/>
      <c r="J32" s="635"/>
      <c r="K32" s="635"/>
      <c r="L32" s="635"/>
      <c r="M32" s="635"/>
      <c r="N32" s="635"/>
      <c r="O32" s="635"/>
      <c r="P32" s="635"/>
      <c r="Q32" s="635"/>
      <c r="R32" s="635"/>
      <c r="S32" s="635"/>
      <c r="T32" s="635"/>
      <c r="U32" s="635"/>
      <c r="V32" s="635"/>
      <c r="W32" s="635"/>
      <c r="X32" s="635"/>
      <c r="Y32" s="635"/>
      <c r="Z32" s="635"/>
      <c r="AA32" s="635"/>
    </row>
    <row r="33" spans="3:27">
      <c r="C33" s="635"/>
      <c r="D33" s="635"/>
      <c r="E33" s="635"/>
      <c r="F33" s="635"/>
      <c r="G33" s="635"/>
      <c r="H33" s="635"/>
      <c r="I33" s="635"/>
      <c r="J33" s="635"/>
      <c r="K33" s="635"/>
      <c r="L33" s="635"/>
      <c r="M33" s="635"/>
      <c r="N33" s="635"/>
      <c r="O33" s="635"/>
      <c r="P33" s="635"/>
      <c r="Q33" s="635"/>
      <c r="R33" s="635"/>
      <c r="S33" s="635"/>
      <c r="T33" s="635"/>
      <c r="U33" s="635"/>
      <c r="V33" s="635"/>
      <c r="W33" s="635"/>
      <c r="X33" s="635"/>
      <c r="Y33" s="635"/>
      <c r="Z33" s="635"/>
      <c r="AA33" s="635"/>
    </row>
    <row r="34" spans="3:27">
      <c r="C34" s="635"/>
      <c r="D34" s="635"/>
      <c r="E34" s="635"/>
      <c r="F34" s="635"/>
      <c r="G34" s="635"/>
      <c r="H34" s="635"/>
      <c r="I34" s="635"/>
      <c r="J34" s="635"/>
      <c r="K34" s="635"/>
      <c r="L34" s="635"/>
      <c r="M34" s="635"/>
      <c r="N34" s="635"/>
      <c r="O34" s="635"/>
      <c r="P34" s="635"/>
      <c r="Q34" s="635"/>
      <c r="R34" s="635"/>
      <c r="S34" s="635"/>
      <c r="T34" s="635"/>
      <c r="U34" s="635"/>
      <c r="V34" s="635"/>
      <c r="W34" s="635"/>
      <c r="X34" s="635"/>
      <c r="Y34" s="635"/>
      <c r="Z34" s="635"/>
      <c r="AA34" s="635"/>
    </row>
    <row r="35" spans="3:27">
      <c r="C35" s="635"/>
      <c r="D35" s="635"/>
      <c r="E35" s="635"/>
      <c r="F35" s="635"/>
      <c r="G35" s="635"/>
      <c r="H35" s="635"/>
      <c r="I35" s="635"/>
      <c r="J35" s="635"/>
      <c r="K35" s="635"/>
      <c r="L35" s="635"/>
      <c r="M35" s="635"/>
      <c r="N35" s="635"/>
      <c r="O35" s="635"/>
      <c r="P35" s="635"/>
      <c r="Q35" s="635"/>
      <c r="R35" s="635"/>
      <c r="S35" s="635"/>
      <c r="T35" s="635"/>
      <c r="U35" s="635"/>
      <c r="V35" s="635"/>
      <c r="W35" s="635"/>
      <c r="X35" s="635"/>
      <c r="Y35" s="635"/>
      <c r="Z35" s="635"/>
      <c r="AA35" s="635"/>
    </row>
    <row r="36" spans="3:27">
      <c r="C36" s="635"/>
      <c r="D36" s="635"/>
      <c r="E36" s="635"/>
      <c r="F36" s="635"/>
      <c r="G36" s="635"/>
      <c r="H36" s="635"/>
      <c r="I36" s="635"/>
      <c r="J36" s="635"/>
      <c r="K36" s="635"/>
      <c r="L36" s="635"/>
      <c r="M36" s="635"/>
      <c r="N36" s="635"/>
      <c r="O36" s="635"/>
      <c r="P36" s="635"/>
      <c r="Q36" s="635"/>
      <c r="R36" s="635"/>
      <c r="S36" s="635"/>
      <c r="T36" s="635"/>
      <c r="U36" s="635"/>
      <c r="V36" s="635"/>
      <c r="W36" s="635"/>
      <c r="X36" s="635"/>
      <c r="Y36" s="635"/>
      <c r="Z36" s="635"/>
      <c r="AA36" s="635"/>
    </row>
    <row r="37" spans="3:27">
      <c r="C37" s="635"/>
      <c r="D37" s="635"/>
      <c r="E37" s="635"/>
      <c r="F37" s="635"/>
      <c r="G37" s="635"/>
      <c r="H37" s="635"/>
      <c r="I37" s="635"/>
      <c r="J37" s="635"/>
      <c r="K37" s="635"/>
      <c r="L37" s="635"/>
      <c r="M37" s="635"/>
      <c r="N37" s="635"/>
      <c r="O37" s="635"/>
      <c r="P37" s="635"/>
      <c r="Q37" s="635"/>
      <c r="R37" s="635"/>
      <c r="S37" s="635"/>
      <c r="T37" s="635"/>
      <c r="U37" s="635"/>
      <c r="V37" s="635"/>
      <c r="W37" s="635"/>
      <c r="X37" s="635"/>
      <c r="Y37" s="635"/>
      <c r="Z37" s="635"/>
      <c r="AA37" s="635"/>
    </row>
    <row r="38" spans="3:27">
      <c r="C38" s="635"/>
      <c r="D38" s="635"/>
      <c r="E38" s="635"/>
      <c r="F38" s="635"/>
      <c r="G38" s="635"/>
      <c r="H38" s="635"/>
      <c r="I38" s="635"/>
      <c r="J38" s="635"/>
      <c r="K38" s="635"/>
      <c r="L38" s="635"/>
      <c r="M38" s="635"/>
      <c r="N38" s="635"/>
      <c r="O38" s="635"/>
      <c r="P38" s="635"/>
      <c r="Q38" s="635"/>
      <c r="R38" s="635"/>
      <c r="S38" s="635"/>
      <c r="T38" s="635"/>
      <c r="U38" s="635"/>
      <c r="V38" s="635"/>
      <c r="W38" s="635"/>
      <c r="X38" s="635"/>
      <c r="Y38" s="635"/>
      <c r="Z38" s="635"/>
      <c r="AA38" s="635"/>
    </row>
    <row r="39" spans="3:27">
      <c r="C39" s="635"/>
      <c r="D39" s="635"/>
      <c r="E39" s="635"/>
      <c r="F39" s="635"/>
      <c r="G39" s="635"/>
      <c r="H39" s="635"/>
      <c r="I39" s="635"/>
      <c r="J39" s="635"/>
      <c r="K39" s="635"/>
      <c r="L39" s="635"/>
      <c r="M39" s="635"/>
      <c r="N39" s="635"/>
      <c r="O39" s="635"/>
      <c r="P39" s="635"/>
      <c r="Q39" s="635"/>
      <c r="R39" s="635"/>
      <c r="S39" s="635"/>
      <c r="T39" s="635"/>
      <c r="U39" s="635"/>
      <c r="V39" s="635"/>
      <c r="W39" s="635"/>
      <c r="X39" s="635"/>
      <c r="Y39" s="635"/>
      <c r="Z39" s="635"/>
      <c r="AA39" s="635"/>
    </row>
    <row r="40" spans="3:27">
      <c r="C40" s="63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69"/>
  <sheetViews>
    <sheetView topLeftCell="A62" zoomScale="80" zoomScaleNormal="80" workbookViewId="0">
      <selection activeCell="L10" sqref="L10"/>
    </sheetView>
  </sheetViews>
  <sheetFormatPr defaultColWidth="8.77734375" defaultRowHeight="13.8"/>
  <cols>
    <col min="1" max="1" width="8.77734375" style="481"/>
    <col min="2" max="2" width="69.21875" style="482" customWidth="1"/>
    <col min="3" max="3" width="14.77734375" style="470" bestFit="1" customWidth="1"/>
    <col min="4" max="4" width="14.44140625" style="470" customWidth="1"/>
    <col min="5" max="5" width="14.77734375" style="470" bestFit="1" customWidth="1"/>
    <col min="6" max="6" width="14.33203125" style="470" customWidth="1"/>
    <col min="7" max="8" width="14.77734375" style="470" bestFit="1" customWidth="1"/>
    <col min="9" max="16384" width="8.77734375" style="470"/>
  </cols>
  <sheetData>
    <row r="1" spans="1:14">
      <c r="A1" s="131" t="s">
        <v>30</v>
      </c>
      <c r="B1" s="469" t="str">
        <f>'Info '!C2</f>
        <v xml:space="preserve">PASHA Bank Georgia JSC </v>
      </c>
      <c r="C1" s="469"/>
    </row>
    <row r="2" spans="1:14">
      <c r="A2" s="131" t="s">
        <v>31</v>
      </c>
      <c r="B2" s="471">
        <f>'1. key ratios '!B2</f>
        <v>45838</v>
      </c>
      <c r="C2" s="469"/>
    </row>
    <row r="3" spans="1:14">
      <c r="A3" s="131"/>
      <c r="B3" s="469"/>
      <c r="C3" s="469"/>
    </row>
    <row r="4" spans="1:14" ht="21" customHeight="1">
      <c r="A4" s="725" t="s">
        <v>6</v>
      </c>
      <c r="B4" s="726" t="s">
        <v>521</v>
      </c>
      <c r="C4" s="728" t="s">
        <v>522</v>
      </c>
      <c r="D4" s="728"/>
      <c r="E4" s="728"/>
      <c r="F4" s="728" t="s">
        <v>523</v>
      </c>
      <c r="G4" s="728"/>
      <c r="H4" s="729"/>
    </row>
    <row r="5" spans="1:14" ht="21" customHeight="1">
      <c r="A5" s="725"/>
      <c r="B5" s="727"/>
      <c r="C5" s="472" t="s">
        <v>32</v>
      </c>
      <c r="D5" s="472" t="s">
        <v>33</v>
      </c>
      <c r="E5" s="472" t="s">
        <v>34</v>
      </c>
      <c r="F5" s="472" t="s">
        <v>32</v>
      </c>
      <c r="G5" s="472" t="s">
        <v>33</v>
      </c>
      <c r="H5" s="472" t="s">
        <v>34</v>
      </c>
    </row>
    <row r="6" spans="1:14" ht="26.55" customHeight="1">
      <c r="A6" s="725"/>
      <c r="B6" s="473" t="s">
        <v>524</v>
      </c>
      <c r="C6" s="730"/>
      <c r="D6" s="731"/>
      <c r="E6" s="731"/>
      <c r="F6" s="731"/>
      <c r="G6" s="731"/>
      <c r="H6" s="732"/>
    </row>
    <row r="7" spans="1:14" ht="22.95" customHeight="1">
      <c r="A7" s="474">
        <v>1</v>
      </c>
      <c r="B7" s="656" t="s">
        <v>525</v>
      </c>
      <c r="C7" s="541">
        <f>SUM(C8:C10)</f>
        <v>24210224.5328</v>
      </c>
      <c r="D7" s="541">
        <f>SUM(D8:D10)</f>
        <v>116239038.3818</v>
      </c>
      <c r="E7" s="542">
        <f>C7+D7</f>
        <v>140449262.91459998</v>
      </c>
      <c r="F7" s="541">
        <f>SUM(F8:F10)</f>
        <v>29308171.689199999</v>
      </c>
      <c r="G7" s="541">
        <f>SUM(G8:G10)</f>
        <v>159833792.07440001</v>
      </c>
      <c r="H7" s="542">
        <f>F7+G7</f>
        <v>189141963.76359999</v>
      </c>
      <c r="I7" s="545"/>
      <c r="J7" s="545"/>
      <c r="K7" s="545"/>
      <c r="L7" s="545"/>
      <c r="M7" s="545"/>
      <c r="N7" s="545"/>
    </row>
    <row r="8" spans="1:14">
      <c r="A8" s="474">
        <v>1.1000000000000001</v>
      </c>
      <c r="B8" s="655" t="s">
        <v>526</v>
      </c>
      <c r="C8" s="541">
        <v>479445</v>
      </c>
      <c r="D8" s="541">
        <v>3792429.5952000003</v>
      </c>
      <c r="E8" s="542">
        <f t="shared" ref="E8:E36" si="0">C8+D8</f>
        <v>4271874.5952000003</v>
      </c>
      <c r="F8" s="541">
        <v>237853.95</v>
      </c>
      <c r="G8" s="541">
        <v>1773398.0126</v>
      </c>
      <c r="H8" s="542">
        <f t="shared" ref="H8:H36" si="1">F8+G8</f>
        <v>2011251.9626</v>
      </c>
      <c r="I8" s="545"/>
      <c r="J8" s="545"/>
      <c r="K8" s="545"/>
      <c r="L8" s="545"/>
      <c r="M8" s="545"/>
      <c r="N8" s="545"/>
    </row>
    <row r="9" spans="1:14">
      <c r="A9" s="474">
        <v>1.2</v>
      </c>
      <c r="B9" s="655" t="s">
        <v>527</v>
      </c>
      <c r="C9" s="541">
        <v>2641493.37</v>
      </c>
      <c r="D9" s="541">
        <v>42537082.605099998</v>
      </c>
      <c r="E9" s="542">
        <f t="shared" si="0"/>
        <v>45178575.975099996</v>
      </c>
      <c r="F9" s="541">
        <v>210429.12</v>
      </c>
      <c r="G9" s="541">
        <v>45628246.780200005</v>
      </c>
      <c r="H9" s="542">
        <f t="shared" si="1"/>
        <v>45838675.900200002</v>
      </c>
      <c r="I9" s="545"/>
      <c r="J9" s="545"/>
      <c r="K9" s="545"/>
      <c r="L9" s="545"/>
      <c r="M9" s="545"/>
      <c r="N9" s="545"/>
    </row>
    <row r="10" spans="1:14">
      <c r="A10" s="474">
        <v>1.3</v>
      </c>
      <c r="B10" s="655" t="s">
        <v>528</v>
      </c>
      <c r="C10" s="541">
        <v>21089286.162799999</v>
      </c>
      <c r="D10" s="541">
        <v>69909526.181500003</v>
      </c>
      <c r="E10" s="542">
        <f t="shared" si="0"/>
        <v>90998812.344300002</v>
      </c>
      <c r="F10" s="541">
        <v>28859888.619199999</v>
      </c>
      <c r="G10" s="541">
        <v>112432147.28160001</v>
      </c>
      <c r="H10" s="542">
        <f t="shared" si="1"/>
        <v>141292035.90080002</v>
      </c>
      <c r="I10" s="545"/>
      <c r="J10" s="545"/>
      <c r="K10" s="545"/>
      <c r="L10" s="545"/>
      <c r="M10" s="545"/>
      <c r="N10" s="545"/>
    </row>
    <row r="11" spans="1:14">
      <c r="A11" s="474">
        <v>2</v>
      </c>
      <c r="B11" s="653" t="s">
        <v>529</v>
      </c>
      <c r="C11" s="541">
        <v>1017240.6063</v>
      </c>
      <c r="D11" s="541">
        <v>0</v>
      </c>
      <c r="E11" s="542">
        <f t="shared" si="0"/>
        <v>1017240.6063</v>
      </c>
      <c r="F11" s="541">
        <v>491145.17000000004</v>
      </c>
      <c r="G11" s="541">
        <v>0</v>
      </c>
      <c r="H11" s="542">
        <f t="shared" si="1"/>
        <v>491145.17000000004</v>
      </c>
      <c r="I11" s="545"/>
      <c r="J11" s="545"/>
      <c r="K11" s="545"/>
      <c r="L11" s="545"/>
      <c r="M11" s="545"/>
      <c r="N11" s="545"/>
    </row>
    <row r="12" spans="1:14">
      <c r="A12" s="474">
        <v>2.1</v>
      </c>
      <c r="B12" s="654" t="s">
        <v>530</v>
      </c>
      <c r="C12" s="541">
        <v>1017240.6063</v>
      </c>
      <c r="D12" s="541">
        <v>0</v>
      </c>
      <c r="E12" s="542">
        <f t="shared" si="0"/>
        <v>1017240.6063</v>
      </c>
      <c r="F12" s="541">
        <v>491145.17000000004</v>
      </c>
      <c r="G12" s="541">
        <v>0</v>
      </c>
      <c r="H12" s="542">
        <f t="shared" si="1"/>
        <v>491145.17000000004</v>
      </c>
      <c r="I12" s="545"/>
      <c r="J12" s="545"/>
      <c r="K12" s="545"/>
      <c r="L12" s="545"/>
      <c r="M12" s="545"/>
      <c r="N12" s="545"/>
    </row>
    <row r="13" spans="1:14" ht="26.55" customHeight="1">
      <c r="A13" s="474">
        <v>3</v>
      </c>
      <c r="B13" s="657" t="s">
        <v>531</v>
      </c>
      <c r="C13" s="541"/>
      <c r="D13" s="541"/>
      <c r="E13" s="542">
        <f t="shared" si="0"/>
        <v>0</v>
      </c>
      <c r="F13" s="541"/>
      <c r="G13" s="541"/>
      <c r="H13" s="542">
        <f t="shared" si="1"/>
        <v>0</v>
      </c>
      <c r="I13" s="545"/>
      <c r="J13" s="545"/>
      <c r="K13" s="545"/>
      <c r="L13" s="545"/>
      <c r="M13" s="545"/>
      <c r="N13" s="545"/>
    </row>
    <row r="14" spans="1:14" ht="26.55" customHeight="1">
      <c r="A14" s="474">
        <v>4</v>
      </c>
      <c r="B14" s="648" t="s">
        <v>532</v>
      </c>
      <c r="C14" s="541"/>
      <c r="D14" s="541"/>
      <c r="E14" s="542">
        <f t="shared" si="0"/>
        <v>0</v>
      </c>
      <c r="F14" s="541"/>
      <c r="G14" s="541"/>
      <c r="H14" s="542">
        <f t="shared" si="1"/>
        <v>0</v>
      </c>
      <c r="I14" s="545"/>
      <c r="J14" s="545"/>
      <c r="K14" s="545"/>
      <c r="L14" s="545"/>
      <c r="M14" s="545"/>
      <c r="N14" s="545"/>
    </row>
    <row r="15" spans="1:14" ht="24.45" customHeight="1">
      <c r="A15" s="474">
        <v>5</v>
      </c>
      <c r="B15" s="658" t="s">
        <v>533</v>
      </c>
      <c r="C15" s="543">
        <f>SUM(C16:C18)</f>
        <v>0</v>
      </c>
      <c r="D15" s="543">
        <f>SUM(D16:D18)</f>
        <v>0</v>
      </c>
      <c r="E15" s="544">
        <f t="shared" si="0"/>
        <v>0</v>
      </c>
      <c r="F15" s="543">
        <f>SUM(F16:F18)</f>
        <v>0</v>
      </c>
      <c r="G15" s="543">
        <f>SUM(G16:G18)</f>
        <v>0</v>
      </c>
      <c r="H15" s="544">
        <f t="shared" si="1"/>
        <v>0</v>
      </c>
      <c r="I15" s="545"/>
      <c r="J15" s="545"/>
      <c r="K15" s="545"/>
      <c r="L15" s="545"/>
      <c r="M15" s="545"/>
      <c r="N15" s="545"/>
    </row>
    <row r="16" spans="1:14">
      <c r="A16" s="474">
        <v>5.0999999999999996</v>
      </c>
      <c r="B16" s="659" t="s">
        <v>534</v>
      </c>
      <c r="C16" s="541"/>
      <c r="D16" s="541"/>
      <c r="E16" s="542">
        <f t="shared" si="0"/>
        <v>0</v>
      </c>
      <c r="F16" s="541"/>
      <c r="G16" s="541"/>
      <c r="H16" s="542">
        <f t="shared" si="1"/>
        <v>0</v>
      </c>
      <c r="I16" s="545"/>
      <c r="J16" s="545"/>
      <c r="K16" s="545"/>
      <c r="L16" s="545"/>
      <c r="M16" s="545"/>
      <c r="N16" s="545"/>
    </row>
    <row r="17" spans="1:14">
      <c r="A17" s="474">
        <v>5.2</v>
      </c>
      <c r="B17" s="659" t="s">
        <v>535</v>
      </c>
      <c r="C17" s="541"/>
      <c r="D17" s="541"/>
      <c r="E17" s="542">
        <f t="shared" si="0"/>
        <v>0</v>
      </c>
      <c r="F17" s="541"/>
      <c r="G17" s="541"/>
      <c r="H17" s="542">
        <f t="shared" si="1"/>
        <v>0</v>
      </c>
      <c r="I17" s="545"/>
      <c r="J17" s="545"/>
      <c r="K17" s="545"/>
      <c r="L17" s="545"/>
      <c r="M17" s="545"/>
      <c r="N17" s="545"/>
    </row>
    <row r="18" spans="1:14">
      <c r="A18" s="474">
        <v>5.3</v>
      </c>
      <c r="B18" s="651" t="s">
        <v>536</v>
      </c>
      <c r="C18" s="541"/>
      <c r="D18" s="541"/>
      <c r="E18" s="542">
        <f t="shared" si="0"/>
        <v>0</v>
      </c>
      <c r="F18" s="541"/>
      <c r="G18" s="541"/>
      <c r="H18" s="542">
        <f t="shared" si="1"/>
        <v>0</v>
      </c>
      <c r="I18" s="545"/>
      <c r="J18" s="545"/>
      <c r="K18" s="545"/>
      <c r="L18" s="545"/>
      <c r="M18" s="545"/>
      <c r="N18" s="545"/>
    </row>
    <row r="19" spans="1:14">
      <c r="A19" s="474">
        <v>6</v>
      </c>
      <c r="B19" s="657" t="s">
        <v>537</v>
      </c>
      <c r="C19" s="541">
        <f>SUM(C20:C21)</f>
        <v>236381625.94979995</v>
      </c>
      <c r="D19" s="541">
        <f>SUM(D20:D21)</f>
        <v>210953542.39159998</v>
      </c>
      <c r="E19" s="542">
        <f t="shared" si="0"/>
        <v>447335168.34139991</v>
      </c>
      <c r="F19" s="541">
        <f>SUM(F20:F21)</f>
        <v>208202293.01809999</v>
      </c>
      <c r="G19" s="541">
        <f>SUM(G20:G21)</f>
        <v>195403871.01140001</v>
      </c>
      <c r="H19" s="542">
        <f t="shared" si="1"/>
        <v>403606164.02950001</v>
      </c>
      <c r="I19" s="545"/>
      <c r="J19" s="545"/>
      <c r="K19" s="545"/>
      <c r="L19" s="545"/>
      <c r="M19" s="545"/>
      <c r="N19" s="545"/>
    </row>
    <row r="20" spans="1:14">
      <c r="A20" s="474">
        <v>6.1</v>
      </c>
      <c r="B20" s="659" t="s">
        <v>535</v>
      </c>
      <c r="C20" s="541">
        <v>79354005.059999987</v>
      </c>
      <c r="D20" s="541">
        <v>2759158.2740000002</v>
      </c>
      <c r="E20" s="542">
        <f t="shared" si="0"/>
        <v>82113163.333999991</v>
      </c>
      <c r="F20" s="541">
        <v>63118127.124700002</v>
      </c>
      <c r="G20" s="541">
        <v>5629476.4419999998</v>
      </c>
      <c r="H20" s="542">
        <f t="shared" si="1"/>
        <v>68747603.566699997</v>
      </c>
      <c r="I20" s="545"/>
      <c r="J20" s="545"/>
      <c r="K20" s="545"/>
      <c r="L20" s="545"/>
      <c r="M20" s="545"/>
      <c r="N20" s="545"/>
    </row>
    <row r="21" spans="1:14">
      <c r="A21" s="474">
        <v>6.2</v>
      </c>
      <c r="B21" s="651" t="s">
        <v>536</v>
      </c>
      <c r="C21" s="541">
        <v>157027620.88979998</v>
      </c>
      <c r="D21" s="541">
        <v>208194384.11759999</v>
      </c>
      <c r="E21" s="542">
        <f t="shared" si="0"/>
        <v>365222005.00739998</v>
      </c>
      <c r="F21" s="541">
        <v>145084165.89339998</v>
      </c>
      <c r="G21" s="541">
        <v>189774394.56940001</v>
      </c>
      <c r="H21" s="542">
        <f t="shared" si="1"/>
        <v>334858560.46280003</v>
      </c>
      <c r="I21" s="545"/>
      <c r="J21" s="545"/>
      <c r="K21" s="545"/>
      <c r="L21" s="545"/>
      <c r="M21" s="545"/>
      <c r="N21" s="545"/>
    </row>
    <row r="22" spans="1:14">
      <c r="A22" s="474">
        <v>7</v>
      </c>
      <c r="B22" s="653" t="s">
        <v>538</v>
      </c>
      <c r="C22" s="541"/>
      <c r="D22" s="541"/>
      <c r="E22" s="542">
        <f t="shared" si="0"/>
        <v>0</v>
      </c>
      <c r="F22" s="541"/>
      <c r="G22" s="541"/>
      <c r="H22" s="542">
        <f t="shared" si="1"/>
        <v>0</v>
      </c>
      <c r="I22" s="545"/>
      <c r="J22" s="545"/>
      <c r="K22" s="545"/>
      <c r="L22" s="545"/>
      <c r="M22" s="545"/>
      <c r="N22" s="545"/>
    </row>
    <row r="23" spans="1:14">
      <c r="A23" s="474">
        <v>8</v>
      </c>
      <c r="B23" s="653" t="s">
        <v>539</v>
      </c>
      <c r="C23" s="541"/>
      <c r="D23" s="541"/>
      <c r="E23" s="542">
        <f t="shared" si="0"/>
        <v>0</v>
      </c>
      <c r="F23" s="541"/>
      <c r="G23" s="541"/>
      <c r="H23" s="542">
        <f t="shared" si="1"/>
        <v>0</v>
      </c>
      <c r="I23" s="545"/>
      <c r="J23" s="545"/>
      <c r="K23" s="545"/>
      <c r="L23" s="545"/>
      <c r="M23" s="545"/>
      <c r="N23" s="545"/>
    </row>
    <row r="24" spans="1:14">
      <c r="A24" s="474">
        <v>9</v>
      </c>
      <c r="B24" s="648" t="s">
        <v>540</v>
      </c>
      <c r="C24" s="541">
        <f>SUM(C25:C26)</f>
        <v>6098430.21</v>
      </c>
      <c r="D24" s="541">
        <f>SUM(D25:D26)</f>
        <v>0</v>
      </c>
      <c r="E24" s="542">
        <f t="shared" si="0"/>
        <v>6098430.21</v>
      </c>
      <c r="F24" s="541">
        <f>SUM(F25:F26)</f>
        <v>4158001.58</v>
      </c>
      <c r="G24" s="541">
        <f>SUM(G25:G26)</f>
        <v>0</v>
      </c>
      <c r="H24" s="542">
        <f t="shared" si="1"/>
        <v>4158001.58</v>
      </c>
      <c r="I24" s="545"/>
      <c r="J24" s="545"/>
      <c r="K24" s="545"/>
      <c r="L24" s="545"/>
      <c r="M24" s="545"/>
      <c r="N24" s="545"/>
    </row>
    <row r="25" spans="1:14">
      <c r="A25" s="474">
        <v>9.1</v>
      </c>
      <c r="B25" s="659" t="s">
        <v>541</v>
      </c>
      <c r="C25" s="541">
        <v>6098430.21</v>
      </c>
      <c r="D25" s="541"/>
      <c r="E25" s="542">
        <f t="shared" si="0"/>
        <v>6098430.21</v>
      </c>
      <c r="F25" s="541">
        <v>4158001.58</v>
      </c>
      <c r="G25" s="541"/>
      <c r="H25" s="542">
        <f t="shared" si="1"/>
        <v>4158001.58</v>
      </c>
      <c r="I25" s="545"/>
      <c r="J25" s="545"/>
      <c r="K25" s="545"/>
      <c r="L25" s="545"/>
      <c r="M25" s="545"/>
      <c r="N25" s="545"/>
    </row>
    <row r="26" spans="1:14">
      <c r="A26" s="474">
        <v>9.1999999999999993</v>
      </c>
      <c r="B26" s="659" t="s">
        <v>542</v>
      </c>
      <c r="C26" s="541"/>
      <c r="D26" s="541"/>
      <c r="E26" s="542">
        <f t="shared" si="0"/>
        <v>0</v>
      </c>
      <c r="F26" s="541"/>
      <c r="G26" s="541"/>
      <c r="H26" s="542">
        <f t="shared" si="1"/>
        <v>0</v>
      </c>
      <c r="I26" s="545"/>
      <c r="J26" s="545"/>
      <c r="K26" s="545"/>
      <c r="L26" s="545"/>
      <c r="M26" s="545"/>
      <c r="N26" s="545"/>
    </row>
    <row r="27" spans="1:14">
      <c r="A27" s="474">
        <v>10</v>
      </c>
      <c r="B27" s="648" t="s">
        <v>543</v>
      </c>
      <c r="C27" s="541">
        <f>SUM(C28:C29)</f>
        <v>3492009.44</v>
      </c>
      <c r="D27" s="541">
        <f>SUM(D28:D29)</f>
        <v>0</v>
      </c>
      <c r="E27" s="542">
        <f t="shared" si="0"/>
        <v>3492009.44</v>
      </c>
      <c r="F27" s="541">
        <f>SUM(F28:F29)</f>
        <v>5168902.88</v>
      </c>
      <c r="G27" s="541">
        <f>SUM(G28:G29)</f>
        <v>0</v>
      </c>
      <c r="H27" s="542">
        <f t="shared" si="1"/>
        <v>5168902.88</v>
      </c>
      <c r="I27" s="545"/>
      <c r="J27" s="545"/>
      <c r="K27" s="545"/>
      <c r="L27" s="545"/>
      <c r="M27" s="545"/>
      <c r="N27" s="545"/>
    </row>
    <row r="28" spans="1:14">
      <c r="A28" s="474">
        <v>10.1</v>
      </c>
      <c r="B28" s="659" t="s">
        <v>544</v>
      </c>
      <c r="C28" s="541"/>
      <c r="D28" s="541"/>
      <c r="E28" s="542">
        <f>C28+D28</f>
        <v>0</v>
      </c>
      <c r="F28" s="541"/>
      <c r="G28" s="541"/>
      <c r="H28" s="542">
        <f t="shared" si="1"/>
        <v>0</v>
      </c>
      <c r="I28" s="545"/>
      <c r="J28" s="545"/>
      <c r="K28" s="545"/>
      <c r="L28" s="545"/>
      <c r="M28" s="545"/>
      <c r="N28" s="545"/>
    </row>
    <row r="29" spans="1:14">
      <c r="A29" s="474">
        <v>10.199999999999999</v>
      </c>
      <c r="B29" s="659" t="s">
        <v>545</v>
      </c>
      <c r="C29" s="541">
        <v>3492009.44</v>
      </c>
      <c r="D29" s="541"/>
      <c r="E29" s="542">
        <f>C29+D29</f>
        <v>3492009.44</v>
      </c>
      <c r="F29" s="541">
        <v>5168902.88</v>
      </c>
      <c r="G29" s="541"/>
      <c r="H29" s="542">
        <f t="shared" si="1"/>
        <v>5168902.88</v>
      </c>
      <c r="I29" s="545"/>
      <c r="J29" s="545"/>
      <c r="K29" s="545"/>
      <c r="L29" s="545"/>
      <c r="M29" s="545"/>
      <c r="N29" s="545"/>
    </row>
    <row r="30" spans="1:14">
      <c r="A30" s="474">
        <v>11</v>
      </c>
      <c r="B30" s="648" t="s">
        <v>546</v>
      </c>
      <c r="C30" s="541">
        <f>SUM(C31:C32)</f>
        <v>3458618.27</v>
      </c>
      <c r="D30" s="541">
        <f>SUM(D31:D32)</f>
        <v>0</v>
      </c>
      <c r="E30" s="542">
        <f t="shared" si="0"/>
        <v>3458618.27</v>
      </c>
      <c r="F30" s="541">
        <f>SUM(F31:F32)</f>
        <v>0</v>
      </c>
      <c r="G30" s="541">
        <f>SUM(G31:G32)</f>
        <v>0</v>
      </c>
      <c r="H30" s="542">
        <f t="shared" si="1"/>
        <v>0</v>
      </c>
      <c r="I30" s="545"/>
      <c r="J30" s="545"/>
      <c r="K30" s="545"/>
      <c r="L30" s="545"/>
      <c r="M30" s="545"/>
      <c r="N30" s="545"/>
    </row>
    <row r="31" spans="1:14">
      <c r="A31" s="474">
        <v>11.1</v>
      </c>
      <c r="B31" s="659" t="s">
        <v>547</v>
      </c>
      <c r="C31" s="541"/>
      <c r="D31" s="541"/>
      <c r="E31" s="542">
        <f t="shared" si="0"/>
        <v>0</v>
      </c>
      <c r="F31" s="541"/>
      <c r="G31" s="541"/>
      <c r="H31" s="542">
        <f t="shared" si="1"/>
        <v>0</v>
      </c>
      <c r="I31" s="545"/>
      <c r="J31" s="545"/>
      <c r="K31" s="545"/>
      <c r="L31" s="545"/>
      <c r="M31" s="545"/>
      <c r="N31" s="545"/>
    </row>
    <row r="32" spans="1:14">
      <c r="A32" s="474">
        <v>11.2</v>
      </c>
      <c r="B32" s="659" t="s">
        <v>548</v>
      </c>
      <c r="C32" s="541">
        <v>3458618.27</v>
      </c>
      <c r="D32" s="541"/>
      <c r="E32" s="542">
        <f t="shared" si="0"/>
        <v>3458618.27</v>
      </c>
      <c r="F32" s="541"/>
      <c r="G32" s="541"/>
      <c r="H32" s="542">
        <f t="shared" si="1"/>
        <v>0</v>
      </c>
      <c r="I32" s="545"/>
      <c r="J32" s="545"/>
      <c r="K32" s="545"/>
      <c r="L32" s="545"/>
      <c r="M32" s="545"/>
      <c r="N32" s="545"/>
    </row>
    <row r="33" spans="1:14">
      <c r="A33" s="474">
        <v>13</v>
      </c>
      <c r="B33" s="648" t="s">
        <v>549</v>
      </c>
      <c r="C33" s="541">
        <v>18972392.924899999</v>
      </c>
      <c r="D33" s="541">
        <v>490370.5773</v>
      </c>
      <c r="E33" s="542">
        <f t="shared" si="0"/>
        <v>19462763.5022</v>
      </c>
      <c r="F33" s="541">
        <v>17593920.748399999</v>
      </c>
      <c r="G33" s="541">
        <v>43931.801100000004</v>
      </c>
      <c r="H33" s="542">
        <f t="shared" si="1"/>
        <v>17637852.5495</v>
      </c>
      <c r="I33" s="545"/>
      <c r="J33" s="545"/>
      <c r="K33" s="545"/>
      <c r="L33" s="545"/>
      <c r="M33" s="545"/>
      <c r="N33" s="545"/>
    </row>
    <row r="34" spans="1:14">
      <c r="A34" s="474">
        <v>13.1</v>
      </c>
      <c r="B34" s="660" t="s">
        <v>550</v>
      </c>
      <c r="C34" s="541">
        <v>16664937.84</v>
      </c>
      <c r="D34" s="541"/>
      <c r="E34" s="542">
        <f t="shared" si="0"/>
        <v>16664937.84</v>
      </c>
      <c r="F34" s="541">
        <v>15333625.699999999</v>
      </c>
      <c r="G34" s="541"/>
      <c r="H34" s="542">
        <f t="shared" si="1"/>
        <v>15333625.699999999</v>
      </c>
      <c r="I34" s="545"/>
      <c r="J34" s="545"/>
      <c r="K34" s="545"/>
      <c r="L34" s="545"/>
      <c r="M34" s="545"/>
      <c r="N34" s="545"/>
    </row>
    <row r="35" spans="1:14">
      <c r="A35" s="474">
        <v>13.2</v>
      </c>
      <c r="B35" s="660" t="s">
        <v>551</v>
      </c>
      <c r="C35" s="541"/>
      <c r="D35" s="541"/>
      <c r="E35" s="542">
        <f t="shared" si="0"/>
        <v>0</v>
      </c>
      <c r="F35" s="541"/>
      <c r="G35" s="541"/>
      <c r="H35" s="542">
        <f t="shared" si="1"/>
        <v>0</v>
      </c>
      <c r="I35" s="545"/>
      <c r="J35" s="545"/>
      <c r="K35" s="545"/>
      <c r="L35" s="545"/>
      <c r="M35" s="545"/>
      <c r="N35" s="545"/>
    </row>
    <row r="36" spans="1:14">
      <c r="A36" s="474">
        <v>14</v>
      </c>
      <c r="B36" s="648" t="s">
        <v>552</v>
      </c>
      <c r="C36" s="541">
        <f>SUM(C7,C11,C13,C14,C15,C19,C22,C23,C24,C27,C30,C33)</f>
        <v>293630541.93379998</v>
      </c>
      <c r="D36" s="541">
        <f>SUM(D7,D11,D13,D14,D15,D19,D22,D23,D24,D27,D30,D33)</f>
        <v>327682951.35069996</v>
      </c>
      <c r="E36" s="542">
        <f t="shared" si="0"/>
        <v>621313493.28449988</v>
      </c>
      <c r="F36" s="541">
        <f>SUM(F7,F11,F13,F14,F15,F19,F22,F23,F24,F27,F30,F33)</f>
        <v>264922435.08570001</v>
      </c>
      <c r="G36" s="541">
        <f>SUM(G7,G11,G13,G14,G15,G19,G22,G23,G24,G27,G30,G33)</f>
        <v>355281594.88690007</v>
      </c>
      <c r="H36" s="542">
        <f t="shared" si="1"/>
        <v>620204029.9726001</v>
      </c>
      <c r="I36" s="545"/>
      <c r="J36" s="545"/>
      <c r="K36" s="545"/>
      <c r="L36" s="545"/>
      <c r="M36" s="545"/>
      <c r="N36" s="545"/>
    </row>
    <row r="37" spans="1:14" ht="22.5" customHeight="1">
      <c r="A37" s="474"/>
      <c r="B37" s="475" t="s">
        <v>553</v>
      </c>
      <c r="C37" s="733"/>
      <c r="D37" s="734"/>
      <c r="E37" s="734"/>
      <c r="F37" s="734"/>
      <c r="G37" s="734"/>
      <c r="H37" s="735"/>
      <c r="I37" s="545"/>
      <c r="J37" s="545"/>
      <c r="K37" s="545"/>
      <c r="L37" s="545"/>
      <c r="M37" s="545"/>
      <c r="N37" s="545"/>
    </row>
    <row r="38" spans="1:14">
      <c r="A38" s="474">
        <v>15</v>
      </c>
      <c r="B38" s="653" t="s">
        <v>554</v>
      </c>
      <c r="C38" s="538">
        <f>C39</f>
        <v>414825.7672</v>
      </c>
      <c r="D38" s="538"/>
      <c r="E38" s="539">
        <f>C38+D38</f>
        <v>414825.7672</v>
      </c>
      <c r="F38" s="538">
        <v>624967.97</v>
      </c>
      <c r="G38" s="538">
        <v>0</v>
      </c>
      <c r="H38" s="539">
        <f>F38+G38</f>
        <v>624967.97</v>
      </c>
      <c r="I38" s="545"/>
      <c r="J38" s="545"/>
      <c r="K38" s="545"/>
      <c r="L38" s="545"/>
      <c r="M38" s="545"/>
      <c r="N38" s="545"/>
    </row>
    <row r="39" spans="1:14">
      <c r="A39" s="476">
        <v>15.1</v>
      </c>
      <c r="B39" s="654" t="s">
        <v>530</v>
      </c>
      <c r="C39" s="538">
        <v>414825.7672</v>
      </c>
      <c r="D39" s="538">
        <v>0</v>
      </c>
      <c r="E39" s="539">
        <f t="shared" ref="E39:E53" si="2">C39+D39</f>
        <v>414825.7672</v>
      </c>
      <c r="F39" s="538">
        <v>624967.97</v>
      </c>
      <c r="G39" s="538">
        <v>0</v>
      </c>
      <c r="H39" s="539">
        <f t="shared" ref="H39:H53" si="3">F39+G39</f>
        <v>624967.97</v>
      </c>
      <c r="I39" s="545"/>
      <c r="J39" s="545"/>
      <c r="K39" s="545"/>
      <c r="L39" s="545"/>
      <c r="M39" s="545"/>
      <c r="N39" s="545"/>
    </row>
    <row r="40" spans="1:14" ht="24" customHeight="1">
      <c r="A40" s="476">
        <v>16</v>
      </c>
      <c r="B40" s="653" t="s">
        <v>555</v>
      </c>
      <c r="C40" s="538"/>
      <c r="D40" s="538"/>
      <c r="E40" s="539">
        <f t="shared" si="2"/>
        <v>0</v>
      </c>
      <c r="F40" s="538"/>
      <c r="G40" s="538"/>
      <c r="H40" s="539">
        <f t="shared" si="3"/>
        <v>0</v>
      </c>
      <c r="I40" s="545"/>
      <c r="J40" s="545"/>
      <c r="K40" s="545"/>
      <c r="L40" s="545"/>
      <c r="M40" s="545"/>
      <c r="N40" s="545"/>
    </row>
    <row r="41" spans="1:14">
      <c r="A41" s="476">
        <v>17</v>
      </c>
      <c r="B41" s="653" t="s">
        <v>556</v>
      </c>
      <c r="C41" s="538">
        <f>SUM(C42:C45)</f>
        <v>201913638.44999999</v>
      </c>
      <c r="D41" s="538">
        <f>SUM(D42:D45)</f>
        <v>255127709.15870005</v>
      </c>
      <c r="E41" s="539">
        <f t="shared" si="2"/>
        <v>457041347.60870004</v>
      </c>
      <c r="F41" s="538">
        <f>SUM(F42:F45)</f>
        <v>123459978.86</v>
      </c>
      <c r="G41" s="538">
        <f>SUM(G42:G45)</f>
        <v>341162798.51950002</v>
      </c>
      <c r="H41" s="539">
        <f t="shared" si="3"/>
        <v>464622777.37950003</v>
      </c>
      <c r="I41" s="545"/>
      <c r="J41" s="545"/>
      <c r="K41" s="545"/>
      <c r="L41" s="545"/>
      <c r="M41" s="545"/>
      <c r="N41" s="545"/>
    </row>
    <row r="42" spans="1:14">
      <c r="A42" s="476">
        <v>17.100000000000001</v>
      </c>
      <c r="B42" s="649" t="s">
        <v>557</v>
      </c>
      <c r="C42" s="538">
        <v>186900372.69999999</v>
      </c>
      <c r="D42" s="538">
        <v>250156579.35800004</v>
      </c>
      <c r="E42" s="539">
        <f t="shared" si="2"/>
        <v>437056952.05800003</v>
      </c>
      <c r="F42" s="538">
        <v>123459978.86</v>
      </c>
      <c r="G42" s="538">
        <v>317965557.51090002</v>
      </c>
      <c r="H42" s="539">
        <f t="shared" si="3"/>
        <v>441425536.37090003</v>
      </c>
      <c r="I42" s="545"/>
      <c r="J42" s="545"/>
      <c r="K42" s="545"/>
      <c r="L42" s="545"/>
      <c r="M42" s="545"/>
      <c r="N42" s="545"/>
    </row>
    <row r="43" spans="1:14">
      <c r="A43" s="476">
        <v>17.2</v>
      </c>
      <c r="B43" s="655" t="s">
        <v>558</v>
      </c>
      <c r="C43" s="538">
        <v>15013265.75</v>
      </c>
      <c r="D43" s="538">
        <v>0</v>
      </c>
      <c r="E43" s="539">
        <f t="shared" si="2"/>
        <v>15013265.75</v>
      </c>
      <c r="F43" s="538">
        <v>0</v>
      </c>
      <c r="G43" s="538">
        <v>23197241.0086</v>
      </c>
      <c r="H43" s="539">
        <f t="shared" si="3"/>
        <v>23197241.0086</v>
      </c>
      <c r="I43" s="545"/>
      <c r="J43" s="545"/>
      <c r="K43" s="545"/>
      <c r="L43" s="545"/>
      <c r="M43" s="545"/>
      <c r="N43" s="545"/>
    </row>
    <row r="44" spans="1:14">
      <c r="A44" s="476">
        <v>17.3</v>
      </c>
      <c r="B44" s="649" t="s">
        <v>559</v>
      </c>
      <c r="C44" s="538"/>
      <c r="D44" s="538"/>
      <c r="E44" s="539">
        <f t="shared" si="2"/>
        <v>0</v>
      </c>
      <c r="F44" s="538">
        <v>0</v>
      </c>
      <c r="G44" s="538">
        <v>0</v>
      </c>
      <c r="H44" s="539">
        <f t="shared" si="3"/>
        <v>0</v>
      </c>
      <c r="I44" s="545"/>
      <c r="J44" s="545"/>
      <c r="K44" s="545"/>
      <c r="L44" s="545"/>
      <c r="M44" s="545"/>
      <c r="N44" s="545"/>
    </row>
    <row r="45" spans="1:14">
      <c r="A45" s="476">
        <v>17.399999999999999</v>
      </c>
      <c r="B45" s="649" t="s">
        <v>560</v>
      </c>
      <c r="C45" s="538">
        <v>0</v>
      </c>
      <c r="D45" s="538">
        <v>4971129.8007000005</v>
      </c>
      <c r="E45" s="539">
        <f t="shared" si="2"/>
        <v>4971129.8007000005</v>
      </c>
      <c r="F45" s="538">
        <v>0</v>
      </c>
      <c r="G45" s="538">
        <v>0</v>
      </c>
      <c r="H45" s="539">
        <f t="shared" si="3"/>
        <v>0</v>
      </c>
      <c r="I45" s="545"/>
      <c r="J45" s="545"/>
      <c r="K45" s="545"/>
      <c r="L45" s="545"/>
      <c r="M45" s="545"/>
      <c r="N45" s="545"/>
    </row>
    <row r="46" spans="1:14">
      <c r="A46" s="476">
        <v>18</v>
      </c>
      <c r="B46" s="648" t="s">
        <v>561</v>
      </c>
      <c r="C46" s="538">
        <v>30477.323400000001</v>
      </c>
      <c r="D46" s="538">
        <v>259885.80959999998</v>
      </c>
      <c r="E46" s="539">
        <f t="shared" si="2"/>
        <v>290363.13299999997</v>
      </c>
      <c r="F46" s="538">
        <v>357520.75290000002</v>
      </c>
      <c r="G46" s="538">
        <v>180521.00709999999</v>
      </c>
      <c r="H46" s="539">
        <f t="shared" si="3"/>
        <v>538041.76</v>
      </c>
      <c r="I46" s="545"/>
      <c r="J46" s="545"/>
      <c r="K46" s="545"/>
      <c r="L46" s="545"/>
      <c r="M46" s="545"/>
      <c r="N46" s="545"/>
    </row>
    <row r="47" spans="1:14">
      <c r="A47" s="476">
        <v>19</v>
      </c>
      <c r="B47" s="648" t="s">
        <v>562</v>
      </c>
      <c r="C47" s="538">
        <f>SUM(C48:C49)</f>
        <v>0</v>
      </c>
      <c r="D47" s="538">
        <f>SUM(D48:D49)</f>
        <v>0</v>
      </c>
      <c r="E47" s="539">
        <f t="shared" si="2"/>
        <v>0</v>
      </c>
      <c r="F47" s="538">
        <f>SUM(F48:F49)</f>
        <v>0</v>
      </c>
      <c r="G47" s="538">
        <f>SUM(G48:G49)</f>
        <v>0</v>
      </c>
      <c r="H47" s="539">
        <f t="shared" si="3"/>
        <v>0</v>
      </c>
      <c r="I47" s="545"/>
      <c r="J47" s="545"/>
      <c r="K47" s="545"/>
      <c r="L47" s="545"/>
      <c r="M47" s="545"/>
      <c r="N47" s="545"/>
    </row>
    <row r="48" spans="1:14">
      <c r="A48" s="476">
        <v>19.100000000000001</v>
      </c>
      <c r="B48" s="652" t="s">
        <v>563</v>
      </c>
      <c r="C48" s="538"/>
      <c r="D48" s="538"/>
      <c r="E48" s="539">
        <f t="shared" si="2"/>
        <v>0</v>
      </c>
      <c r="F48" s="538"/>
      <c r="G48" s="538"/>
      <c r="H48" s="539">
        <f t="shared" si="3"/>
        <v>0</v>
      </c>
      <c r="I48" s="545"/>
      <c r="J48" s="545"/>
      <c r="K48" s="545"/>
      <c r="L48" s="545"/>
      <c r="M48" s="545"/>
      <c r="N48" s="545"/>
    </row>
    <row r="49" spans="1:14">
      <c r="A49" s="476">
        <v>19.2</v>
      </c>
      <c r="B49" s="652" t="s">
        <v>564</v>
      </c>
      <c r="C49" s="538"/>
      <c r="D49" s="538"/>
      <c r="E49" s="539">
        <f t="shared" si="2"/>
        <v>0</v>
      </c>
      <c r="F49" s="538"/>
      <c r="G49" s="538"/>
      <c r="H49" s="539">
        <f t="shared" si="3"/>
        <v>0</v>
      </c>
      <c r="I49" s="545"/>
      <c r="J49" s="545"/>
      <c r="K49" s="545"/>
      <c r="L49" s="545"/>
      <c r="M49" s="545"/>
      <c r="N49" s="545"/>
    </row>
    <row r="50" spans="1:14">
      <c r="A50" s="476">
        <v>20</v>
      </c>
      <c r="B50" s="489" t="s">
        <v>565</v>
      </c>
      <c r="C50" s="538">
        <v>0</v>
      </c>
      <c r="D50" s="538">
        <v>32621914.096799999</v>
      </c>
      <c r="E50" s="539">
        <f t="shared" si="2"/>
        <v>32621914.096799999</v>
      </c>
      <c r="F50" s="538">
        <v>0</v>
      </c>
      <c r="G50" s="538">
        <v>33329519.7621</v>
      </c>
      <c r="H50" s="539">
        <f t="shared" si="3"/>
        <v>33329519.7621</v>
      </c>
      <c r="I50" s="545"/>
      <c r="J50" s="545"/>
      <c r="K50" s="545"/>
      <c r="L50" s="545"/>
      <c r="M50" s="545"/>
      <c r="N50" s="545"/>
    </row>
    <row r="51" spans="1:14">
      <c r="A51" s="476">
        <v>21</v>
      </c>
      <c r="B51" s="653" t="s">
        <v>566</v>
      </c>
      <c r="C51" s="538">
        <v>5850727.3300000001</v>
      </c>
      <c r="D51" s="538">
        <v>639130.52169999992</v>
      </c>
      <c r="E51" s="539">
        <f t="shared" si="2"/>
        <v>6489857.8517000005</v>
      </c>
      <c r="F51" s="538">
        <v>3657630.0300000003</v>
      </c>
      <c r="G51" s="538">
        <v>1967438.5583000001</v>
      </c>
      <c r="H51" s="539">
        <f t="shared" si="3"/>
        <v>5625068.5883000009</v>
      </c>
      <c r="I51" s="545"/>
      <c r="J51" s="545"/>
      <c r="K51" s="545"/>
      <c r="L51" s="545"/>
      <c r="M51" s="545"/>
      <c r="N51" s="545"/>
    </row>
    <row r="52" spans="1:14">
      <c r="A52" s="476">
        <v>21.1</v>
      </c>
      <c r="B52" s="655" t="s">
        <v>567</v>
      </c>
      <c r="C52" s="538"/>
      <c r="D52" s="538"/>
      <c r="E52" s="539">
        <f t="shared" si="2"/>
        <v>0</v>
      </c>
      <c r="F52" s="538"/>
      <c r="G52" s="538"/>
      <c r="H52" s="539">
        <f t="shared" si="3"/>
        <v>0</v>
      </c>
      <c r="I52" s="545"/>
      <c r="J52" s="545"/>
      <c r="K52" s="545"/>
      <c r="L52" s="545"/>
      <c r="M52" s="545"/>
      <c r="N52" s="545"/>
    </row>
    <row r="53" spans="1:14">
      <c r="A53" s="476">
        <v>22</v>
      </c>
      <c r="B53" s="477" t="s">
        <v>568</v>
      </c>
      <c r="C53" s="538">
        <f>SUM(C38,C40,C41,C46,C47,C50,C51)</f>
        <v>208209668.87059999</v>
      </c>
      <c r="D53" s="538">
        <f>SUM(D38,D40,D41,D46,D47,D50,D51)</f>
        <v>288648639.5868001</v>
      </c>
      <c r="E53" s="539">
        <f t="shared" si="2"/>
        <v>496858308.45740008</v>
      </c>
      <c r="F53" s="538">
        <f>SUM(F38,F40,F41,F46,F47,F50,F51)</f>
        <v>128100097.6129</v>
      </c>
      <c r="G53" s="538">
        <f>SUM(G38,G40,G41,G46,G47,G50,G51)</f>
        <v>376640277.847</v>
      </c>
      <c r="H53" s="539">
        <f t="shared" si="3"/>
        <v>504740375.45990002</v>
      </c>
      <c r="I53" s="545"/>
      <c r="J53" s="545"/>
      <c r="K53" s="545"/>
      <c r="L53" s="545"/>
      <c r="M53" s="545"/>
      <c r="N53" s="545"/>
    </row>
    <row r="54" spans="1:14" ht="24" customHeight="1">
      <c r="A54" s="476"/>
      <c r="B54" s="478" t="s">
        <v>569</v>
      </c>
      <c r="C54" s="722"/>
      <c r="D54" s="723"/>
      <c r="E54" s="723"/>
      <c r="F54" s="723"/>
      <c r="G54" s="723"/>
      <c r="H54" s="724"/>
      <c r="I54" s="545"/>
      <c r="J54" s="545"/>
      <c r="K54" s="545"/>
      <c r="L54" s="545"/>
      <c r="M54" s="545"/>
      <c r="N54" s="545"/>
    </row>
    <row r="55" spans="1:14">
      <c r="A55" s="476">
        <v>23</v>
      </c>
      <c r="B55" s="489" t="s">
        <v>710</v>
      </c>
      <c r="C55" s="538">
        <v>136800000</v>
      </c>
      <c r="D55" s="538">
        <v>0</v>
      </c>
      <c r="E55" s="539">
        <f>C55+D55</f>
        <v>136800000</v>
      </c>
      <c r="F55" s="538">
        <v>136800000</v>
      </c>
      <c r="G55" s="538"/>
      <c r="H55" s="539">
        <f>F55+G55</f>
        <v>136800000</v>
      </c>
      <c r="I55" s="545"/>
      <c r="J55" s="545"/>
      <c r="K55" s="545"/>
      <c r="L55" s="545"/>
      <c r="M55" s="545"/>
      <c r="N55" s="545"/>
    </row>
    <row r="56" spans="1:14">
      <c r="A56" s="476">
        <v>24</v>
      </c>
      <c r="B56" s="489" t="s">
        <v>571</v>
      </c>
      <c r="C56" s="538"/>
      <c r="D56" s="538"/>
      <c r="E56" s="539">
        <f t="shared" ref="E56:E69" si="4">C56+D56</f>
        <v>0</v>
      </c>
      <c r="F56" s="538"/>
      <c r="G56" s="538"/>
      <c r="H56" s="539">
        <f t="shared" ref="H56:H69" si="5">F56+G56</f>
        <v>0</v>
      </c>
      <c r="I56" s="545"/>
      <c r="J56" s="545"/>
      <c r="K56" s="545"/>
      <c r="L56" s="545"/>
      <c r="M56" s="545"/>
      <c r="N56" s="545"/>
    </row>
    <row r="57" spans="1:14">
      <c r="A57" s="476">
        <v>25</v>
      </c>
      <c r="B57" s="648" t="s">
        <v>572</v>
      </c>
      <c r="C57" s="538"/>
      <c r="D57" s="538"/>
      <c r="E57" s="539">
        <f t="shared" si="4"/>
        <v>0</v>
      </c>
      <c r="F57" s="538"/>
      <c r="G57" s="538"/>
      <c r="H57" s="539">
        <f t="shared" si="5"/>
        <v>0</v>
      </c>
      <c r="I57" s="545"/>
      <c r="J57" s="545"/>
      <c r="K57" s="545"/>
      <c r="L57" s="545"/>
      <c r="M57" s="545"/>
      <c r="N57" s="545"/>
    </row>
    <row r="58" spans="1:14">
      <c r="A58" s="476">
        <v>26</v>
      </c>
      <c r="B58" s="648" t="s">
        <v>573</v>
      </c>
      <c r="C58" s="538"/>
      <c r="D58" s="538"/>
      <c r="E58" s="539">
        <f t="shared" si="4"/>
        <v>0</v>
      </c>
      <c r="F58" s="538"/>
      <c r="G58" s="538"/>
      <c r="H58" s="539">
        <f t="shared" si="5"/>
        <v>0</v>
      </c>
      <c r="I58" s="545"/>
      <c r="J58" s="545"/>
      <c r="K58" s="545"/>
      <c r="L58" s="545"/>
      <c r="M58" s="545"/>
      <c r="N58" s="545"/>
    </row>
    <row r="59" spans="1:14" ht="14.4">
      <c r="A59" s="476">
        <v>27</v>
      </c>
      <c r="B59" s="648" t="s">
        <v>574</v>
      </c>
      <c r="C59" s="538">
        <f>SUM(C60:C61)</f>
        <v>1154910.5</v>
      </c>
      <c r="D59" s="538">
        <f>SUM(D60:D61)</f>
        <v>0</v>
      </c>
      <c r="E59" s="539">
        <f t="shared" si="4"/>
        <v>1154910.5</v>
      </c>
      <c r="F59" s="540">
        <f>SUM(F60:F61)</f>
        <v>1154910.5</v>
      </c>
      <c r="G59" s="538"/>
      <c r="H59" s="539">
        <f t="shared" si="5"/>
        <v>1154910.5</v>
      </c>
      <c r="I59" s="545"/>
      <c r="J59" s="545"/>
      <c r="K59" s="545"/>
      <c r="L59" s="545"/>
      <c r="M59" s="545"/>
      <c r="N59" s="545"/>
    </row>
    <row r="60" spans="1:14">
      <c r="A60" s="476">
        <v>27.1</v>
      </c>
      <c r="B60" s="649" t="s">
        <v>575</v>
      </c>
      <c r="C60" s="538">
        <v>1154910.5</v>
      </c>
      <c r="D60" s="538">
        <v>0</v>
      </c>
      <c r="E60" s="539">
        <f t="shared" si="4"/>
        <v>1154910.5</v>
      </c>
      <c r="F60" s="538">
        <v>1154910.5</v>
      </c>
      <c r="G60" s="538"/>
      <c r="H60" s="539">
        <f t="shared" si="5"/>
        <v>1154910.5</v>
      </c>
      <c r="I60" s="545"/>
      <c r="J60" s="545"/>
      <c r="K60" s="545"/>
      <c r="L60" s="545"/>
      <c r="M60" s="545"/>
      <c r="N60" s="545"/>
    </row>
    <row r="61" spans="1:14">
      <c r="A61" s="476">
        <v>27.2</v>
      </c>
      <c r="B61" s="649" t="s">
        <v>576</v>
      </c>
      <c r="C61" s="538"/>
      <c r="D61" s="538"/>
      <c r="E61" s="539">
        <f t="shared" si="4"/>
        <v>0</v>
      </c>
      <c r="F61" s="538"/>
      <c r="G61" s="538"/>
      <c r="H61" s="539">
        <f t="shared" si="5"/>
        <v>0</v>
      </c>
      <c r="I61" s="545"/>
      <c r="J61" s="545"/>
      <c r="K61" s="545"/>
      <c r="L61" s="545"/>
      <c r="M61" s="545"/>
      <c r="N61" s="545"/>
    </row>
    <row r="62" spans="1:14">
      <c r="A62" s="476">
        <v>28</v>
      </c>
      <c r="B62" s="650" t="s">
        <v>577</v>
      </c>
      <c r="C62" s="538"/>
      <c r="D62" s="538"/>
      <c r="E62" s="539">
        <f t="shared" si="4"/>
        <v>0</v>
      </c>
      <c r="F62" s="538"/>
      <c r="G62" s="538"/>
      <c r="H62" s="539">
        <f t="shared" si="5"/>
        <v>0</v>
      </c>
      <c r="I62" s="545"/>
      <c r="J62" s="545"/>
      <c r="K62" s="545"/>
      <c r="L62" s="545"/>
      <c r="M62" s="545"/>
      <c r="N62" s="545"/>
    </row>
    <row r="63" spans="1:14">
      <c r="A63" s="476">
        <v>29</v>
      </c>
      <c r="B63" s="648" t="s">
        <v>578</v>
      </c>
      <c r="C63" s="538">
        <f>SUM(C64:C66)</f>
        <v>0</v>
      </c>
      <c r="D63" s="538">
        <f>SUM(D64:D66)</f>
        <v>0</v>
      </c>
      <c r="E63" s="539">
        <f t="shared" si="4"/>
        <v>0</v>
      </c>
      <c r="F63" s="538"/>
      <c r="G63" s="538"/>
      <c r="H63" s="539">
        <f t="shared" si="5"/>
        <v>0</v>
      </c>
      <c r="I63" s="545"/>
      <c r="J63" s="545"/>
      <c r="K63" s="545"/>
      <c r="L63" s="545"/>
      <c r="M63" s="545"/>
      <c r="N63" s="545"/>
    </row>
    <row r="64" spans="1:14">
      <c r="A64" s="476">
        <v>29.1</v>
      </c>
      <c r="B64" s="651" t="s">
        <v>579</v>
      </c>
      <c r="C64" s="538"/>
      <c r="D64" s="538"/>
      <c r="E64" s="539">
        <f t="shared" si="4"/>
        <v>0</v>
      </c>
      <c r="F64" s="538"/>
      <c r="G64" s="538"/>
      <c r="H64" s="539">
        <f t="shared" si="5"/>
        <v>0</v>
      </c>
      <c r="I64" s="545"/>
      <c r="J64" s="545"/>
      <c r="K64" s="545"/>
      <c r="L64" s="545"/>
      <c r="M64" s="545"/>
      <c r="N64" s="545"/>
    </row>
    <row r="65" spans="1:14" ht="25.05" customHeight="1">
      <c r="A65" s="476">
        <v>29.2</v>
      </c>
      <c r="B65" s="652" t="s">
        <v>580</v>
      </c>
      <c r="C65" s="538"/>
      <c r="D65" s="538"/>
      <c r="E65" s="539">
        <f t="shared" si="4"/>
        <v>0</v>
      </c>
      <c r="F65" s="538"/>
      <c r="G65" s="538"/>
      <c r="H65" s="539">
        <f t="shared" si="5"/>
        <v>0</v>
      </c>
      <c r="I65" s="545"/>
      <c r="J65" s="545"/>
      <c r="K65" s="545"/>
      <c r="L65" s="545"/>
      <c r="M65" s="545"/>
      <c r="N65" s="545"/>
    </row>
    <row r="66" spans="1:14" ht="22.5" customHeight="1">
      <c r="A66" s="476">
        <v>29.3</v>
      </c>
      <c r="B66" s="652" t="s">
        <v>581</v>
      </c>
      <c r="C66" s="538"/>
      <c r="D66" s="538"/>
      <c r="E66" s="539">
        <f t="shared" si="4"/>
        <v>0</v>
      </c>
      <c r="F66" s="538"/>
      <c r="G66" s="538"/>
      <c r="H66" s="539">
        <f t="shared" si="5"/>
        <v>0</v>
      </c>
      <c r="I66" s="545"/>
      <c r="J66" s="545"/>
      <c r="K66" s="545"/>
      <c r="L66" s="545"/>
      <c r="M66" s="545"/>
      <c r="N66" s="545"/>
    </row>
    <row r="67" spans="1:14">
      <c r="A67" s="476">
        <v>30</v>
      </c>
      <c r="B67" s="648" t="s">
        <v>582</v>
      </c>
      <c r="C67" s="538">
        <v>-13499726.210000001</v>
      </c>
      <c r="D67" s="538"/>
      <c r="E67" s="539">
        <f t="shared" si="4"/>
        <v>-13499726.210000001</v>
      </c>
      <c r="F67" s="538">
        <v>-22491255.989999998</v>
      </c>
      <c r="G67" s="538"/>
      <c r="H67" s="539">
        <f t="shared" si="5"/>
        <v>-22491255.989999998</v>
      </c>
      <c r="I67" s="545"/>
      <c r="J67" s="545"/>
      <c r="K67" s="545"/>
      <c r="L67" s="545"/>
      <c r="M67" s="545"/>
      <c r="N67" s="545"/>
    </row>
    <row r="68" spans="1:14">
      <c r="A68" s="476">
        <v>31</v>
      </c>
      <c r="B68" s="479" t="s">
        <v>583</v>
      </c>
      <c r="C68" s="538">
        <f>SUM(C55,C56,C57,C58,C59,C62,C63,C67)</f>
        <v>124455184.28999999</v>
      </c>
      <c r="D68" s="538">
        <f>SUM(D55,D56,D57,D58,D59,D62,D63,D67)</f>
        <v>0</v>
      </c>
      <c r="E68" s="539">
        <f t="shared" si="4"/>
        <v>124455184.28999999</v>
      </c>
      <c r="F68" s="538">
        <f>SUM(F55,F56,F57,F58,F59,F62,F63,F67)</f>
        <v>115463654.51000001</v>
      </c>
      <c r="G68" s="538">
        <f>SUM(G55,G56,G57,G58,G59,G62,G63,G67)</f>
        <v>0</v>
      </c>
      <c r="H68" s="539">
        <f t="shared" si="5"/>
        <v>115463654.51000001</v>
      </c>
      <c r="I68" s="545"/>
      <c r="J68" s="545"/>
      <c r="K68" s="545"/>
      <c r="L68" s="545"/>
      <c r="M68" s="545"/>
      <c r="N68" s="545"/>
    </row>
    <row r="69" spans="1:14">
      <c r="A69" s="476">
        <v>32</v>
      </c>
      <c r="B69" s="480" t="s">
        <v>584</v>
      </c>
      <c r="C69" s="538">
        <f>SUM(C53,C68)</f>
        <v>332664853.16059995</v>
      </c>
      <c r="D69" s="538">
        <f>SUM(D53,D68)</f>
        <v>288648639.5868001</v>
      </c>
      <c r="E69" s="539">
        <f t="shared" si="4"/>
        <v>621313492.74740005</v>
      </c>
      <c r="F69" s="538">
        <f>SUM(F53,F68)</f>
        <v>243563752.12290001</v>
      </c>
      <c r="G69" s="538">
        <f>SUM(G53,G68)</f>
        <v>376640277.847</v>
      </c>
      <c r="H69" s="539">
        <f t="shared" si="5"/>
        <v>620204029.96990001</v>
      </c>
      <c r="I69" s="545"/>
      <c r="J69" s="545"/>
      <c r="K69" s="545"/>
      <c r="L69" s="545"/>
      <c r="M69" s="545"/>
      <c r="N69" s="545"/>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Footer>&amp;C_x000D_&amp;1#&amp;"Calibri"&amp;10&amp;K000000 C1 - FOR INTERNAL USE ONLY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M67"/>
  <sheetViews>
    <sheetView showGridLines="0" topLeftCell="A17" zoomScale="80" zoomScaleNormal="80" workbookViewId="0">
      <selection activeCell="I46" sqref="I46"/>
    </sheetView>
  </sheetViews>
  <sheetFormatPr defaultColWidth="9.21875" defaultRowHeight="12"/>
  <cols>
    <col min="1" max="1" width="11.77734375" style="370" bestFit="1" customWidth="1"/>
    <col min="2" max="2" width="93.44140625" style="370" customWidth="1"/>
    <col min="3" max="3" width="14.6640625" style="370" customWidth="1"/>
    <col min="4" max="5" width="16.109375" style="370" customWidth="1"/>
    <col min="6" max="6" width="16.109375" style="388" customWidth="1"/>
    <col min="7" max="7" width="25.21875" style="388" customWidth="1"/>
    <col min="8" max="8" width="16.109375" style="370" customWidth="1"/>
    <col min="9" max="11" width="16.109375" style="388" customWidth="1"/>
    <col min="12" max="12" width="26.21875" style="388" customWidth="1"/>
    <col min="13" max="16384" width="9.21875" style="370"/>
  </cols>
  <sheetData>
    <row r="1" spans="1:12" ht="13.8">
      <c r="A1" s="295" t="s">
        <v>30</v>
      </c>
      <c r="B1" s="357" t="str">
        <f>'Info '!C2</f>
        <v xml:space="preserve">PASHA Bank Georgia JSC </v>
      </c>
      <c r="F1" s="370"/>
      <c r="G1" s="370"/>
      <c r="I1" s="370"/>
      <c r="J1" s="370"/>
      <c r="K1" s="370"/>
      <c r="L1" s="370"/>
    </row>
    <row r="2" spans="1:12">
      <c r="A2" s="295" t="s">
        <v>31</v>
      </c>
      <c r="B2" s="356">
        <f>'1. key ratios '!B2</f>
        <v>45838</v>
      </c>
      <c r="F2" s="370"/>
      <c r="G2" s="370"/>
      <c r="I2" s="370"/>
      <c r="J2" s="370"/>
      <c r="K2" s="370"/>
      <c r="L2" s="370"/>
    </row>
    <row r="3" spans="1:12">
      <c r="A3" s="296" t="s">
        <v>466</v>
      </c>
      <c r="F3" s="370"/>
      <c r="G3" s="370"/>
      <c r="I3" s="370"/>
      <c r="J3" s="370"/>
      <c r="K3" s="370"/>
      <c r="L3" s="370"/>
    </row>
    <row r="4" spans="1:12">
      <c r="F4" s="370"/>
      <c r="G4" s="370"/>
      <c r="I4" s="370"/>
      <c r="J4" s="370"/>
      <c r="K4" s="370"/>
      <c r="L4" s="370"/>
    </row>
    <row r="5" spans="1:12" ht="37.5" customHeight="1">
      <c r="A5" s="787" t="s">
        <v>483</v>
      </c>
      <c r="B5" s="788"/>
      <c r="C5" s="833" t="s">
        <v>467</v>
      </c>
      <c r="D5" s="834"/>
      <c r="E5" s="834"/>
      <c r="F5" s="834"/>
      <c r="G5" s="834"/>
      <c r="H5" s="833" t="s">
        <v>627</v>
      </c>
      <c r="I5" s="835"/>
      <c r="J5" s="835"/>
      <c r="K5" s="835"/>
      <c r="L5" s="836"/>
    </row>
    <row r="6" spans="1:12" ht="39.450000000000003" customHeight="1">
      <c r="A6" s="791"/>
      <c r="B6" s="792"/>
      <c r="C6" s="298"/>
      <c r="D6" s="368" t="s">
        <v>648</v>
      </c>
      <c r="E6" s="368" t="s">
        <v>647</v>
      </c>
      <c r="F6" s="368" t="s">
        <v>646</v>
      </c>
      <c r="G6" s="368" t="s">
        <v>645</v>
      </c>
      <c r="H6" s="389"/>
      <c r="I6" s="368" t="s">
        <v>648</v>
      </c>
      <c r="J6" s="368" t="s">
        <v>647</v>
      </c>
      <c r="K6" s="368" t="s">
        <v>646</v>
      </c>
      <c r="L6" s="368" t="s">
        <v>645</v>
      </c>
    </row>
    <row r="7" spans="1:12">
      <c r="A7" s="359">
        <v>1</v>
      </c>
      <c r="B7" s="374" t="s">
        <v>486</v>
      </c>
      <c r="C7" s="636"/>
      <c r="D7" s="620"/>
      <c r="E7" s="620"/>
      <c r="F7" s="637"/>
      <c r="G7" s="637"/>
      <c r="H7" s="620"/>
      <c r="I7" s="637"/>
      <c r="J7" s="637"/>
      <c r="K7" s="637"/>
      <c r="L7" s="637"/>
    </row>
    <row r="8" spans="1:12">
      <c r="A8" s="359">
        <v>2</v>
      </c>
      <c r="B8" s="374" t="s">
        <v>399</v>
      </c>
      <c r="C8" s="636">
        <v>90373757.7861</v>
      </c>
      <c r="D8" s="620">
        <v>90172085.986100003</v>
      </c>
      <c r="E8" s="620">
        <v>0</v>
      </c>
      <c r="F8" s="638">
        <v>201671.8</v>
      </c>
      <c r="G8" s="638">
        <v>0</v>
      </c>
      <c r="H8" s="620">
        <v>399826.41619999998</v>
      </c>
      <c r="I8" s="638">
        <v>203605.04929999998</v>
      </c>
      <c r="J8" s="638">
        <v>0</v>
      </c>
      <c r="K8" s="638">
        <v>196221.36689999999</v>
      </c>
      <c r="L8" s="638">
        <v>0</v>
      </c>
    </row>
    <row r="9" spans="1:12">
      <c r="A9" s="359">
        <v>3</v>
      </c>
      <c r="B9" s="374" t="s">
        <v>400</v>
      </c>
      <c r="C9" s="636"/>
      <c r="D9" s="620"/>
      <c r="E9" s="620"/>
      <c r="F9" s="639"/>
      <c r="G9" s="639"/>
      <c r="H9" s="620"/>
      <c r="I9" s="639"/>
      <c r="J9" s="639"/>
      <c r="K9" s="639"/>
      <c r="L9" s="639"/>
    </row>
    <row r="10" spans="1:12">
      <c r="A10" s="359">
        <v>4</v>
      </c>
      <c r="B10" s="374" t="s">
        <v>487</v>
      </c>
      <c r="C10" s="636">
        <v>32020448.953699999</v>
      </c>
      <c r="D10" s="620">
        <v>26609488.249200001</v>
      </c>
      <c r="E10" s="620">
        <v>1852947.6322999999</v>
      </c>
      <c r="F10" s="639">
        <v>3558013.0721999998</v>
      </c>
      <c r="G10" s="639">
        <v>0</v>
      </c>
      <c r="H10" s="620">
        <v>2392860.2618</v>
      </c>
      <c r="I10" s="639">
        <v>263087.26520000002</v>
      </c>
      <c r="J10" s="639">
        <v>6700.7152999999998</v>
      </c>
      <c r="K10" s="639">
        <v>2123072.2812999999</v>
      </c>
      <c r="L10" s="639">
        <v>0</v>
      </c>
    </row>
    <row r="11" spans="1:12">
      <c r="A11" s="359">
        <v>5</v>
      </c>
      <c r="B11" s="374" t="s">
        <v>401</v>
      </c>
      <c r="C11" s="636">
        <v>47500729.059799999</v>
      </c>
      <c r="D11" s="620">
        <v>45315874.949900001</v>
      </c>
      <c r="E11" s="620">
        <v>2184854.1099</v>
      </c>
      <c r="F11" s="639">
        <v>0</v>
      </c>
      <c r="G11" s="639">
        <v>0</v>
      </c>
      <c r="H11" s="620">
        <v>114291.3314</v>
      </c>
      <c r="I11" s="639">
        <v>94369.751699999993</v>
      </c>
      <c r="J11" s="639">
        <v>19921.579699999998</v>
      </c>
      <c r="K11" s="639">
        <v>0</v>
      </c>
      <c r="L11" s="639">
        <v>0</v>
      </c>
    </row>
    <row r="12" spans="1:12">
      <c r="A12" s="359">
        <v>6</v>
      </c>
      <c r="B12" s="374" t="s">
        <v>402</v>
      </c>
      <c r="C12" s="636">
        <v>1053080.6754000001</v>
      </c>
      <c r="D12" s="620">
        <v>1053080.6754000001</v>
      </c>
      <c r="E12" s="620">
        <v>0</v>
      </c>
      <c r="F12" s="639">
        <v>0</v>
      </c>
      <c r="G12" s="639">
        <v>0</v>
      </c>
      <c r="H12" s="620">
        <v>4130.4432999999999</v>
      </c>
      <c r="I12" s="639">
        <v>4130.4432999999999</v>
      </c>
      <c r="J12" s="639">
        <v>0</v>
      </c>
      <c r="K12" s="639">
        <v>0</v>
      </c>
      <c r="L12" s="639">
        <v>0</v>
      </c>
    </row>
    <row r="13" spans="1:12">
      <c r="A13" s="359">
        <v>7</v>
      </c>
      <c r="B13" s="374" t="s">
        <v>403</v>
      </c>
      <c r="C13" s="636"/>
      <c r="D13" s="620"/>
      <c r="E13" s="620"/>
      <c r="F13" s="639"/>
      <c r="G13" s="639"/>
      <c r="H13" s="620"/>
      <c r="I13" s="639"/>
      <c r="J13" s="639"/>
      <c r="K13" s="639"/>
      <c r="L13" s="639"/>
    </row>
    <row r="14" spans="1:12">
      <c r="A14" s="359">
        <v>8</v>
      </c>
      <c r="B14" s="374" t="s">
        <v>404</v>
      </c>
      <c r="C14" s="636">
        <v>2873801.2741</v>
      </c>
      <c r="D14" s="620">
        <v>1667643.9110999999</v>
      </c>
      <c r="E14" s="620">
        <v>0</v>
      </c>
      <c r="F14" s="639">
        <v>1206157.3629999999</v>
      </c>
      <c r="G14" s="639">
        <v>0</v>
      </c>
      <c r="H14" s="620">
        <v>128183.9501</v>
      </c>
      <c r="I14" s="639">
        <v>12731.213400000001</v>
      </c>
      <c r="J14" s="639">
        <v>0</v>
      </c>
      <c r="K14" s="639">
        <v>115452.73669999999</v>
      </c>
      <c r="L14" s="639">
        <v>0</v>
      </c>
    </row>
    <row r="15" spans="1:12">
      <c r="A15" s="359">
        <v>9</v>
      </c>
      <c r="B15" s="374" t="s">
        <v>405</v>
      </c>
      <c r="C15" s="636">
        <v>18789228.561000001</v>
      </c>
      <c r="D15" s="620">
        <v>18789228.561000001</v>
      </c>
      <c r="E15" s="620">
        <v>0</v>
      </c>
      <c r="F15" s="639">
        <v>0</v>
      </c>
      <c r="G15" s="639">
        <v>0</v>
      </c>
      <c r="H15" s="620">
        <v>68808.494500000001</v>
      </c>
      <c r="I15" s="639">
        <v>68808.494500000001</v>
      </c>
      <c r="J15" s="639">
        <v>0</v>
      </c>
      <c r="K15" s="639">
        <v>0</v>
      </c>
      <c r="L15" s="639">
        <v>0</v>
      </c>
    </row>
    <row r="16" spans="1:12">
      <c r="A16" s="359">
        <v>10</v>
      </c>
      <c r="B16" s="374" t="s">
        <v>406</v>
      </c>
      <c r="C16" s="636">
        <v>3258446.0743999998</v>
      </c>
      <c r="D16" s="620">
        <v>3258446.0743999998</v>
      </c>
      <c r="E16" s="620">
        <v>0</v>
      </c>
      <c r="F16" s="639">
        <v>0</v>
      </c>
      <c r="G16" s="639">
        <v>0</v>
      </c>
      <c r="H16" s="620">
        <v>6136.4043000000001</v>
      </c>
      <c r="I16" s="639">
        <v>6136.4043000000001</v>
      </c>
      <c r="J16" s="639">
        <v>0</v>
      </c>
      <c r="K16" s="639">
        <v>0</v>
      </c>
      <c r="L16" s="639">
        <v>0</v>
      </c>
    </row>
    <row r="17" spans="1:12">
      <c r="A17" s="359">
        <v>11</v>
      </c>
      <c r="B17" s="374" t="s">
        <v>407</v>
      </c>
      <c r="C17" s="636">
        <v>5628455.8140000002</v>
      </c>
      <c r="D17" s="620">
        <v>2506388.6784000001</v>
      </c>
      <c r="E17" s="620">
        <v>3122067.1356000002</v>
      </c>
      <c r="F17" s="639">
        <v>0</v>
      </c>
      <c r="G17" s="639">
        <v>0</v>
      </c>
      <c r="H17" s="620">
        <v>69248.496799999994</v>
      </c>
      <c r="I17" s="639">
        <v>5958.1498000000001</v>
      </c>
      <c r="J17" s="639">
        <v>63290.347000000002</v>
      </c>
      <c r="K17" s="639">
        <v>0</v>
      </c>
      <c r="L17" s="639">
        <v>0</v>
      </c>
    </row>
    <row r="18" spans="1:12">
      <c r="A18" s="359">
        <v>12</v>
      </c>
      <c r="B18" s="374" t="s">
        <v>408</v>
      </c>
      <c r="C18" s="636">
        <v>15754929.495100001</v>
      </c>
      <c r="D18" s="620">
        <v>15754929.495100001</v>
      </c>
      <c r="E18" s="620">
        <v>0</v>
      </c>
      <c r="F18" s="639">
        <v>0</v>
      </c>
      <c r="G18" s="639">
        <v>0</v>
      </c>
      <c r="H18" s="620">
        <v>150158.21909999999</v>
      </c>
      <c r="I18" s="639">
        <v>150158.21909999999</v>
      </c>
      <c r="J18" s="639">
        <v>0</v>
      </c>
      <c r="K18" s="639">
        <v>0</v>
      </c>
      <c r="L18" s="639">
        <v>0</v>
      </c>
    </row>
    <row r="19" spans="1:12">
      <c r="A19" s="359">
        <v>13</v>
      </c>
      <c r="B19" s="374" t="s">
        <v>409</v>
      </c>
      <c r="C19" s="636">
        <v>432260.48599999998</v>
      </c>
      <c r="D19" s="620">
        <v>0</v>
      </c>
      <c r="E19" s="620">
        <v>0</v>
      </c>
      <c r="F19" s="639">
        <v>432260.48599999998</v>
      </c>
      <c r="G19" s="639">
        <v>0</v>
      </c>
      <c r="H19" s="620">
        <v>43170.160300000003</v>
      </c>
      <c r="I19" s="639">
        <v>0</v>
      </c>
      <c r="J19" s="639">
        <v>0</v>
      </c>
      <c r="K19" s="639">
        <v>43170.160300000003</v>
      </c>
      <c r="L19" s="639">
        <v>0</v>
      </c>
    </row>
    <row r="20" spans="1:12">
      <c r="A20" s="359">
        <v>14</v>
      </c>
      <c r="B20" s="374" t="s">
        <v>410</v>
      </c>
      <c r="C20" s="636">
        <v>14053489.964199999</v>
      </c>
      <c r="D20" s="620">
        <v>10659704.718900001</v>
      </c>
      <c r="E20" s="620">
        <v>1052395.4993</v>
      </c>
      <c r="F20" s="639">
        <v>2341389.7459999998</v>
      </c>
      <c r="G20" s="639">
        <v>0</v>
      </c>
      <c r="H20" s="620">
        <v>442010.69919999997</v>
      </c>
      <c r="I20" s="639">
        <v>47134.428899999999</v>
      </c>
      <c r="J20" s="639">
        <v>173756.9112</v>
      </c>
      <c r="K20" s="639">
        <v>221119.3591</v>
      </c>
      <c r="L20" s="639">
        <v>0</v>
      </c>
    </row>
    <row r="21" spans="1:12">
      <c r="A21" s="359">
        <v>15</v>
      </c>
      <c r="B21" s="374" t="s">
        <v>411</v>
      </c>
      <c r="C21" s="636">
        <v>19329763.4069</v>
      </c>
      <c r="D21" s="620">
        <v>9883702.0558000002</v>
      </c>
      <c r="E21" s="620">
        <v>0</v>
      </c>
      <c r="F21" s="639">
        <v>9446061.3510999996</v>
      </c>
      <c r="G21" s="639">
        <v>0</v>
      </c>
      <c r="H21" s="620">
        <v>1638048.983</v>
      </c>
      <c r="I21" s="639">
        <v>46398.225599999998</v>
      </c>
      <c r="J21" s="639">
        <v>0</v>
      </c>
      <c r="K21" s="639">
        <v>1591650.7574</v>
      </c>
      <c r="L21" s="639">
        <v>0</v>
      </c>
    </row>
    <row r="22" spans="1:12">
      <c r="A22" s="359">
        <v>16</v>
      </c>
      <c r="B22" s="374" t="s">
        <v>412</v>
      </c>
      <c r="C22" s="636"/>
      <c r="D22" s="620"/>
      <c r="E22" s="620"/>
      <c r="F22" s="639"/>
      <c r="G22" s="639"/>
      <c r="H22" s="620"/>
      <c r="I22" s="639"/>
      <c r="J22" s="639"/>
      <c r="K22" s="639"/>
      <c r="L22" s="639"/>
    </row>
    <row r="23" spans="1:12">
      <c r="A23" s="359">
        <v>17</v>
      </c>
      <c r="B23" s="374" t="s">
        <v>490</v>
      </c>
      <c r="C23" s="636">
        <v>8629521.8706999999</v>
      </c>
      <c r="D23" s="620">
        <v>8629521.8706999999</v>
      </c>
      <c r="E23" s="620">
        <v>0</v>
      </c>
      <c r="F23" s="639">
        <v>0</v>
      </c>
      <c r="G23" s="639">
        <v>0</v>
      </c>
      <c r="H23" s="620">
        <v>116969.06080000001</v>
      </c>
      <c r="I23" s="639">
        <v>116969.06080000001</v>
      </c>
      <c r="J23" s="639">
        <v>0</v>
      </c>
      <c r="K23" s="639">
        <v>0</v>
      </c>
      <c r="L23" s="639">
        <v>0</v>
      </c>
    </row>
    <row r="24" spans="1:12">
      <c r="A24" s="359">
        <v>18</v>
      </c>
      <c r="B24" s="374" t="s">
        <v>413</v>
      </c>
      <c r="C24" s="636">
        <v>75789492.674899995</v>
      </c>
      <c r="D24" s="620">
        <v>75789492.674899995</v>
      </c>
      <c r="E24" s="620">
        <v>0</v>
      </c>
      <c r="F24" s="639">
        <v>0</v>
      </c>
      <c r="G24" s="639">
        <v>0</v>
      </c>
      <c r="H24" s="620">
        <v>344261.9803</v>
      </c>
      <c r="I24" s="639">
        <v>344261.9803</v>
      </c>
      <c r="J24" s="639">
        <v>0</v>
      </c>
      <c r="K24" s="639">
        <v>0</v>
      </c>
      <c r="L24" s="639">
        <v>0</v>
      </c>
    </row>
    <row r="25" spans="1:12">
      <c r="A25" s="359">
        <v>19</v>
      </c>
      <c r="B25" s="374" t="s">
        <v>414</v>
      </c>
      <c r="C25" s="636"/>
      <c r="D25" s="620"/>
      <c r="E25" s="620"/>
      <c r="F25" s="639"/>
      <c r="G25" s="639"/>
      <c r="H25" s="620"/>
      <c r="I25" s="639"/>
      <c r="J25" s="639"/>
      <c r="K25" s="639"/>
      <c r="L25" s="639"/>
    </row>
    <row r="26" spans="1:12">
      <c r="A26" s="359">
        <v>20</v>
      </c>
      <c r="B26" s="374" t="s">
        <v>489</v>
      </c>
      <c r="C26" s="636">
        <v>7747232.9183</v>
      </c>
      <c r="D26" s="620">
        <v>7747232.9183</v>
      </c>
      <c r="E26" s="620">
        <v>0</v>
      </c>
      <c r="F26" s="639">
        <v>0</v>
      </c>
      <c r="G26" s="639">
        <v>0</v>
      </c>
      <c r="H26" s="620">
        <v>168442.6868</v>
      </c>
      <c r="I26" s="639">
        <v>168442.6868</v>
      </c>
      <c r="J26" s="639">
        <v>0</v>
      </c>
      <c r="K26" s="639">
        <v>0</v>
      </c>
      <c r="L26" s="639">
        <v>0</v>
      </c>
    </row>
    <row r="27" spans="1:12">
      <c r="A27" s="359">
        <v>21</v>
      </c>
      <c r="B27" s="374" t="s">
        <v>415</v>
      </c>
      <c r="C27" s="636"/>
      <c r="D27" s="620"/>
      <c r="E27" s="620"/>
      <c r="F27" s="639"/>
      <c r="G27" s="639"/>
      <c r="H27" s="620"/>
      <c r="I27" s="639"/>
      <c r="J27" s="639"/>
      <c r="K27" s="639"/>
      <c r="L27" s="639"/>
    </row>
    <row r="28" spans="1:12">
      <c r="A28" s="359">
        <v>22</v>
      </c>
      <c r="B28" s="374" t="s">
        <v>416</v>
      </c>
      <c r="C28" s="636"/>
      <c r="D28" s="620"/>
      <c r="E28" s="620"/>
      <c r="F28" s="639"/>
      <c r="G28" s="639"/>
      <c r="H28" s="620"/>
      <c r="I28" s="639"/>
      <c r="J28" s="639"/>
      <c r="K28" s="639"/>
      <c r="L28" s="639"/>
    </row>
    <row r="29" spans="1:12">
      <c r="A29" s="359">
        <v>23</v>
      </c>
      <c r="B29" s="374" t="s">
        <v>417</v>
      </c>
      <c r="C29" s="636">
        <v>19436868.988299999</v>
      </c>
      <c r="D29" s="620">
        <v>17156054.0123</v>
      </c>
      <c r="E29" s="620">
        <v>0</v>
      </c>
      <c r="F29" s="639">
        <v>2280814.9759999998</v>
      </c>
      <c r="G29" s="639">
        <v>0</v>
      </c>
      <c r="H29" s="620">
        <v>350523.52370000002</v>
      </c>
      <c r="I29" s="639">
        <v>76719.596000000005</v>
      </c>
      <c r="J29" s="639">
        <v>0</v>
      </c>
      <c r="K29" s="639">
        <v>273803.9277</v>
      </c>
      <c r="L29" s="639">
        <v>0</v>
      </c>
    </row>
    <row r="30" spans="1:12">
      <c r="A30" s="359">
        <v>24</v>
      </c>
      <c r="B30" s="374" t="s">
        <v>488</v>
      </c>
      <c r="C30" s="636">
        <v>13187159.5505</v>
      </c>
      <c r="D30" s="620">
        <v>1506064.98</v>
      </c>
      <c r="E30" s="620">
        <v>0</v>
      </c>
      <c r="F30" s="639">
        <v>9129709.2247000001</v>
      </c>
      <c r="G30" s="639">
        <v>2551385.3457999998</v>
      </c>
      <c r="H30" s="620">
        <v>5249803.2237</v>
      </c>
      <c r="I30" s="639">
        <v>41685.572200000002</v>
      </c>
      <c r="J30" s="639">
        <v>0</v>
      </c>
      <c r="K30" s="639">
        <v>3993938.8994</v>
      </c>
      <c r="L30" s="639">
        <v>1214178.7520999999</v>
      </c>
    </row>
    <row r="31" spans="1:12">
      <c r="A31" s="359">
        <v>25</v>
      </c>
      <c r="B31" s="374" t="s">
        <v>418</v>
      </c>
      <c r="C31" s="636">
        <v>564897.10129999998</v>
      </c>
      <c r="D31" s="620">
        <v>564897.10129999998</v>
      </c>
      <c r="E31" s="620">
        <v>0</v>
      </c>
      <c r="F31" s="639">
        <v>0</v>
      </c>
      <c r="G31" s="639">
        <v>0</v>
      </c>
      <c r="H31" s="620">
        <v>10.768000000000001</v>
      </c>
      <c r="I31" s="639">
        <v>10.768000000000001</v>
      </c>
      <c r="J31" s="639">
        <v>0</v>
      </c>
      <c r="K31" s="639">
        <v>0</v>
      </c>
      <c r="L31" s="639">
        <v>0</v>
      </c>
    </row>
    <row r="32" spans="1:12">
      <c r="A32" s="359">
        <v>26</v>
      </c>
      <c r="B32" s="374" t="s">
        <v>485</v>
      </c>
      <c r="C32" s="636">
        <v>485384.408</v>
      </c>
      <c r="D32" s="620">
        <v>485384.408</v>
      </c>
      <c r="E32" s="620">
        <v>0</v>
      </c>
      <c r="F32" s="639">
        <v>0</v>
      </c>
      <c r="G32" s="639">
        <v>0</v>
      </c>
      <c r="H32" s="620">
        <v>58.947800000000001</v>
      </c>
      <c r="I32" s="639">
        <v>58.947800000000001</v>
      </c>
      <c r="J32" s="639">
        <v>0</v>
      </c>
      <c r="K32" s="639">
        <v>0</v>
      </c>
      <c r="L32" s="639">
        <v>0</v>
      </c>
    </row>
    <row r="33" spans="1:13">
      <c r="A33" s="359">
        <v>27</v>
      </c>
      <c r="B33" s="417" t="s">
        <v>64</v>
      </c>
      <c r="C33" s="640">
        <f>SUM(C7:C32)</f>
        <v>376908949.06269997</v>
      </c>
      <c r="D33" s="640">
        <f t="shared" ref="D33:L33" si="0">SUM(D7:D32)</f>
        <v>337549221.32080001</v>
      </c>
      <c r="E33" s="640">
        <f t="shared" si="0"/>
        <v>8212264.3771000011</v>
      </c>
      <c r="F33" s="640">
        <f t="shared" si="0"/>
        <v>28596078.018999998</v>
      </c>
      <c r="G33" s="640">
        <f t="shared" si="0"/>
        <v>2551385.3457999998</v>
      </c>
      <c r="H33" s="640">
        <f t="shared" si="0"/>
        <v>11686944.051099997</v>
      </c>
      <c r="I33" s="640">
        <f t="shared" si="0"/>
        <v>1650666.257</v>
      </c>
      <c r="J33" s="640">
        <f t="shared" si="0"/>
        <v>263669.55319999997</v>
      </c>
      <c r="K33" s="640">
        <f t="shared" si="0"/>
        <v>8558429.4887999985</v>
      </c>
      <c r="L33" s="640">
        <f t="shared" si="0"/>
        <v>1214178.7520999999</v>
      </c>
    </row>
    <row r="35" spans="1:13">
      <c r="B35" s="416"/>
      <c r="C35" s="709"/>
      <c r="D35" s="709"/>
      <c r="E35" s="709"/>
      <c r="F35" s="709"/>
      <c r="G35" s="709"/>
      <c r="H35" s="709"/>
      <c r="I35" s="709"/>
      <c r="J35" s="709"/>
      <c r="K35" s="709"/>
      <c r="L35" s="709"/>
      <c r="M35" s="709"/>
    </row>
    <row r="36" spans="1:13">
      <c r="C36" s="709"/>
      <c r="D36" s="709"/>
      <c r="E36" s="709"/>
      <c r="F36" s="709"/>
      <c r="G36" s="709"/>
      <c r="H36" s="709"/>
      <c r="I36" s="709"/>
      <c r="J36" s="709"/>
      <c r="K36" s="709"/>
      <c r="L36" s="709"/>
      <c r="M36" s="709"/>
    </row>
    <row r="37" spans="1:13">
      <c r="C37" s="709"/>
      <c r="D37" s="709"/>
      <c r="E37" s="709"/>
      <c r="F37" s="709"/>
      <c r="G37" s="709"/>
      <c r="H37" s="709"/>
      <c r="I37" s="709"/>
      <c r="J37" s="709"/>
      <c r="K37" s="709"/>
      <c r="L37" s="709"/>
      <c r="M37" s="709"/>
    </row>
    <row r="38" spans="1:13">
      <c r="C38" s="709"/>
      <c r="D38" s="709"/>
      <c r="E38" s="709"/>
      <c r="F38" s="709"/>
      <c r="G38" s="709"/>
      <c r="H38" s="709"/>
      <c r="I38" s="709"/>
      <c r="J38" s="709"/>
      <c r="K38" s="709"/>
      <c r="L38" s="709"/>
      <c r="M38" s="709"/>
    </row>
    <row r="39" spans="1:13">
      <c r="C39" s="709"/>
      <c r="D39" s="709"/>
      <c r="E39" s="709"/>
      <c r="F39" s="709"/>
      <c r="G39" s="709"/>
      <c r="H39" s="709"/>
      <c r="I39" s="709"/>
      <c r="J39" s="709"/>
      <c r="K39" s="709"/>
      <c r="L39" s="709"/>
      <c r="M39" s="709"/>
    </row>
    <row r="40" spans="1:13">
      <c r="C40" s="709"/>
      <c r="D40" s="709"/>
      <c r="E40" s="709"/>
      <c r="F40" s="709"/>
      <c r="G40" s="709"/>
      <c r="H40" s="709"/>
      <c r="I40" s="709"/>
      <c r="J40" s="709"/>
      <c r="K40" s="709"/>
      <c r="L40" s="709"/>
      <c r="M40" s="709"/>
    </row>
    <row r="41" spans="1:13">
      <c r="C41" s="709"/>
      <c r="D41" s="709"/>
      <c r="E41" s="709"/>
      <c r="F41" s="709"/>
      <c r="G41" s="709"/>
      <c r="H41" s="709"/>
      <c r="I41" s="709"/>
      <c r="J41" s="709"/>
      <c r="K41" s="709"/>
      <c r="L41" s="709"/>
      <c r="M41" s="709"/>
    </row>
    <row r="42" spans="1:13">
      <c r="C42" s="709"/>
      <c r="D42" s="709"/>
      <c r="E42" s="709"/>
      <c r="F42" s="709"/>
      <c r="G42" s="709"/>
      <c r="H42" s="709"/>
      <c r="I42" s="709"/>
      <c r="J42" s="709"/>
      <c r="K42" s="709"/>
      <c r="L42" s="709"/>
      <c r="M42" s="709"/>
    </row>
    <row r="43" spans="1:13">
      <c r="C43" s="709"/>
      <c r="D43" s="709"/>
      <c r="E43" s="709"/>
      <c r="F43" s="709"/>
      <c r="G43" s="709"/>
      <c r="H43" s="709"/>
      <c r="I43" s="709"/>
      <c r="J43" s="709"/>
      <c r="K43" s="709"/>
      <c r="L43" s="709"/>
      <c r="M43" s="709"/>
    </row>
    <row r="44" spans="1:13">
      <c r="C44" s="709"/>
      <c r="D44" s="709"/>
      <c r="E44" s="709"/>
      <c r="F44" s="709"/>
      <c r="G44" s="709"/>
      <c r="H44" s="709"/>
      <c r="I44" s="709"/>
      <c r="J44" s="709"/>
      <c r="K44" s="709"/>
      <c r="L44" s="709"/>
      <c r="M44" s="709"/>
    </row>
    <row r="45" spans="1:13">
      <c r="C45" s="709"/>
      <c r="D45" s="709"/>
      <c r="E45" s="709"/>
      <c r="F45" s="709"/>
      <c r="G45" s="709"/>
      <c r="H45" s="709"/>
      <c r="I45" s="709"/>
      <c r="J45" s="709"/>
      <c r="K45" s="709"/>
      <c r="L45" s="709"/>
      <c r="M45" s="709"/>
    </row>
    <row r="46" spans="1:13">
      <c r="C46" s="709"/>
      <c r="D46" s="709"/>
      <c r="E46" s="709"/>
      <c r="F46" s="709"/>
      <c r="G46" s="709"/>
      <c r="H46" s="709"/>
      <c r="I46" s="709"/>
      <c r="J46" s="709"/>
      <c r="K46" s="709"/>
      <c r="L46" s="709"/>
      <c r="M46" s="709"/>
    </row>
    <row r="47" spans="1:13">
      <c r="C47" s="709"/>
      <c r="D47" s="709"/>
      <c r="E47" s="709"/>
      <c r="F47" s="709"/>
      <c r="G47" s="709"/>
      <c r="H47" s="709"/>
      <c r="I47" s="709"/>
      <c r="J47" s="709"/>
      <c r="K47" s="709"/>
      <c r="L47" s="709"/>
      <c r="M47" s="709"/>
    </row>
    <row r="48" spans="1:13">
      <c r="C48" s="709"/>
      <c r="D48" s="709"/>
      <c r="E48" s="709"/>
      <c r="F48" s="709"/>
      <c r="G48" s="709"/>
      <c r="H48" s="709"/>
      <c r="I48" s="709"/>
      <c r="J48" s="709"/>
      <c r="K48" s="709"/>
      <c r="L48" s="709"/>
      <c r="M48" s="709"/>
    </row>
    <row r="49" spans="3:13">
      <c r="C49" s="709"/>
      <c r="D49" s="709"/>
      <c r="E49" s="709"/>
      <c r="F49" s="709"/>
      <c r="G49" s="709"/>
      <c r="H49" s="709"/>
      <c r="I49" s="709"/>
      <c r="J49" s="709"/>
      <c r="K49" s="709"/>
      <c r="L49" s="709"/>
      <c r="M49" s="709"/>
    </row>
    <row r="50" spans="3:13">
      <c r="C50" s="709"/>
      <c r="D50" s="709"/>
      <c r="E50" s="709"/>
      <c r="F50" s="709"/>
      <c r="G50" s="709"/>
      <c r="H50" s="709"/>
      <c r="I50" s="709"/>
      <c r="J50" s="709"/>
      <c r="K50" s="709"/>
      <c r="L50" s="709"/>
      <c r="M50" s="709"/>
    </row>
    <row r="51" spans="3:13">
      <c r="C51" s="709"/>
      <c r="D51" s="709"/>
      <c r="E51" s="709"/>
      <c r="F51" s="709"/>
      <c r="G51" s="709"/>
      <c r="H51" s="709"/>
      <c r="I51" s="709"/>
      <c r="J51" s="709"/>
      <c r="K51" s="709"/>
      <c r="L51" s="709"/>
      <c r="M51" s="709"/>
    </row>
    <row r="52" spans="3:13">
      <c r="C52" s="709"/>
      <c r="D52" s="709"/>
      <c r="E52" s="709"/>
      <c r="F52" s="709"/>
      <c r="G52" s="709"/>
      <c r="H52" s="709"/>
      <c r="I52" s="709"/>
      <c r="J52" s="709"/>
      <c r="K52" s="709"/>
      <c r="L52" s="709"/>
      <c r="M52" s="709"/>
    </row>
    <row r="53" spans="3:13">
      <c r="C53" s="709"/>
      <c r="D53" s="709"/>
      <c r="E53" s="709"/>
      <c r="F53" s="709"/>
      <c r="G53" s="709"/>
      <c r="H53" s="709"/>
      <c r="I53" s="709"/>
      <c r="J53" s="709"/>
      <c r="K53" s="709"/>
      <c r="L53" s="709"/>
      <c r="M53" s="709"/>
    </row>
    <row r="54" spans="3:13">
      <c r="C54" s="709"/>
      <c r="D54" s="709"/>
      <c r="E54" s="709"/>
      <c r="F54" s="709"/>
      <c r="G54" s="709"/>
      <c r="H54" s="709"/>
      <c r="I54" s="709"/>
      <c r="J54" s="709"/>
      <c r="K54" s="709"/>
      <c r="L54" s="709"/>
      <c r="M54" s="709"/>
    </row>
    <row r="55" spans="3:13">
      <c r="C55" s="709"/>
      <c r="D55" s="709"/>
      <c r="E55" s="709"/>
      <c r="F55" s="709"/>
      <c r="G55" s="709"/>
      <c r="H55" s="709"/>
      <c r="I55" s="709"/>
      <c r="J55" s="709"/>
      <c r="K55" s="709"/>
      <c r="L55" s="709"/>
      <c r="M55" s="709"/>
    </row>
    <row r="56" spans="3:13">
      <c r="C56" s="709"/>
      <c r="D56" s="709"/>
      <c r="E56" s="709"/>
      <c r="F56" s="709"/>
      <c r="G56" s="709"/>
      <c r="H56" s="709"/>
      <c r="I56" s="709"/>
      <c r="J56" s="709"/>
      <c r="K56" s="709"/>
      <c r="L56" s="709"/>
      <c r="M56" s="709"/>
    </row>
    <row r="57" spans="3:13">
      <c r="C57" s="709"/>
      <c r="D57" s="709"/>
      <c r="E57" s="709"/>
      <c r="F57" s="709"/>
      <c r="G57" s="709"/>
      <c r="H57" s="709"/>
      <c r="I57" s="709"/>
      <c r="J57" s="709"/>
      <c r="K57" s="709"/>
      <c r="L57" s="709"/>
      <c r="M57" s="709"/>
    </row>
    <row r="58" spans="3:13">
      <c r="C58" s="709"/>
      <c r="D58" s="709"/>
      <c r="E58" s="709"/>
      <c r="F58" s="709"/>
      <c r="G58" s="709"/>
      <c r="H58" s="709"/>
      <c r="I58" s="709"/>
      <c r="J58" s="709"/>
      <c r="K58" s="709"/>
      <c r="L58" s="709"/>
      <c r="M58" s="709"/>
    </row>
    <row r="59" spans="3:13">
      <c r="C59" s="709"/>
      <c r="D59" s="709"/>
      <c r="E59" s="709"/>
      <c r="F59" s="709"/>
      <c r="G59" s="709"/>
      <c r="H59" s="709"/>
      <c r="I59" s="709"/>
      <c r="J59" s="709"/>
      <c r="K59" s="709"/>
      <c r="L59" s="709"/>
      <c r="M59" s="709"/>
    </row>
    <row r="60" spans="3:13">
      <c r="C60" s="709"/>
      <c r="D60" s="709"/>
      <c r="E60" s="709"/>
      <c r="F60" s="709"/>
      <c r="G60" s="709"/>
      <c r="H60" s="709"/>
      <c r="I60" s="709"/>
      <c r="J60" s="709"/>
      <c r="K60" s="709"/>
      <c r="L60" s="709"/>
      <c r="M60" s="709"/>
    </row>
    <row r="61" spans="3:13">
      <c r="C61" s="709"/>
      <c r="D61" s="709"/>
      <c r="E61" s="709"/>
      <c r="F61" s="709"/>
      <c r="G61" s="709"/>
      <c r="H61" s="709"/>
      <c r="I61" s="709"/>
      <c r="J61" s="709"/>
      <c r="K61" s="709"/>
      <c r="L61" s="709"/>
      <c r="M61" s="709"/>
    </row>
    <row r="62" spans="3:13">
      <c r="C62" s="635"/>
      <c r="D62" s="635"/>
      <c r="E62" s="635"/>
      <c r="F62" s="635"/>
      <c r="G62" s="635"/>
      <c r="H62" s="635"/>
      <c r="I62" s="635"/>
      <c r="J62" s="635"/>
      <c r="K62" s="635"/>
      <c r="L62" s="635"/>
    </row>
    <row r="63" spans="3:13">
      <c r="C63" s="635"/>
    </row>
    <row r="64" spans="3:13">
      <c r="C64" s="635"/>
    </row>
    <row r="65" spans="3:3">
      <c r="C65" s="635"/>
    </row>
    <row r="66" spans="3:3">
      <c r="C66" s="635"/>
    </row>
    <row r="67" spans="3:3">
      <c r="C67" s="635"/>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19"/>
  <sheetViews>
    <sheetView showGridLines="0" topLeftCell="A3" zoomScale="80" zoomScaleNormal="80" workbookViewId="0">
      <selection activeCell="C15" sqref="C15"/>
    </sheetView>
  </sheetViews>
  <sheetFormatPr defaultColWidth="8.77734375" defaultRowHeight="12"/>
  <cols>
    <col min="1" max="1" width="11.77734375" style="418" bestFit="1" customWidth="1"/>
    <col min="2" max="2" width="68.77734375" style="418" customWidth="1"/>
    <col min="3" max="11" width="28.21875" style="418" customWidth="1"/>
    <col min="12" max="16384" width="8.77734375" style="418"/>
  </cols>
  <sheetData>
    <row r="1" spans="1:11" s="370" customFormat="1" ht="13.8">
      <c r="A1" s="295" t="s">
        <v>30</v>
      </c>
      <c r="B1" s="357" t="str">
        <f>'Info '!C2</f>
        <v xml:space="preserve">PASHA Bank Georgia JSC </v>
      </c>
    </row>
    <row r="2" spans="1:11" s="370" customFormat="1">
      <c r="A2" s="295" t="s">
        <v>31</v>
      </c>
      <c r="B2" s="356">
        <f>'1. key ratios '!B2</f>
        <v>45838</v>
      </c>
    </row>
    <row r="3" spans="1:11" s="370" customFormat="1">
      <c r="A3" s="296" t="s">
        <v>468</v>
      </c>
    </row>
    <row r="4" spans="1:11">
      <c r="C4" s="421" t="s">
        <v>662</v>
      </c>
      <c r="D4" s="421" t="s">
        <v>661</v>
      </c>
      <c r="E4" s="421" t="s">
        <v>660</v>
      </c>
      <c r="F4" s="421" t="s">
        <v>659</v>
      </c>
      <c r="G4" s="421" t="s">
        <v>658</v>
      </c>
      <c r="H4" s="421" t="s">
        <v>657</v>
      </c>
      <c r="I4" s="421" t="s">
        <v>656</v>
      </c>
      <c r="J4" s="421" t="s">
        <v>655</v>
      </c>
      <c r="K4" s="421" t="s">
        <v>654</v>
      </c>
    </row>
    <row r="5" spans="1:11" ht="103.95" customHeight="1">
      <c r="A5" s="837" t="s">
        <v>653</v>
      </c>
      <c r="B5" s="838"/>
      <c r="C5" s="420" t="s">
        <v>469</v>
      </c>
      <c r="D5" s="420" t="s">
        <v>470</v>
      </c>
      <c r="E5" s="420" t="s">
        <v>471</v>
      </c>
      <c r="F5" s="420" t="s">
        <v>472</v>
      </c>
      <c r="G5" s="420" t="s">
        <v>473</v>
      </c>
      <c r="H5" s="420" t="s">
        <v>474</v>
      </c>
      <c r="I5" s="420" t="s">
        <v>475</v>
      </c>
      <c r="J5" s="420" t="s">
        <v>476</v>
      </c>
      <c r="K5" s="420" t="s">
        <v>477</v>
      </c>
    </row>
    <row r="6" spans="1:11">
      <c r="A6" s="359">
        <v>1</v>
      </c>
      <c r="B6" s="359" t="s">
        <v>437</v>
      </c>
      <c r="C6" s="607">
        <v>45484682.311800003</v>
      </c>
      <c r="D6" s="607"/>
      <c r="E6" s="607">
        <v>477129.75349999999</v>
      </c>
      <c r="F6" s="607"/>
      <c r="G6" s="607">
        <v>202332957.2525</v>
      </c>
      <c r="H6" s="607"/>
      <c r="I6" s="607">
        <v>60256390.961900003</v>
      </c>
      <c r="J6" s="607">
        <v>8590846.9914999995</v>
      </c>
      <c r="K6" s="607">
        <v>38247596.021499999</v>
      </c>
    </row>
    <row r="7" spans="1:11">
      <c r="A7" s="359">
        <v>2</v>
      </c>
      <c r="B7" s="359" t="s">
        <v>478</v>
      </c>
      <c r="C7" s="607"/>
      <c r="D7" s="607"/>
      <c r="E7" s="607"/>
      <c r="F7" s="607"/>
      <c r="G7" s="607">
        <v>3072977.0076000001</v>
      </c>
      <c r="H7" s="607"/>
      <c r="I7" s="607">
        <v>40817838.07</v>
      </c>
      <c r="J7" s="607">
        <v>0</v>
      </c>
      <c r="K7" s="607">
        <v>22328309.550000001</v>
      </c>
    </row>
    <row r="8" spans="1:11">
      <c r="A8" s="359">
        <v>3</v>
      </c>
      <c r="B8" s="359" t="s">
        <v>445</v>
      </c>
      <c r="C8" s="607">
        <v>1616097.8879</v>
      </c>
      <c r="D8" s="607"/>
      <c r="E8" s="607">
        <v>4452.3648000000003</v>
      </c>
      <c r="F8" s="607"/>
      <c r="G8" s="607">
        <v>21843650.612300001</v>
      </c>
      <c r="H8" s="607"/>
      <c r="I8" s="607">
        <v>7596459.4979999997</v>
      </c>
      <c r="J8" s="607">
        <v>13361271.4486</v>
      </c>
      <c r="K8" s="607">
        <v>44684924.180200003</v>
      </c>
    </row>
    <row r="9" spans="1:11">
      <c r="A9" s="359">
        <v>4</v>
      </c>
      <c r="B9" s="379" t="s">
        <v>479</v>
      </c>
      <c r="C9" s="666"/>
      <c r="D9" s="666"/>
      <c r="E9" s="666"/>
      <c r="F9" s="666"/>
      <c r="G9" s="666">
        <v>28916764.524999999</v>
      </c>
      <c r="H9" s="666"/>
      <c r="I9" s="666">
        <v>16.335999999999999</v>
      </c>
      <c r="J9" s="666">
        <v>267177.87770000001</v>
      </c>
      <c r="K9" s="666">
        <v>1963504.6261</v>
      </c>
    </row>
    <row r="10" spans="1:11">
      <c r="A10" s="359">
        <v>5</v>
      </c>
      <c r="B10" s="379" t="s">
        <v>480</v>
      </c>
      <c r="C10" s="666"/>
      <c r="D10" s="666"/>
      <c r="E10" s="666"/>
      <c r="F10" s="666"/>
      <c r="G10" s="666"/>
      <c r="H10" s="666"/>
      <c r="I10" s="666"/>
      <c r="J10" s="666"/>
      <c r="K10" s="666"/>
    </row>
    <row r="11" spans="1:11">
      <c r="A11" s="359">
        <v>6</v>
      </c>
      <c r="B11" s="379" t="s">
        <v>481</v>
      </c>
      <c r="C11" s="666"/>
      <c r="D11" s="666"/>
      <c r="E11" s="666"/>
      <c r="F11" s="666"/>
      <c r="G11" s="666">
        <v>0</v>
      </c>
      <c r="H11" s="666"/>
      <c r="I11" s="666">
        <v>0</v>
      </c>
      <c r="J11" s="666">
        <v>0</v>
      </c>
      <c r="K11" s="666">
        <v>0</v>
      </c>
    </row>
    <row r="13" spans="1:11" ht="13.8">
      <c r="B13" s="419"/>
    </row>
    <row r="14" spans="1:11">
      <c r="C14" s="641"/>
      <c r="D14" s="641"/>
      <c r="E14" s="641"/>
      <c r="F14" s="641"/>
      <c r="G14" s="641"/>
      <c r="H14" s="641"/>
      <c r="I14" s="641"/>
      <c r="J14" s="641"/>
      <c r="K14" s="641"/>
    </row>
    <row r="15" spans="1:11">
      <c r="C15" s="641"/>
      <c r="D15" s="641"/>
      <c r="E15" s="641"/>
      <c r="F15" s="641"/>
      <c r="G15" s="641"/>
      <c r="H15" s="641"/>
      <c r="I15" s="641"/>
      <c r="J15" s="641"/>
      <c r="K15" s="641"/>
    </row>
    <row r="16" spans="1:11">
      <c r="C16" s="641"/>
      <c r="D16" s="641"/>
      <c r="E16" s="641"/>
      <c r="F16" s="641"/>
      <c r="G16" s="641"/>
      <c r="H16" s="641"/>
      <c r="I16" s="641"/>
      <c r="J16" s="641"/>
      <c r="K16" s="641"/>
    </row>
    <row r="17" spans="3:11">
      <c r="C17" s="641"/>
      <c r="D17" s="641"/>
      <c r="E17" s="641"/>
      <c r="F17" s="641"/>
      <c r="G17" s="641"/>
      <c r="H17" s="641"/>
      <c r="I17" s="641"/>
      <c r="J17" s="641"/>
      <c r="K17" s="641"/>
    </row>
    <row r="18" spans="3:11">
      <c r="C18" s="641"/>
      <c r="D18" s="641"/>
      <c r="E18" s="641"/>
      <c r="F18" s="641"/>
      <c r="G18" s="641"/>
      <c r="H18" s="641"/>
      <c r="I18" s="641"/>
      <c r="J18" s="641"/>
      <c r="K18" s="641"/>
    </row>
    <row r="19" spans="3:11">
      <c r="C19" s="641"/>
      <c r="D19" s="641"/>
      <c r="E19" s="641"/>
      <c r="F19" s="641"/>
      <c r="G19" s="641"/>
      <c r="H19" s="641"/>
      <c r="I19" s="641"/>
      <c r="J19" s="641"/>
      <c r="K19" s="641"/>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7"/>
  <sheetViews>
    <sheetView showGridLines="0" topLeftCell="A4" zoomScale="80" zoomScaleNormal="80" workbookViewId="0">
      <selection activeCell="B24" sqref="B24"/>
    </sheetView>
  </sheetViews>
  <sheetFormatPr defaultColWidth="8.77734375" defaultRowHeight="14.4"/>
  <cols>
    <col min="1" max="1" width="10" style="422" bestFit="1" customWidth="1"/>
    <col min="2" max="2" width="71.77734375" style="422" customWidth="1"/>
    <col min="3" max="3" width="10.6640625" style="422" bestFit="1" customWidth="1"/>
    <col min="4" max="7" width="15.5546875" style="422" customWidth="1"/>
    <col min="8" max="8" width="10.6640625" style="422" bestFit="1" customWidth="1"/>
    <col min="9" max="12" width="17.21875" style="422" customWidth="1"/>
    <col min="13" max="13" width="10.6640625" style="422" bestFit="1" customWidth="1"/>
    <col min="14" max="17" width="16.21875" style="422" customWidth="1"/>
    <col min="18" max="18" width="12.21875" style="422" bestFit="1" customWidth="1"/>
    <col min="19" max="19" width="46.88671875" style="422" bestFit="1" customWidth="1"/>
    <col min="20" max="20" width="43.44140625" style="422" bestFit="1" customWidth="1"/>
    <col min="21" max="21" width="45.88671875" style="422" bestFit="1" customWidth="1"/>
    <col min="22" max="22" width="43.33203125" style="422" bestFit="1" customWidth="1"/>
    <col min="23" max="16384" width="8.77734375" style="422"/>
  </cols>
  <sheetData>
    <row r="1" spans="1:22">
      <c r="A1" s="295" t="s">
        <v>30</v>
      </c>
      <c r="B1" s="357" t="str">
        <f>'Info '!C2</f>
        <v xml:space="preserve">PASHA Bank Georgia JSC </v>
      </c>
    </row>
    <row r="2" spans="1:22">
      <c r="A2" s="295" t="s">
        <v>31</v>
      </c>
      <c r="B2" s="356">
        <f>'1. key ratios '!B2</f>
        <v>45838</v>
      </c>
    </row>
    <row r="3" spans="1:22">
      <c r="A3" s="296" t="s">
        <v>496</v>
      </c>
      <c r="B3" s="370"/>
    </row>
    <row r="4" spans="1:22">
      <c r="A4" s="296"/>
      <c r="B4" s="370"/>
    </row>
    <row r="5" spans="1:22" ht="24" customHeight="1">
      <c r="A5" s="839" t="s">
        <v>497</v>
      </c>
      <c r="B5" s="840"/>
      <c r="C5" s="844" t="s">
        <v>663</v>
      </c>
      <c r="D5" s="844"/>
      <c r="E5" s="844"/>
      <c r="F5" s="844"/>
      <c r="G5" s="844"/>
      <c r="H5" s="844" t="s">
        <v>515</v>
      </c>
      <c r="I5" s="844"/>
      <c r="J5" s="844"/>
      <c r="K5" s="844"/>
      <c r="L5" s="844"/>
      <c r="M5" s="844" t="s">
        <v>627</v>
      </c>
      <c r="N5" s="844"/>
      <c r="O5" s="844"/>
      <c r="P5" s="844"/>
      <c r="Q5" s="844"/>
      <c r="R5" s="843" t="s">
        <v>498</v>
      </c>
      <c r="S5" s="843" t="s">
        <v>512</v>
      </c>
      <c r="T5" s="843" t="s">
        <v>513</v>
      </c>
      <c r="U5" s="843" t="s">
        <v>672</v>
      </c>
      <c r="V5" s="843" t="s">
        <v>673</v>
      </c>
    </row>
    <row r="6" spans="1:22" ht="36" customHeight="1">
      <c r="A6" s="841"/>
      <c r="B6" s="842"/>
      <c r="C6" s="431"/>
      <c r="D6" s="368" t="s">
        <v>648</v>
      </c>
      <c r="E6" s="368" t="s">
        <v>647</v>
      </c>
      <c r="F6" s="368" t="s">
        <v>646</v>
      </c>
      <c r="G6" s="368" t="s">
        <v>645</v>
      </c>
      <c r="H6" s="431"/>
      <c r="I6" s="368" t="s">
        <v>648</v>
      </c>
      <c r="J6" s="368" t="s">
        <v>647</v>
      </c>
      <c r="K6" s="368" t="s">
        <v>646</v>
      </c>
      <c r="L6" s="368" t="s">
        <v>645</v>
      </c>
      <c r="M6" s="431"/>
      <c r="N6" s="368" t="s">
        <v>648</v>
      </c>
      <c r="O6" s="368" t="s">
        <v>647</v>
      </c>
      <c r="P6" s="368" t="s">
        <v>646</v>
      </c>
      <c r="Q6" s="368" t="s">
        <v>645</v>
      </c>
      <c r="R6" s="843"/>
      <c r="S6" s="843"/>
      <c r="T6" s="843"/>
      <c r="U6" s="843"/>
      <c r="V6" s="843"/>
    </row>
    <row r="7" spans="1:22">
      <c r="A7" s="426">
        <v>1</v>
      </c>
      <c r="B7" s="430" t="s">
        <v>506</v>
      </c>
      <c r="C7" s="642"/>
      <c r="D7" s="643"/>
      <c r="E7" s="643"/>
      <c r="F7" s="643"/>
      <c r="G7" s="643"/>
      <c r="H7" s="643"/>
      <c r="I7" s="643"/>
      <c r="J7" s="643"/>
      <c r="K7" s="643"/>
      <c r="L7" s="643"/>
      <c r="M7" s="643"/>
      <c r="N7" s="643"/>
      <c r="O7" s="643"/>
      <c r="P7" s="643"/>
      <c r="Q7" s="643"/>
      <c r="R7" s="643">
        <v>0</v>
      </c>
      <c r="S7" s="710"/>
      <c r="T7" s="710"/>
      <c r="U7" s="710"/>
      <c r="V7" s="667"/>
    </row>
    <row r="8" spans="1:22">
      <c r="A8" s="426">
        <v>2</v>
      </c>
      <c r="B8" s="429" t="s">
        <v>505</v>
      </c>
      <c r="C8" s="642">
        <v>1542925.38</v>
      </c>
      <c r="D8" s="643">
        <v>1504749.41</v>
      </c>
      <c r="E8" s="643">
        <v>0</v>
      </c>
      <c r="F8" s="643">
        <v>38175.97</v>
      </c>
      <c r="G8" s="643"/>
      <c r="H8" s="643">
        <v>1591284.9638</v>
      </c>
      <c r="I8" s="643">
        <v>1553029.1638</v>
      </c>
      <c r="J8" s="643">
        <v>0</v>
      </c>
      <c r="K8" s="643">
        <v>38255.800000000003</v>
      </c>
      <c r="L8" s="643"/>
      <c r="M8" s="643">
        <v>34573.400199999996</v>
      </c>
      <c r="N8" s="643">
        <v>1768.0333000000001</v>
      </c>
      <c r="O8" s="643">
        <v>0</v>
      </c>
      <c r="P8" s="643">
        <v>32805.366900000001</v>
      </c>
      <c r="Q8" s="643"/>
      <c r="R8" s="643">
        <v>49</v>
      </c>
      <c r="S8" s="710">
        <v>0.1482</v>
      </c>
      <c r="T8" s="710">
        <v>0.15690000000000001</v>
      </c>
      <c r="U8" s="710">
        <v>0.122</v>
      </c>
      <c r="V8" s="667">
        <v>5.1470000000000002</v>
      </c>
    </row>
    <row r="9" spans="1:22">
      <c r="A9" s="426">
        <v>3</v>
      </c>
      <c r="B9" s="429" t="s">
        <v>504</v>
      </c>
      <c r="C9" s="642"/>
      <c r="D9" s="643"/>
      <c r="E9" s="643"/>
      <c r="F9" s="643"/>
      <c r="G9" s="643"/>
      <c r="H9" s="643"/>
      <c r="I9" s="643"/>
      <c r="J9" s="643"/>
      <c r="K9" s="643"/>
      <c r="L9" s="643"/>
      <c r="M9" s="643"/>
      <c r="N9" s="643"/>
      <c r="O9" s="643"/>
      <c r="P9" s="643"/>
      <c r="Q9" s="643"/>
      <c r="R9" s="643">
        <v>0</v>
      </c>
      <c r="S9" s="710"/>
      <c r="T9" s="710"/>
      <c r="U9" s="710"/>
      <c r="V9" s="667"/>
    </row>
    <row r="10" spans="1:22">
      <c r="A10" s="426">
        <v>4</v>
      </c>
      <c r="B10" s="429" t="s">
        <v>503</v>
      </c>
      <c r="C10" s="642"/>
      <c r="D10" s="643"/>
      <c r="E10" s="643"/>
      <c r="F10" s="643"/>
      <c r="G10" s="643"/>
      <c r="H10" s="643"/>
      <c r="I10" s="643"/>
      <c r="J10" s="643"/>
      <c r="K10" s="643"/>
      <c r="L10" s="643"/>
      <c r="M10" s="643"/>
      <c r="N10" s="643"/>
      <c r="O10" s="643"/>
      <c r="P10" s="643"/>
      <c r="Q10" s="643"/>
      <c r="R10" s="643">
        <v>0</v>
      </c>
      <c r="S10" s="710"/>
      <c r="T10" s="710"/>
      <c r="U10" s="710"/>
      <c r="V10" s="667"/>
    </row>
    <row r="11" spans="1:22">
      <c r="A11" s="426">
        <v>5</v>
      </c>
      <c r="B11" s="429" t="s">
        <v>502</v>
      </c>
      <c r="C11" s="642">
        <v>4093.6480000000001</v>
      </c>
      <c r="D11" s="643">
        <v>4093.6480000000001</v>
      </c>
      <c r="E11" s="643">
        <v>0</v>
      </c>
      <c r="F11" s="643">
        <v>0</v>
      </c>
      <c r="G11" s="643"/>
      <c r="H11" s="643">
        <v>4097.768</v>
      </c>
      <c r="I11" s="643">
        <v>4097.768</v>
      </c>
      <c r="J11" s="643">
        <v>0</v>
      </c>
      <c r="K11" s="643">
        <v>0</v>
      </c>
      <c r="L11" s="643"/>
      <c r="M11" s="643">
        <v>14.6404</v>
      </c>
      <c r="N11" s="643">
        <v>14.6404</v>
      </c>
      <c r="O11" s="643">
        <v>0</v>
      </c>
      <c r="P11" s="643">
        <v>0</v>
      </c>
      <c r="Q11" s="643"/>
      <c r="R11" s="643">
        <v>14</v>
      </c>
      <c r="S11" s="710">
        <v>0.14610000000000001</v>
      </c>
      <c r="T11" s="710">
        <v>0.15679999999999999</v>
      </c>
      <c r="U11" s="710">
        <v>0.1045</v>
      </c>
      <c r="V11" s="667">
        <v>3.3418779818554665</v>
      </c>
    </row>
    <row r="12" spans="1:22">
      <c r="A12" s="426">
        <v>6</v>
      </c>
      <c r="B12" s="429" t="s">
        <v>501</v>
      </c>
      <c r="C12" s="642"/>
      <c r="D12" s="643"/>
      <c r="E12" s="643"/>
      <c r="F12" s="643"/>
      <c r="G12" s="643"/>
      <c r="H12" s="643"/>
      <c r="I12" s="643"/>
      <c r="J12" s="643"/>
      <c r="K12" s="643"/>
      <c r="L12" s="643"/>
      <c r="M12" s="643"/>
      <c r="N12" s="643"/>
      <c r="O12" s="643"/>
      <c r="P12" s="643"/>
      <c r="Q12" s="643"/>
      <c r="R12" s="643">
        <v>0</v>
      </c>
      <c r="S12" s="710"/>
      <c r="T12" s="710"/>
      <c r="U12" s="710"/>
      <c r="V12" s="667"/>
    </row>
    <row r="13" spans="1:22">
      <c r="A13" s="426">
        <v>7</v>
      </c>
      <c r="B13" s="429" t="s">
        <v>500</v>
      </c>
      <c r="C13" s="642">
        <v>24837.543399999999</v>
      </c>
      <c r="D13" s="643">
        <v>0</v>
      </c>
      <c r="E13" s="643">
        <v>24837.543399999999</v>
      </c>
      <c r="F13" s="643">
        <v>0</v>
      </c>
      <c r="G13" s="643"/>
      <c r="H13" s="643">
        <v>24870.308300000001</v>
      </c>
      <c r="I13" s="643">
        <v>0</v>
      </c>
      <c r="J13" s="643">
        <v>24870.308300000001</v>
      </c>
      <c r="K13" s="643">
        <v>0</v>
      </c>
      <c r="L13" s="643"/>
      <c r="M13" s="643">
        <v>822.29380000000003</v>
      </c>
      <c r="N13" s="643">
        <v>0</v>
      </c>
      <c r="O13" s="643">
        <v>822.29380000000003</v>
      </c>
      <c r="P13" s="643">
        <v>0</v>
      </c>
      <c r="Q13" s="643"/>
      <c r="R13" s="643">
        <v>1</v>
      </c>
      <c r="S13" s="710"/>
      <c r="T13" s="710"/>
      <c r="U13" s="710">
        <v>9.3600000000000003E-2</v>
      </c>
      <c r="V13" s="667">
        <v>6</v>
      </c>
    </row>
    <row r="14" spans="1:22">
      <c r="A14" s="424">
        <v>7.1</v>
      </c>
      <c r="B14" s="423" t="s">
        <v>509</v>
      </c>
      <c r="C14" s="642">
        <v>24837.543399999999</v>
      </c>
      <c r="D14" s="643">
        <v>0</v>
      </c>
      <c r="E14" s="643">
        <v>24837.543399999999</v>
      </c>
      <c r="F14" s="643">
        <v>0</v>
      </c>
      <c r="G14" s="643"/>
      <c r="H14" s="643">
        <v>24870.308300000001</v>
      </c>
      <c r="I14" s="643">
        <v>0</v>
      </c>
      <c r="J14" s="643">
        <v>24870.308300000001</v>
      </c>
      <c r="K14" s="643">
        <v>0</v>
      </c>
      <c r="L14" s="643"/>
      <c r="M14" s="643">
        <v>822.29380000000003</v>
      </c>
      <c r="N14" s="643">
        <v>0</v>
      </c>
      <c r="O14" s="643">
        <v>822.29380000000003</v>
      </c>
      <c r="P14" s="643">
        <v>0</v>
      </c>
      <c r="Q14" s="643"/>
      <c r="R14" s="643">
        <v>1</v>
      </c>
      <c r="S14" s="710"/>
      <c r="T14" s="710"/>
      <c r="U14" s="710">
        <v>9.3600000000000003E-2</v>
      </c>
      <c r="V14" s="667">
        <v>6</v>
      </c>
    </row>
    <row r="15" spans="1:22">
      <c r="A15" s="424">
        <v>7.2</v>
      </c>
      <c r="B15" s="423" t="s">
        <v>511</v>
      </c>
      <c r="C15" s="642"/>
      <c r="D15" s="643"/>
      <c r="E15" s="643"/>
      <c r="F15" s="643"/>
      <c r="G15" s="643"/>
      <c r="H15" s="643"/>
      <c r="I15" s="643"/>
      <c r="J15" s="643"/>
      <c r="K15" s="643"/>
      <c r="L15" s="643"/>
      <c r="M15" s="643"/>
      <c r="N15" s="643"/>
      <c r="O15" s="643"/>
      <c r="P15" s="643"/>
      <c r="Q15" s="643"/>
      <c r="R15" s="643">
        <v>0</v>
      </c>
      <c r="S15" s="710"/>
      <c r="T15" s="710"/>
      <c r="U15" s="710"/>
      <c r="V15" s="667"/>
    </row>
    <row r="16" spans="1:22">
      <c r="A16" s="424">
        <v>7.3</v>
      </c>
      <c r="B16" s="423" t="s">
        <v>508</v>
      </c>
      <c r="C16" s="642"/>
      <c r="D16" s="643"/>
      <c r="E16" s="643"/>
      <c r="F16" s="643"/>
      <c r="G16" s="643"/>
      <c r="H16" s="643"/>
      <c r="I16" s="643"/>
      <c r="J16" s="643"/>
      <c r="K16" s="643"/>
      <c r="L16" s="643"/>
      <c r="M16" s="643"/>
      <c r="N16" s="643"/>
      <c r="O16" s="643"/>
      <c r="P16" s="643"/>
      <c r="Q16" s="643"/>
      <c r="R16" s="643">
        <v>0</v>
      </c>
      <c r="S16" s="710"/>
      <c r="T16" s="710"/>
      <c r="U16" s="710"/>
      <c r="V16" s="667"/>
    </row>
    <row r="17" spans="1:22">
      <c r="A17" s="426">
        <v>8</v>
      </c>
      <c r="B17" s="429" t="s">
        <v>507</v>
      </c>
      <c r="C17" s="642"/>
      <c r="D17" s="643"/>
      <c r="E17" s="643"/>
      <c r="F17" s="643"/>
      <c r="G17" s="643"/>
      <c r="H17" s="643"/>
      <c r="I17" s="643"/>
      <c r="J17" s="643"/>
      <c r="K17" s="643"/>
      <c r="L17" s="643"/>
      <c r="M17" s="643"/>
      <c r="N17" s="643"/>
      <c r="O17" s="643"/>
      <c r="P17" s="643"/>
      <c r="Q17" s="643"/>
      <c r="R17" s="643">
        <v>0</v>
      </c>
      <c r="S17" s="710"/>
      <c r="T17" s="710"/>
      <c r="U17" s="710"/>
      <c r="V17" s="667"/>
    </row>
    <row r="18" spans="1:22">
      <c r="A18" s="428">
        <v>9</v>
      </c>
      <c r="B18" s="427" t="s">
        <v>499</v>
      </c>
      <c r="C18" s="644"/>
      <c r="D18" s="645"/>
      <c r="E18" s="645"/>
      <c r="F18" s="645"/>
      <c r="G18" s="645"/>
      <c r="H18" s="645"/>
      <c r="I18" s="645"/>
      <c r="J18" s="645"/>
      <c r="K18" s="645"/>
      <c r="L18" s="645"/>
      <c r="M18" s="645"/>
      <c r="N18" s="645"/>
      <c r="O18" s="645"/>
      <c r="P18" s="645"/>
      <c r="Q18" s="645"/>
      <c r="R18" s="645">
        <v>0</v>
      </c>
      <c r="S18" s="646"/>
      <c r="T18" s="646"/>
      <c r="U18" s="646"/>
      <c r="V18" s="668"/>
    </row>
    <row r="19" spans="1:22">
      <c r="A19" s="426">
        <v>10</v>
      </c>
      <c r="B19" s="425" t="s">
        <v>510</v>
      </c>
      <c r="C19" s="642">
        <v>1571856.5714</v>
      </c>
      <c r="D19" s="643">
        <v>1508843.058</v>
      </c>
      <c r="E19" s="643">
        <v>24837.543399999999</v>
      </c>
      <c r="F19" s="643">
        <v>38175.97</v>
      </c>
      <c r="G19" s="643"/>
      <c r="H19" s="643">
        <v>1620253.0401000001</v>
      </c>
      <c r="I19" s="643">
        <v>1557126.9317999999</v>
      </c>
      <c r="J19" s="643">
        <v>24870.308300000001</v>
      </c>
      <c r="K19" s="643">
        <v>38255.800000000003</v>
      </c>
      <c r="L19" s="643"/>
      <c r="M19" s="643">
        <v>35410.3344</v>
      </c>
      <c r="N19" s="643">
        <v>1782.6737000000001</v>
      </c>
      <c r="O19" s="643">
        <v>822.29380000000003</v>
      </c>
      <c r="P19" s="643">
        <v>32805.366900000001</v>
      </c>
      <c r="Q19" s="643"/>
      <c r="R19" s="643">
        <v>64</v>
      </c>
      <c r="S19" s="710">
        <v>0.14810000000000001</v>
      </c>
      <c r="T19" s="710">
        <v>0.15690000000000001</v>
      </c>
      <c r="U19" s="710">
        <v>0.1215</v>
      </c>
      <c r="V19" s="667">
        <v>4.6321269489365164</v>
      </c>
    </row>
    <row r="20" spans="1:22" ht="24">
      <c r="A20" s="424">
        <v>10.1</v>
      </c>
      <c r="B20" s="423" t="s">
        <v>514</v>
      </c>
      <c r="C20" s="643"/>
      <c r="D20" s="643"/>
      <c r="E20" s="643"/>
      <c r="F20" s="643"/>
      <c r="G20" s="643"/>
      <c r="H20" s="643"/>
      <c r="I20" s="643"/>
      <c r="J20" s="643"/>
      <c r="K20" s="643"/>
      <c r="L20" s="643"/>
      <c r="M20" s="643"/>
      <c r="N20" s="643"/>
      <c r="O20" s="643"/>
      <c r="P20" s="643"/>
      <c r="Q20" s="643"/>
      <c r="R20" s="643">
        <v>0</v>
      </c>
      <c r="S20" s="711"/>
      <c r="T20" s="711"/>
      <c r="U20" s="711"/>
      <c r="V20" s="669"/>
    </row>
    <row r="22" spans="1:22">
      <c r="C22" s="647"/>
      <c r="D22" s="647"/>
      <c r="E22" s="647"/>
      <c r="F22" s="647"/>
      <c r="G22" s="647"/>
      <c r="H22" s="647"/>
      <c r="I22" s="647"/>
      <c r="J22" s="647"/>
      <c r="K22" s="647"/>
      <c r="L22" s="647"/>
      <c r="M22" s="647"/>
      <c r="N22" s="647"/>
      <c r="O22" s="647"/>
      <c r="P22" s="647"/>
      <c r="Q22" s="647"/>
      <c r="R22" s="647"/>
      <c r="S22" s="647"/>
      <c r="T22" s="647"/>
      <c r="U22" s="647"/>
      <c r="V22" s="647"/>
    </row>
    <row r="23" spans="1:22">
      <c r="C23" s="647"/>
      <c r="D23" s="647"/>
      <c r="E23" s="647"/>
      <c r="F23" s="647"/>
      <c r="G23" s="647"/>
      <c r="H23" s="647"/>
      <c r="I23" s="647"/>
      <c r="J23" s="647"/>
      <c r="K23" s="647"/>
      <c r="L23" s="647"/>
      <c r="M23" s="647"/>
      <c r="N23" s="647"/>
      <c r="O23" s="647"/>
      <c r="P23" s="647"/>
      <c r="Q23" s="647"/>
      <c r="R23" s="647"/>
      <c r="S23" s="647"/>
      <c r="T23" s="647"/>
      <c r="U23" s="647"/>
      <c r="V23" s="647"/>
    </row>
    <row r="24" spans="1:22">
      <c r="C24" s="647"/>
      <c r="D24" s="647"/>
      <c r="E24" s="647"/>
      <c r="F24" s="647"/>
      <c r="G24" s="647"/>
      <c r="H24" s="647"/>
      <c r="I24" s="647"/>
      <c r="J24" s="647"/>
      <c r="K24" s="647"/>
      <c r="L24" s="647"/>
      <c r="M24" s="647"/>
      <c r="N24" s="647"/>
      <c r="O24" s="647"/>
      <c r="P24" s="647"/>
      <c r="Q24" s="647"/>
      <c r="R24" s="647"/>
      <c r="S24" s="647"/>
      <c r="T24" s="647"/>
      <c r="U24" s="647"/>
      <c r="V24" s="647"/>
    </row>
    <row r="25" spans="1:22">
      <c r="C25" s="647"/>
      <c r="D25" s="647"/>
      <c r="E25" s="647"/>
      <c r="F25" s="647"/>
      <c r="G25" s="647"/>
      <c r="H25" s="647"/>
      <c r="I25" s="647"/>
      <c r="J25" s="647"/>
      <c r="K25" s="647"/>
      <c r="L25" s="647"/>
      <c r="M25" s="647"/>
      <c r="N25" s="647"/>
      <c r="O25" s="647"/>
      <c r="P25" s="647"/>
      <c r="Q25" s="647"/>
      <c r="R25" s="647"/>
      <c r="S25" s="647"/>
      <c r="T25" s="647"/>
      <c r="U25" s="647"/>
      <c r="V25" s="647"/>
    </row>
    <row r="26" spans="1:22">
      <c r="C26" s="647"/>
      <c r="D26" s="647"/>
      <c r="E26" s="647"/>
      <c r="F26" s="647"/>
      <c r="G26" s="647"/>
      <c r="H26" s="647"/>
      <c r="I26" s="647"/>
      <c r="J26" s="647"/>
      <c r="K26" s="647"/>
      <c r="L26" s="647"/>
      <c r="M26" s="647"/>
      <c r="N26" s="647"/>
      <c r="O26" s="647"/>
      <c r="P26" s="647"/>
      <c r="Q26" s="647"/>
      <c r="R26" s="647"/>
      <c r="S26" s="647"/>
      <c r="T26" s="647"/>
      <c r="U26" s="647"/>
      <c r="V26" s="647"/>
    </row>
    <row r="27" spans="1:22">
      <c r="C27" s="647"/>
      <c r="D27" s="647"/>
      <c r="E27" s="647"/>
      <c r="F27" s="647"/>
      <c r="G27" s="647"/>
      <c r="H27" s="647"/>
      <c r="I27" s="647"/>
      <c r="J27" s="647"/>
      <c r="K27" s="647"/>
      <c r="L27" s="647"/>
      <c r="M27" s="647"/>
      <c r="N27" s="647"/>
      <c r="O27" s="647"/>
      <c r="P27" s="647"/>
      <c r="Q27" s="647"/>
      <c r="R27" s="647"/>
      <c r="S27" s="647"/>
      <c r="T27" s="647"/>
      <c r="U27" s="647"/>
      <c r="V27" s="647"/>
    </row>
    <row r="28" spans="1:22">
      <c r="C28" s="647"/>
      <c r="D28" s="647"/>
      <c r="E28" s="647"/>
      <c r="F28" s="647"/>
      <c r="G28" s="647"/>
      <c r="H28" s="647"/>
      <c r="I28" s="647"/>
      <c r="J28" s="647"/>
      <c r="K28" s="647"/>
      <c r="L28" s="647"/>
      <c r="M28" s="647"/>
      <c r="N28" s="647"/>
      <c r="O28" s="647"/>
      <c r="P28" s="647"/>
      <c r="Q28" s="647"/>
      <c r="R28" s="647"/>
      <c r="S28" s="647"/>
      <c r="T28" s="647"/>
      <c r="U28" s="647"/>
      <c r="V28" s="647"/>
    </row>
    <row r="29" spans="1:22">
      <c r="C29" s="647"/>
      <c r="D29" s="647"/>
      <c r="E29" s="647"/>
      <c r="F29" s="647"/>
      <c r="G29" s="647"/>
      <c r="H29" s="647"/>
      <c r="I29" s="647"/>
      <c r="J29" s="647"/>
      <c r="K29" s="647"/>
      <c r="L29" s="647"/>
      <c r="M29" s="647"/>
      <c r="N29" s="647"/>
      <c r="O29" s="647"/>
      <c r="P29" s="647"/>
      <c r="Q29" s="647"/>
      <c r="R29" s="647"/>
      <c r="S29" s="647"/>
      <c r="T29" s="647"/>
      <c r="U29" s="647"/>
      <c r="V29" s="647"/>
    </row>
    <row r="30" spans="1:22">
      <c r="C30" s="647"/>
      <c r="D30" s="647"/>
      <c r="E30" s="647"/>
      <c r="F30" s="647"/>
      <c r="G30" s="647"/>
      <c r="H30" s="647"/>
      <c r="I30" s="647"/>
      <c r="J30" s="647"/>
      <c r="K30" s="647"/>
      <c r="L30" s="647"/>
      <c r="M30" s="647"/>
      <c r="N30" s="647"/>
      <c r="O30" s="647"/>
      <c r="P30" s="647"/>
      <c r="Q30" s="647"/>
      <c r="R30" s="647"/>
      <c r="S30" s="647"/>
      <c r="T30" s="647"/>
      <c r="U30" s="647"/>
      <c r="V30" s="647"/>
    </row>
    <row r="31" spans="1:22">
      <c r="C31" s="647"/>
      <c r="D31" s="647"/>
      <c r="E31" s="647"/>
      <c r="F31" s="647"/>
      <c r="G31" s="647"/>
      <c r="H31" s="647"/>
      <c r="I31" s="647"/>
      <c r="J31" s="647"/>
      <c r="K31" s="647"/>
      <c r="L31" s="647"/>
      <c r="M31" s="647"/>
      <c r="N31" s="647"/>
      <c r="O31" s="647"/>
      <c r="P31" s="647"/>
      <c r="Q31" s="647"/>
      <c r="R31" s="647"/>
      <c r="S31" s="647"/>
      <c r="T31" s="647"/>
      <c r="U31" s="647"/>
      <c r="V31" s="647"/>
    </row>
    <row r="32" spans="1:22">
      <c r="C32" s="647"/>
      <c r="D32" s="647"/>
      <c r="E32" s="647"/>
      <c r="F32" s="647"/>
      <c r="G32" s="647"/>
      <c r="H32" s="647"/>
      <c r="I32" s="647"/>
      <c r="J32" s="647"/>
      <c r="K32" s="647"/>
      <c r="L32" s="647"/>
      <c r="M32" s="647"/>
      <c r="N32" s="647"/>
      <c r="O32" s="647"/>
      <c r="P32" s="647"/>
      <c r="Q32" s="647"/>
      <c r="R32" s="647"/>
      <c r="S32" s="647"/>
      <c r="T32" s="647"/>
      <c r="U32" s="647"/>
      <c r="V32" s="647"/>
    </row>
    <row r="33" spans="3:22">
      <c r="C33" s="647"/>
      <c r="D33" s="647"/>
      <c r="E33" s="647"/>
      <c r="F33" s="647"/>
      <c r="G33" s="647"/>
      <c r="H33" s="647"/>
      <c r="I33" s="647"/>
      <c r="J33" s="647"/>
      <c r="K33" s="647"/>
      <c r="L33" s="647"/>
      <c r="M33" s="647"/>
      <c r="N33" s="647"/>
      <c r="O33" s="647"/>
      <c r="P33" s="647"/>
      <c r="Q33" s="647"/>
      <c r="R33" s="647"/>
      <c r="S33" s="647"/>
      <c r="T33" s="647"/>
      <c r="U33" s="647"/>
      <c r="V33" s="647"/>
    </row>
    <row r="34" spans="3:22">
      <c r="C34" s="647"/>
      <c r="D34" s="647"/>
      <c r="E34" s="647"/>
      <c r="F34" s="647"/>
      <c r="G34" s="647"/>
      <c r="H34" s="647"/>
      <c r="I34" s="647"/>
      <c r="J34" s="647"/>
      <c r="K34" s="647"/>
      <c r="L34" s="647"/>
      <c r="M34" s="647"/>
      <c r="N34" s="647"/>
      <c r="O34" s="647"/>
      <c r="P34" s="647"/>
      <c r="Q34" s="647"/>
      <c r="R34" s="647"/>
      <c r="S34" s="647"/>
      <c r="T34" s="647"/>
      <c r="U34" s="647"/>
      <c r="V34" s="647"/>
    </row>
    <row r="35" spans="3:22">
      <c r="C35" s="647"/>
      <c r="D35" s="647"/>
      <c r="E35" s="647"/>
      <c r="F35" s="647"/>
      <c r="G35" s="647"/>
      <c r="H35" s="647"/>
      <c r="I35" s="647"/>
      <c r="J35" s="647"/>
      <c r="K35" s="647"/>
      <c r="L35" s="647"/>
      <c r="M35" s="647"/>
      <c r="N35" s="647"/>
      <c r="O35" s="647"/>
      <c r="P35" s="647"/>
      <c r="Q35" s="647"/>
      <c r="R35" s="647"/>
      <c r="S35" s="647"/>
      <c r="T35" s="647"/>
      <c r="U35" s="647"/>
      <c r="V35" s="647"/>
    </row>
    <row r="36" spans="3:22">
      <c r="C36" s="647"/>
    </row>
    <row r="37" spans="3:22">
      <c r="C37" s="647"/>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Footer>&amp;C_x000D_&amp;1#&amp;"Calibri"&amp;10&amp;K000000 C1 - FOR INTERNAL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5"/>
  <sheetViews>
    <sheetView topLeftCell="A38" zoomScale="80" zoomScaleNormal="80" workbookViewId="0">
      <selection activeCell="K8" sqref="K8"/>
    </sheetView>
  </sheetViews>
  <sheetFormatPr defaultRowHeight="14.4"/>
  <cols>
    <col min="2" max="2" width="66.6640625" customWidth="1"/>
    <col min="3" max="8" width="17.77734375" customWidth="1"/>
    <col min="9" max="9" width="11.44140625" customWidth="1"/>
    <col min="11" max="11" width="10.21875" bestFit="1" customWidth="1"/>
  </cols>
  <sheetData>
    <row r="1" spans="1:14" s="5" customFormat="1" ht="13.8">
      <c r="A1" s="2" t="s">
        <v>30</v>
      </c>
      <c r="B1" s="3" t="str">
        <f>'Info '!C2</f>
        <v xml:space="preserve">PASHA Bank Georgia JSC </v>
      </c>
      <c r="C1" s="3"/>
      <c r="D1" s="4"/>
      <c r="E1" s="4"/>
      <c r="F1" s="4"/>
      <c r="G1" s="4"/>
    </row>
    <row r="2" spans="1:14" s="5" customFormat="1" ht="13.8">
      <c r="A2" s="2" t="s">
        <v>31</v>
      </c>
      <c r="B2" s="253">
        <f>'1. key ratios '!B2</f>
        <v>45838</v>
      </c>
      <c r="C2" s="3"/>
      <c r="D2" s="4"/>
      <c r="E2" s="4"/>
      <c r="F2" s="4"/>
      <c r="G2" s="4"/>
    </row>
    <row r="4" spans="1:14">
      <c r="A4" s="736" t="s">
        <v>6</v>
      </c>
      <c r="B4" s="738" t="s">
        <v>585</v>
      </c>
      <c r="C4" s="728" t="s">
        <v>522</v>
      </c>
      <c r="D4" s="728"/>
      <c r="E4" s="728"/>
      <c r="F4" s="728" t="s">
        <v>523</v>
      </c>
      <c r="G4" s="728"/>
      <c r="H4" s="729"/>
    </row>
    <row r="5" spans="1:14" ht="15.45" customHeight="1">
      <c r="A5" s="737"/>
      <c r="B5" s="739"/>
      <c r="C5" s="326" t="s">
        <v>32</v>
      </c>
      <c r="D5" s="326" t="s">
        <v>33</v>
      </c>
      <c r="E5" s="326" t="s">
        <v>34</v>
      </c>
      <c r="F5" s="326" t="s">
        <v>32</v>
      </c>
      <c r="G5" s="326" t="s">
        <v>33</v>
      </c>
      <c r="H5" s="326" t="s">
        <v>34</v>
      </c>
    </row>
    <row r="6" spans="1:14">
      <c r="A6" s="327">
        <v>1</v>
      </c>
      <c r="B6" s="546" t="s">
        <v>586</v>
      </c>
      <c r="C6" s="556">
        <f>SUM(C7:C12)</f>
        <v>13659534.619999999</v>
      </c>
      <c r="D6" s="556">
        <f>SUM(D7:D12)</f>
        <v>12111029.702500001</v>
      </c>
      <c r="E6" s="558">
        <f>C6+D6</f>
        <v>25770564.322499998</v>
      </c>
      <c r="F6" s="556">
        <f>SUM(F7:F12)</f>
        <v>13926595.779999999</v>
      </c>
      <c r="G6" s="556">
        <f>SUM(G7:G12)</f>
        <v>10657495.728400001</v>
      </c>
      <c r="H6" s="558">
        <f>F6+G6</f>
        <v>24584091.508400001</v>
      </c>
      <c r="I6" s="557"/>
      <c r="J6" s="557"/>
      <c r="K6" s="557"/>
      <c r="L6" s="557"/>
      <c r="M6" s="557"/>
      <c r="N6" s="557"/>
    </row>
    <row r="7" spans="1:14">
      <c r="A7" s="327">
        <v>1.1000000000000001</v>
      </c>
      <c r="B7" s="547" t="s">
        <v>529</v>
      </c>
      <c r="C7" s="556"/>
      <c r="D7" s="556"/>
      <c r="E7" s="558">
        <f t="shared" ref="E7:E45" si="0">C7+D7</f>
        <v>0</v>
      </c>
      <c r="F7" s="556"/>
      <c r="G7" s="556"/>
      <c r="H7" s="558">
        <f t="shared" ref="H7:H45" si="1">F7+G7</f>
        <v>0</v>
      </c>
      <c r="I7" s="557"/>
      <c r="J7" s="557"/>
      <c r="K7" s="557"/>
      <c r="L7" s="557"/>
      <c r="M7" s="557"/>
      <c r="N7" s="557"/>
    </row>
    <row r="8" spans="1:14">
      <c r="A8" s="327">
        <v>1.2</v>
      </c>
      <c r="B8" s="547" t="s">
        <v>531</v>
      </c>
      <c r="C8" s="556"/>
      <c r="D8" s="556"/>
      <c r="E8" s="558">
        <f t="shared" si="0"/>
        <v>0</v>
      </c>
      <c r="F8" s="556"/>
      <c r="G8" s="556"/>
      <c r="H8" s="558">
        <f t="shared" si="1"/>
        <v>0</v>
      </c>
      <c r="I8" s="557"/>
      <c r="J8" s="557"/>
      <c r="K8" s="557"/>
      <c r="L8" s="557"/>
      <c r="M8" s="557"/>
      <c r="N8" s="557"/>
    </row>
    <row r="9" spans="1:14" ht="21.45" customHeight="1">
      <c r="A9" s="327">
        <v>1.3</v>
      </c>
      <c r="B9" s="547" t="s">
        <v>587</v>
      </c>
      <c r="C9" s="556"/>
      <c r="D9" s="556"/>
      <c r="E9" s="558">
        <f t="shared" si="0"/>
        <v>0</v>
      </c>
      <c r="F9" s="556"/>
      <c r="G9" s="556"/>
      <c r="H9" s="558">
        <f t="shared" si="1"/>
        <v>0</v>
      </c>
      <c r="I9" s="557"/>
      <c r="J9" s="557"/>
      <c r="K9" s="557"/>
      <c r="L9" s="557"/>
      <c r="M9" s="557"/>
      <c r="N9" s="557"/>
    </row>
    <row r="10" spans="1:14">
      <c r="A10" s="327">
        <v>1.4</v>
      </c>
      <c r="B10" s="547" t="s">
        <v>533</v>
      </c>
      <c r="C10" s="556"/>
      <c r="D10" s="556"/>
      <c r="E10" s="558">
        <f t="shared" si="0"/>
        <v>0</v>
      </c>
      <c r="F10" s="556"/>
      <c r="G10" s="556"/>
      <c r="H10" s="558">
        <f t="shared" si="1"/>
        <v>0</v>
      </c>
      <c r="I10" s="557"/>
      <c r="J10" s="557"/>
      <c r="K10" s="557"/>
      <c r="L10" s="557"/>
      <c r="M10" s="557"/>
      <c r="N10" s="557"/>
    </row>
    <row r="11" spans="1:14">
      <c r="A11" s="327">
        <v>1.5</v>
      </c>
      <c r="B11" s="547" t="s">
        <v>537</v>
      </c>
      <c r="C11" s="556">
        <v>13659534.619999999</v>
      </c>
      <c r="D11" s="556">
        <v>12111029.702500001</v>
      </c>
      <c r="E11" s="558">
        <f t="shared" si="0"/>
        <v>25770564.322499998</v>
      </c>
      <c r="F11" s="556">
        <v>13926595.779999999</v>
      </c>
      <c r="G11" s="556">
        <v>10657495.728400001</v>
      </c>
      <c r="H11" s="558">
        <f t="shared" si="1"/>
        <v>24584091.508400001</v>
      </c>
      <c r="I11" s="557"/>
      <c r="J11" s="557"/>
      <c r="K11" s="557"/>
      <c r="L11" s="557"/>
      <c r="M11" s="557"/>
      <c r="N11" s="557"/>
    </row>
    <row r="12" spans="1:14">
      <c r="A12" s="327">
        <v>1.6</v>
      </c>
      <c r="B12" s="547" t="s">
        <v>419</v>
      </c>
      <c r="C12" s="556"/>
      <c r="D12" s="556"/>
      <c r="E12" s="558">
        <f t="shared" si="0"/>
        <v>0</v>
      </c>
      <c r="F12" s="556"/>
      <c r="G12" s="556"/>
      <c r="H12" s="558">
        <f t="shared" si="1"/>
        <v>0</v>
      </c>
      <c r="I12" s="557"/>
      <c r="J12" s="557"/>
      <c r="K12" s="557"/>
      <c r="L12" s="557"/>
      <c r="M12" s="557"/>
      <c r="N12" s="557"/>
    </row>
    <row r="13" spans="1:14">
      <c r="A13" s="327">
        <v>2</v>
      </c>
      <c r="B13" s="546" t="s">
        <v>588</v>
      </c>
      <c r="C13" s="556">
        <f>SUM(C14:C17)</f>
        <v>-7295299.0800000001</v>
      </c>
      <c r="D13" s="556">
        <f>SUM(D14:D17)</f>
        <v>-6215185.7188999997</v>
      </c>
      <c r="E13" s="558">
        <f t="shared" si="0"/>
        <v>-13510484.798900001</v>
      </c>
      <c r="F13" s="556">
        <f>SUM(F14:F17)</f>
        <v>-6112885.9799999986</v>
      </c>
      <c r="G13" s="556">
        <f>SUM(G14:G17)</f>
        <v>-4686332.3076000009</v>
      </c>
      <c r="H13" s="558">
        <f t="shared" si="1"/>
        <v>-10799218.287599999</v>
      </c>
      <c r="I13" s="557"/>
      <c r="J13" s="557"/>
      <c r="K13" s="557"/>
      <c r="L13" s="557"/>
      <c r="M13" s="557"/>
      <c r="N13" s="557"/>
    </row>
    <row r="14" spans="1:14">
      <c r="A14" s="327">
        <v>2.1</v>
      </c>
      <c r="B14" s="547" t="s">
        <v>589</v>
      </c>
      <c r="C14" s="556"/>
      <c r="D14" s="556"/>
      <c r="E14" s="558">
        <f t="shared" si="0"/>
        <v>0</v>
      </c>
      <c r="F14" s="556"/>
      <c r="G14" s="556"/>
      <c r="H14" s="558">
        <f t="shared" si="1"/>
        <v>0</v>
      </c>
      <c r="I14" s="557"/>
      <c r="J14" s="557"/>
      <c r="K14" s="557"/>
      <c r="L14" s="557"/>
      <c r="M14" s="557"/>
      <c r="N14" s="557"/>
    </row>
    <row r="15" spans="1:14" ht="24.45" customHeight="1">
      <c r="A15" s="327">
        <v>2.2000000000000002</v>
      </c>
      <c r="B15" s="547" t="s">
        <v>590</v>
      </c>
      <c r="C15" s="556"/>
      <c r="D15" s="556"/>
      <c r="E15" s="558">
        <f t="shared" si="0"/>
        <v>0</v>
      </c>
      <c r="F15" s="556"/>
      <c r="G15" s="556"/>
      <c r="H15" s="558">
        <f t="shared" si="1"/>
        <v>0</v>
      </c>
      <c r="I15" s="557"/>
      <c r="J15" s="557"/>
      <c r="K15" s="557"/>
      <c r="L15" s="557"/>
      <c r="M15" s="557"/>
      <c r="N15" s="557"/>
    </row>
    <row r="16" spans="1:14" ht="20.55" customHeight="1">
      <c r="A16" s="327">
        <v>2.2999999999999998</v>
      </c>
      <c r="B16" s="547" t="s">
        <v>591</v>
      </c>
      <c r="C16" s="556">
        <v>-7295299.0800000001</v>
      </c>
      <c r="D16" s="556">
        <v>-6215185.7188999997</v>
      </c>
      <c r="E16" s="558">
        <f t="shared" si="0"/>
        <v>-13510484.798900001</v>
      </c>
      <c r="F16" s="556">
        <v>-6112885.9799999986</v>
      </c>
      <c r="G16" s="556">
        <v>-4686332.3076000009</v>
      </c>
      <c r="H16" s="558">
        <f t="shared" si="1"/>
        <v>-10799218.287599999</v>
      </c>
      <c r="I16" s="557"/>
      <c r="J16" s="557"/>
      <c r="K16" s="557"/>
      <c r="L16" s="557"/>
      <c r="M16" s="557"/>
      <c r="N16" s="557"/>
    </row>
    <row r="17" spans="1:14">
      <c r="A17" s="327">
        <v>2.4</v>
      </c>
      <c r="B17" s="547" t="s">
        <v>592</v>
      </c>
      <c r="C17" s="556"/>
      <c r="D17" s="556"/>
      <c r="E17" s="558">
        <f t="shared" si="0"/>
        <v>0</v>
      </c>
      <c r="F17" s="556"/>
      <c r="G17" s="556"/>
      <c r="H17" s="558">
        <f t="shared" si="1"/>
        <v>0</v>
      </c>
      <c r="I17" s="557"/>
      <c r="J17" s="557"/>
      <c r="K17" s="557"/>
      <c r="L17" s="557"/>
      <c r="M17" s="557"/>
      <c r="N17" s="557"/>
    </row>
    <row r="18" spans="1:14">
      <c r="A18" s="327">
        <v>3</v>
      </c>
      <c r="B18" s="546" t="s">
        <v>593</v>
      </c>
      <c r="C18" s="556"/>
      <c r="D18" s="556"/>
      <c r="E18" s="558">
        <f t="shared" si="0"/>
        <v>0</v>
      </c>
      <c r="F18" s="556">
        <v>849980.04</v>
      </c>
      <c r="G18" s="556">
        <v>728316.44650399999</v>
      </c>
      <c r="H18" s="558">
        <f t="shared" si="1"/>
        <v>1578296.4865040001</v>
      </c>
      <c r="I18" s="557"/>
      <c r="J18" s="557"/>
      <c r="K18" s="557"/>
      <c r="L18" s="557"/>
      <c r="M18" s="557"/>
      <c r="N18" s="557"/>
    </row>
    <row r="19" spans="1:14">
      <c r="A19" s="327">
        <v>4</v>
      </c>
      <c r="B19" s="546" t="s">
        <v>594</v>
      </c>
      <c r="C19" s="556">
        <v>327875.3</v>
      </c>
      <c r="D19" s="556">
        <v>713504.66</v>
      </c>
      <c r="E19" s="558">
        <f t="shared" si="0"/>
        <v>1041379.96</v>
      </c>
      <c r="F19" s="556">
        <v>-146772.31</v>
      </c>
      <c r="G19" s="556">
        <v>-555820.85</v>
      </c>
      <c r="H19" s="558">
        <f t="shared" si="1"/>
        <v>-702593.15999999992</v>
      </c>
      <c r="I19" s="557"/>
      <c r="J19" s="557"/>
      <c r="K19" s="557"/>
      <c r="L19" s="557"/>
      <c r="M19" s="557"/>
      <c r="N19" s="557"/>
    </row>
    <row r="20" spans="1:14">
      <c r="A20" s="327">
        <v>5</v>
      </c>
      <c r="B20" s="546" t="s">
        <v>595</v>
      </c>
      <c r="C20" s="556">
        <v>-118377.73</v>
      </c>
      <c r="D20" s="556">
        <v>-620287.16</v>
      </c>
      <c r="E20" s="558">
        <f t="shared" si="0"/>
        <v>-738664.89</v>
      </c>
      <c r="F20" s="556"/>
      <c r="G20" s="556"/>
      <c r="H20" s="558">
        <f t="shared" si="1"/>
        <v>0</v>
      </c>
      <c r="I20" s="557"/>
      <c r="J20" s="557"/>
      <c r="K20" s="557"/>
      <c r="L20" s="557"/>
      <c r="M20" s="557"/>
      <c r="N20" s="557"/>
    </row>
    <row r="21" spans="1:14" ht="24" customHeight="1">
      <c r="A21" s="327">
        <v>6</v>
      </c>
      <c r="B21" s="546" t="s">
        <v>596</v>
      </c>
      <c r="C21" s="556"/>
      <c r="D21" s="556"/>
      <c r="E21" s="558">
        <f t="shared" si="0"/>
        <v>0</v>
      </c>
      <c r="F21" s="556"/>
      <c r="G21" s="556"/>
      <c r="H21" s="558">
        <f t="shared" si="1"/>
        <v>0</v>
      </c>
      <c r="I21" s="557"/>
      <c r="J21" s="557"/>
      <c r="K21" s="557"/>
      <c r="L21" s="557"/>
      <c r="M21" s="557"/>
      <c r="N21" s="557"/>
    </row>
    <row r="22" spans="1:14" ht="18.45" customHeight="1">
      <c r="A22" s="327">
        <v>7</v>
      </c>
      <c r="B22" s="546" t="s">
        <v>597</v>
      </c>
      <c r="C22" s="556">
        <v>632895.22</v>
      </c>
      <c r="D22" s="556">
        <v>0</v>
      </c>
      <c r="E22" s="558">
        <f t="shared" si="0"/>
        <v>632895.22</v>
      </c>
      <c r="F22" s="556"/>
      <c r="G22" s="556"/>
      <c r="H22" s="558">
        <f t="shared" si="1"/>
        <v>0</v>
      </c>
      <c r="I22" s="557"/>
      <c r="J22" s="557"/>
      <c r="K22" s="557"/>
      <c r="L22" s="557"/>
      <c r="M22" s="557"/>
      <c r="N22" s="557"/>
    </row>
    <row r="23" spans="1:14" ht="25.5" customHeight="1">
      <c r="A23" s="327">
        <v>8</v>
      </c>
      <c r="B23" s="548" t="s">
        <v>598</v>
      </c>
      <c r="C23" s="556"/>
      <c r="D23" s="556"/>
      <c r="E23" s="558">
        <f t="shared" si="0"/>
        <v>0</v>
      </c>
      <c r="F23" s="556"/>
      <c r="G23" s="556"/>
      <c r="H23" s="558">
        <f t="shared" si="1"/>
        <v>0</v>
      </c>
      <c r="I23" s="557"/>
      <c r="J23" s="557"/>
      <c r="K23" s="557"/>
      <c r="L23" s="557"/>
      <c r="M23" s="557"/>
      <c r="N23" s="557"/>
    </row>
    <row r="24" spans="1:14" ht="34.5" customHeight="1">
      <c r="A24" s="327">
        <v>9</v>
      </c>
      <c r="B24" s="548" t="s">
        <v>599</v>
      </c>
      <c r="C24" s="556"/>
      <c r="D24" s="556"/>
      <c r="E24" s="558">
        <f t="shared" si="0"/>
        <v>0</v>
      </c>
      <c r="F24" s="556"/>
      <c r="G24" s="556"/>
      <c r="H24" s="558">
        <f t="shared" si="1"/>
        <v>0</v>
      </c>
      <c r="I24" s="557"/>
      <c r="J24" s="557"/>
      <c r="K24" s="557"/>
      <c r="L24" s="557"/>
      <c r="M24" s="557"/>
      <c r="N24" s="557"/>
    </row>
    <row r="25" spans="1:14">
      <c r="A25" s="327">
        <v>10</v>
      </c>
      <c r="B25" s="546" t="s">
        <v>600</v>
      </c>
      <c r="C25" s="556">
        <v>6291846.46</v>
      </c>
      <c r="D25" s="556">
        <v>0</v>
      </c>
      <c r="E25" s="558">
        <f t="shared" si="0"/>
        <v>6291846.46</v>
      </c>
      <c r="F25" s="556">
        <v>5643465.0199999977</v>
      </c>
      <c r="G25" s="556">
        <v>0</v>
      </c>
      <c r="H25" s="558">
        <f t="shared" si="1"/>
        <v>5643465.0199999977</v>
      </c>
      <c r="I25" s="557"/>
      <c r="J25" s="557"/>
      <c r="K25" s="557"/>
      <c r="L25" s="557"/>
      <c r="M25" s="557"/>
      <c r="N25" s="557"/>
    </row>
    <row r="26" spans="1:14">
      <c r="A26" s="327">
        <v>11</v>
      </c>
      <c r="B26" s="549" t="s">
        <v>601</v>
      </c>
      <c r="C26" s="556">
        <v>248596.55</v>
      </c>
      <c r="D26" s="556">
        <v>0</v>
      </c>
      <c r="E26" s="558">
        <f t="shared" si="0"/>
        <v>248596.55</v>
      </c>
      <c r="F26" s="556"/>
      <c r="G26" s="556"/>
      <c r="H26" s="558">
        <f t="shared" si="1"/>
        <v>0</v>
      </c>
      <c r="I26" s="557"/>
      <c r="J26" s="557"/>
      <c r="K26" s="557"/>
      <c r="L26" s="557"/>
      <c r="M26" s="557"/>
      <c r="N26" s="557"/>
    </row>
    <row r="27" spans="1:14">
      <c r="A27" s="327">
        <v>12</v>
      </c>
      <c r="B27" s="546" t="s">
        <v>602</v>
      </c>
      <c r="C27" s="556">
        <v>741.96</v>
      </c>
      <c r="D27" s="556">
        <v>0</v>
      </c>
      <c r="E27" s="558">
        <f t="shared" si="0"/>
        <v>741.96</v>
      </c>
      <c r="F27" s="556">
        <v>-189043.78000000003</v>
      </c>
      <c r="G27" s="556"/>
      <c r="H27" s="558">
        <f t="shared" si="1"/>
        <v>-189043.78000000003</v>
      </c>
      <c r="I27" s="557"/>
      <c r="J27" s="557"/>
      <c r="K27" s="557"/>
      <c r="L27" s="557"/>
      <c r="M27" s="557"/>
      <c r="N27" s="557"/>
    </row>
    <row r="28" spans="1:14">
      <c r="A28" s="327">
        <v>13</v>
      </c>
      <c r="B28" s="546" t="s">
        <v>603</v>
      </c>
      <c r="C28" s="556">
        <v>-2321767.04</v>
      </c>
      <c r="D28" s="556">
        <v>-443.11</v>
      </c>
      <c r="E28" s="558">
        <f t="shared" si="0"/>
        <v>-2322210.15</v>
      </c>
      <c r="F28" s="556">
        <v>-1252038.4299999997</v>
      </c>
      <c r="G28" s="556">
        <v>214101.9</v>
      </c>
      <c r="H28" s="558">
        <f t="shared" si="1"/>
        <v>-1037936.5299999997</v>
      </c>
      <c r="I28" s="557"/>
      <c r="J28" s="557"/>
      <c r="K28" s="557"/>
      <c r="L28" s="557"/>
      <c r="M28" s="557"/>
      <c r="N28" s="557"/>
    </row>
    <row r="29" spans="1:14">
      <c r="A29" s="327">
        <v>14</v>
      </c>
      <c r="B29" s="546" t="s">
        <v>604</v>
      </c>
      <c r="C29" s="556">
        <f>SUM(C30:C31)</f>
        <v>-10776313.75</v>
      </c>
      <c r="D29" s="556">
        <f>SUM(D30:D31)</f>
        <v>0</v>
      </c>
      <c r="E29" s="558">
        <f t="shared" si="0"/>
        <v>-10776313.75</v>
      </c>
      <c r="F29" s="556">
        <f>SUM(F30:F31)</f>
        <v>-12962653.060000001</v>
      </c>
      <c r="G29" s="556">
        <f>SUM(G30:G31)</f>
        <v>0</v>
      </c>
      <c r="H29" s="558">
        <f t="shared" si="1"/>
        <v>-12962653.060000001</v>
      </c>
      <c r="I29" s="557"/>
      <c r="J29" s="557"/>
      <c r="K29" s="557"/>
      <c r="L29" s="557"/>
      <c r="M29" s="557"/>
      <c r="N29" s="557"/>
    </row>
    <row r="30" spans="1:14">
      <c r="A30" s="327">
        <v>14.1</v>
      </c>
      <c r="B30" s="550" t="s">
        <v>605</v>
      </c>
      <c r="C30" s="556">
        <v>-10166355.76</v>
      </c>
      <c r="D30" s="556"/>
      <c r="E30" s="558">
        <f t="shared" si="0"/>
        <v>-10166355.76</v>
      </c>
      <c r="F30" s="556">
        <v>-12017867.75</v>
      </c>
      <c r="G30" s="556"/>
      <c r="H30" s="558">
        <f t="shared" si="1"/>
        <v>-12017867.75</v>
      </c>
      <c r="I30" s="557"/>
      <c r="J30" s="557"/>
      <c r="K30" s="557"/>
      <c r="L30" s="557"/>
      <c r="M30" s="557"/>
      <c r="N30" s="557"/>
    </row>
    <row r="31" spans="1:14">
      <c r="A31" s="327">
        <v>14.2</v>
      </c>
      <c r="B31" s="550" t="s">
        <v>606</v>
      </c>
      <c r="C31" s="556">
        <v>-609957.99</v>
      </c>
      <c r="D31" s="556"/>
      <c r="E31" s="558">
        <f t="shared" si="0"/>
        <v>-609957.99</v>
      </c>
      <c r="F31" s="556">
        <v>-944785.30999999971</v>
      </c>
      <c r="G31" s="556"/>
      <c r="H31" s="558">
        <f t="shared" si="1"/>
        <v>-944785.30999999971</v>
      </c>
      <c r="I31" s="557"/>
      <c r="J31" s="557"/>
      <c r="K31" s="557"/>
      <c r="L31" s="557"/>
      <c r="M31" s="557"/>
      <c r="N31" s="557"/>
    </row>
    <row r="32" spans="1:14">
      <c r="A32" s="327">
        <v>15</v>
      </c>
      <c r="B32" s="546" t="s">
        <v>607</v>
      </c>
      <c r="C32" s="556">
        <v>-1968782.77</v>
      </c>
      <c r="D32" s="556"/>
      <c r="E32" s="558">
        <f t="shared" si="0"/>
        <v>-1968782.77</v>
      </c>
      <c r="F32" s="556">
        <v>-2276544.33</v>
      </c>
      <c r="G32" s="556"/>
      <c r="H32" s="558">
        <f t="shared" si="1"/>
        <v>-2276544.33</v>
      </c>
      <c r="I32" s="557"/>
      <c r="J32" s="557"/>
      <c r="K32" s="557"/>
      <c r="L32" s="557"/>
      <c r="M32" s="557"/>
      <c r="N32" s="557"/>
    </row>
    <row r="33" spans="1:14" ht="22.5" customHeight="1">
      <c r="A33" s="327">
        <v>16</v>
      </c>
      <c r="B33" s="551" t="s">
        <v>608</v>
      </c>
      <c r="C33" s="556"/>
      <c r="D33" s="556"/>
      <c r="E33" s="558">
        <f t="shared" si="0"/>
        <v>0</v>
      </c>
      <c r="F33" s="556"/>
      <c r="G33" s="556"/>
      <c r="H33" s="558">
        <f t="shared" si="1"/>
        <v>0</v>
      </c>
      <c r="I33" s="557"/>
      <c r="J33" s="557"/>
      <c r="K33" s="557"/>
      <c r="L33" s="557"/>
      <c r="M33" s="557"/>
      <c r="N33" s="557"/>
    </row>
    <row r="34" spans="1:14">
      <c r="A34" s="327">
        <v>17</v>
      </c>
      <c r="B34" s="546" t="s">
        <v>609</v>
      </c>
      <c r="C34" s="556">
        <f>SUM(C35:C36)</f>
        <v>-158357.4045</v>
      </c>
      <c r="D34" s="556">
        <f>SUM(D35:D36)</f>
        <v>812.15830000000278</v>
      </c>
      <c r="E34" s="558">
        <f t="shared" si="0"/>
        <v>-157545.24619999999</v>
      </c>
      <c r="F34" s="556">
        <f>SUM(F35:F36)</f>
        <v>-198407.56268216617</v>
      </c>
      <c r="G34" s="556">
        <f>SUM(G35:G36)</f>
        <v>-488709.38886696286</v>
      </c>
      <c r="H34" s="558">
        <f t="shared" si="1"/>
        <v>-687116.95154912909</v>
      </c>
      <c r="I34" s="557"/>
      <c r="J34" s="557"/>
      <c r="K34" s="557"/>
      <c r="L34" s="557"/>
      <c r="M34" s="557"/>
      <c r="N34" s="557"/>
    </row>
    <row r="35" spans="1:14">
      <c r="A35" s="327">
        <v>17.100000000000001</v>
      </c>
      <c r="B35" s="550" t="s">
        <v>610</v>
      </c>
      <c r="C35" s="556">
        <v>10645.955499999996</v>
      </c>
      <c r="D35" s="556">
        <v>812.15830000000278</v>
      </c>
      <c r="E35" s="558">
        <f t="shared" si="0"/>
        <v>11458.113799999999</v>
      </c>
      <c r="F35" s="556">
        <v>63170.881697871955</v>
      </c>
      <c r="G35" s="556">
        <v>151304.36326514001</v>
      </c>
      <c r="H35" s="558">
        <f t="shared" si="1"/>
        <v>214475.24496301197</v>
      </c>
      <c r="I35" s="557"/>
      <c r="J35" s="557"/>
      <c r="K35" s="557"/>
      <c r="L35" s="557"/>
      <c r="M35" s="557"/>
      <c r="N35" s="557"/>
    </row>
    <row r="36" spans="1:14">
      <c r="A36" s="327">
        <v>17.2</v>
      </c>
      <c r="B36" s="550" t="s">
        <v>611</v>
      </c>
      <c r="C36" s="556">
        <v>-169003.36</v>
      </c>
      <c r="D36" s="556">
        <v>0</v>
      </c>
      <c r="E36" s="558">
        <f t="shared" si="0"/>
        <v>-169003.36</v>
      </c>
      <c r="F36" s="556">
        <v>-261578.44438003813</v>
      </c>
      <c r="G36" s="556">
        <v>-640013.75213210285</v>
      </c>
      <c r="H36" s="558">
        <f t="shared" si="1"/>
        <v>-901592.19651214103</v>
      </c>
      <c r="I36" s="557"/>
      <c r="J36" s="557"/>
      <c r="K36" s="557"/>
      <c r="L36" s="557"/>
      <c r="M36" s="557"/>
      <c r="N36" s="557"/>
    </row>
    <row r="37" spans="1:14" ht="41.55" customHeight="1">
      <c r="A37" s="327">
        <v>18</v>
      </c>
      <c r="B37" s="552" t="s">
        <v>612</v>
      </c>
      <c r="C37" s="556">
        <f>SUM(C38:C39)</f>
        <v>-516903.75050620991</v>
      </c>
      <c r="D37" s="556">
        <f>SUM(D38:D39)</f>
        <v>-2602281.0469</v>
      </c>
      <c r="E37" s="558">
        <f t="shared" si="0"/>
        <v>-3119184.7974062096</v>
      </c>
      <c r="F37" s="556">
        <f>SUM(F38:F39)</f>
        <v>0</v>
      </c>
      <c r="G37" s="556">
        <f>SUM(G38:G39)</f>
        <v>0</v>
      </c>
      <c r="H37" s="558">
        <f t="shared" si="1"/>
        <v>0</v>
      </c>
      <c r="I37" s="557"/>
      <c r="J37" s="557"/>
      <c r="K37" s="557"/>
      <c r="L37" s="557"/>
      <c r="M37" s="557"/>
      <c r="N37" s="557"/>
    </row>
    <row r="38" spans="1:14">
      <c r="A38" s="327">
        <v>18.100000000000001</v>
      </c>
      <c r="B38" s="553" t="s">
        <v>613</v>
      </c>
      <c r="C38" s="556"/>
      <c r="D38" s="556"/>
      <c r="E38" s="558">
        <f t="shared" si="0"/>
        <v>0</v>
      </c>
      <c r="F38" s="556"/>
      <c r="G38" s="556"/>
      <c r="H38" s="558">
        <f t="shared" si="1"/>
        <v>0</v>
      </c>
      <c r="I38" s="557"/>
      <c r="J38" s="557"/>
      <c r="K38" s="557"/>
      <c r="L38" s="557"/>
      <c r="M38" s="557"/>
      <c r="N38" s="557"/>
    </row>
    <row r="39" spans="1:14">
      <c r="A39" s="327">
        <v>18.2</v>
      </c>
      <c r="B39" s="553" t="s">
        <v>614</v>
      </c>
      <c r="C39" s="556">
        <v>-516903.75050620991</v>
      </c>
      <c r="D39" s="556">
        <v>-2602281.0469</v>
      </c>
      <c r="E39" s="558">
        <f t="shared" si="0"/>
        <v>-3119184.7974062096</v>
      </c>
      <c r="F39" s="556"/>
      <c r="G39" s="556"/>
      <c r="H39" s="558">
        <f t="shared" si="1"/>
        <v>0</v>
      </c>
      <c r="I39" s="557"/>
      <c r="J39" s="557"/>
      <c r="K39" s="557"/>
      <c r="L39" s="557"/>
      <c r="M39" s="557"/>
      <c r="N39" s="557"/>
    </row>
    <row r="40" spans="1:14" ht="24.45" customHeight="1">
      <c r="A40" s="327">
        <v>19</v>
      </c>
      <c r="B40" s="552" t="s">
        <v>615</v>
      </c>
      <c r="C40" s="556"/>
      <c r="D40" s="556"/>
      <c r="E40" s="558">
        <f t="shared" si="0"/>
        <v>0</v>
      </c>
      <c r="F40" s="556"/>
      <c r="G40" s="556"/>
      <c r="H40" s="558">
        <f t="shared" si="1"/>
        <v>0</v>
      </c>
      <c r="I40" s="557"/>
      <c r="J40" s="557"/>
      <c r="K40" s="557"/>
      <c r="L40" s="557"/>
      <c r="M40" s="557"/>
      <c r="N40" s="557"/>
    </row>
    <row r="41" spans="1:14" ht="17.55" customHeight="1">
      <c r="A41" s="327">
        <v>20</v>
      </c>
      <c r="B41" s="552" t="s">
        <v>616</v>
      </c>
      <c r="C41" s="556"/>
      <c r="D41" s="556"/>
      <c r="E41" s="558">
        <f t="shared" si="0"/>
        <v>0</v>
      </c>
      <c r="F41" s="556"/>
      <c r="G41" s="556"/>
      <c r="H41" s="558">
        <f t="shared" si="1"/>
        <v>0</v>
      </c>
      <c r="I41" s="557"/>
      <c r="J41" s="557"/>
      <c r="K41" s="557"/>
      <c r="L41" s="557"/>
      <c r="M41" s="557"/>
      <c r="N41" s="557"/>
    </row>
    <row r="42" spans="1:14" ht="26.55" customHeight="1">
      <c r="A42" s="327">
        <v>21</v>
      </c>
      <c r="B42" s="552" t="s">
        <v>617</v>
      </c>
      <c r="C42" s="556"/>
      <c r="D42" s="556"/>
      <c r="E42" s="558">
        <f t="shared" si="0"/>
        <v>0</v>
      </c>
      <c r="F42" s="556"/>
      <c r="G42" s="556"/>
      <c r="H42" s="558">
        <f t="shared" si="1"/>
        <v>0</v>
      </c>
      <c r="I42" s="557"/>
      <c r="J42" s="557"/>
      <c r="K42" s="557"/>
      <c r="L42" s="557"/>
      <c r="M42" s="557"/>
      <c r="N42" s="557"/>
    </row>
    <row r="43" spans="1:14">
      <c r="A43" s="327">
        <v>22</v>
      </c>
      <c r="B43" s="554" t="s">
        <v>618</v>
      </c>
      <c r="C43" s="556">
        <f>SUM(C6,C13,C18,C19,C20,C21,C22,C23,C24,C25,C26,C27,C28,C29,C32,C33,C34,C37,C40,C41,C42)</f>
        <v>-1994311.4150062082</v>
      </c>
      <c r="D43" s="556">
        <f>SUM(D6,D13,D18,D19,D20,D21,D22,D23,D24,D25,D26,D27,D28,D29,D32,D33,D34,D37,D40,D41,D42)</f>
        <v>3387149.4850000008</v>
      </c>
      <c r="E43" s="558">
        <f t="shared" si="0"/>
        <v>1392838.0699937926</v>
      </c>
      <c r="F43" s="556">
        <f>SUM(F6,F13,F18,F19,F20,F21,F22,F23,F24,F25,F26,F27,F28,F29,F32,F33,F34,F37,F40,F41,F42)</f>
        <v>-2718304.6126821688</v>
      </c>
      <c r="G43" s="556">
        <f>SUM(G6,G13,G18,G19,G20,G21,G22,G23,G24,G25,G26,G27,G28,G29,G32,G33,G34,G37,G40,G41,G42)</f>
        <v>5869051.528437038</v>
      </c>
      <c r="H43" s="558">
        <f t="shared" si="1"/>
        <v>3150746.9157548691</v>
      </c>
      <c r="I43" s="557"/>
      <c r="J43" s="557"/>
      <c r="K43" s="557"/>
      <c r="L43" s="557"/>
      <c r="M43" s="557"/>
      <c r="N43" s="557"/>
    </row>
    <row r="44" spans="1:14">
      <c r="A44" s="327">
        <v>23</v>
      </c>
      <c r="B44" s="554" t="s">
        <v>619</v>
      </c>
      <c r="C44" s="556">
        <v>962381.73</v>
      </c>
      <c r="D44" s="556"/>
      <c r="E44" s="558">
        <f t="shared" si="0"/>
        <v>962381.73</v>
      </c>
      <c r="F44" s="556"/>
      <c r="G44" s="556"/>
      <c r="H44" s="558">
        <f t="shared" si="1"/>
        <v>0</v>
      </c>
      <c r="I44" s="557"/>
      <c r="J44" s="557"/>
      <c r="K44" s="557"/>
      <c r="L44" s="557"/>
      <c r="M44" s="557"/>
      <c r="N44" s="557"/>
    </row>
    <row r="45" spans="1:14">
      <c r="A45" s="327">
        <v>24</v>
      </c>
      <c r="B45" s="555" t="s">
        <v>620</v>
      </c>
      <c r="C45" s="540">
        <f>C43-C44</f>
        <v>-2956693.1450062082</v>
      </c>
      <c r="D45" s="540">
        <f>D43-D44</f>
        <v>3387149.4850000008</v>
      </c>
      <c r="E45" s="559">
        <f t="shared" si="0"/>
        <v>430456.33999379259</v>
      </c>
      <c r="F45" s="540">
        <f>F43-F44</f>
        <v>-2718304.6126821688</v>
      </c>
      <c r="G45" s="540">
        <f>G43-G44</f>
        <v>5869051.528437038</v>
      </c>
      <c r="H45" s="558">
        <f t="shared" si="1"/>
        <v>3150746.9157548691</v>
      </c>
      <c r="I45" s="557"/>
      <c r="J45" s="557"/>
      <c r="K45" s="557"/>
      <c r="L45" s="557"/>
      <c r="M45" s="557"/>
      <c r="N45" s="557"/>
    </row>
  </sheetData>
  <mergeCells count="4">
    <mergeCell ref="A4:A5"/>
    <mergeCell ref="B4:B5"/>
    <mergeCell ref="C4:E4"/>
    <mergeCell ref="F4:H4"/>
  </mergeCells>
  <pageMargins left="0.7" right="0.7" top="0.75" bottom="0.75" header="0.3" footer="0.3"/>
  <headerFooter>
    <oddFooter>&amp;C_x000D_&amp;1#&amp;"Calibri"&amp;10&amp;K000000 C1 - FOR INTERNAL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zoomScale="80" zoomScaleNormal="80" workbookViewId="0">
      <selection activeCell="B49" sqref="B49"/>
    </sheetView>
  </sheetViews>
  <sheetFormatPr defaultColWidth="8.77734375" defaultRowHeight="13.8"/>
  <cols>
    <col min="1" max="1" width="8.77734375" style="481"/>
    <col min="2" max="2" width="87.6640625" style="470" bestFit="1" customWidth="1"/>
    <col min="3" max="8" width="15.44140625" style="470" customWidth="1"/>
    <col min="9" max="16384" width="8.77734375" style="470"/>
  </cols>
  <sheetData>
    <row r="1" spans="1:14">
      <c r="A1" s="131" t="s">
        <v>30</v>
      </c>
      <c r="B1" s="469" t="str">
        <f>'Info '!C2</f>
        <v xml:space="preserve">PASHA Bank Georgia JSC </v>
      </c>
      <c r="C1" s="469"/>
    </row>
    <row r="2" spans="1:14">
      <c r="A2" s="131" t="s">
        <v>31</v>
      </c>
      <c r="B2" s="471">
        <f>'1. key ratios '!B2</f>
        <v>45838</v>
      </c>
      <c r="C2" s="469"/>
    </row>
    <row r="3" spans="1:14" ht="14.4" thickBot="1">
      <c r="A3" s="470"/>
    </row>
    <row r="4" spans="1:14">
      <c r="A4" s="740" t="s">
        <v>6</v>
      </c>
      <c r="B4" s="741" t="s">
        <v>94</v>
      </c>
      <c r="C4" s="742" t="s">
        <v>522</v>
      </c>
      <c r="D4" s="742"/>
      <c r="E4" s="742"/>
      <c r="F4" s="742" t="s">
        <v>523</v>
      </c>
      <c r="G4" s="742"/>
      <c r="H4" s="743"/>
    </row>
    <row r="5" spans="1:14">
      <c r="A5" s="740"/>
      <c r="B5" s="741"/>
      <c r="C5" s="326" t="s">
        <v>32</v>
      </c>
      <c r="D5" s="326" t="s">
        <v>33</v>
      </c>
      <c r="E5" s="326" t="s">
        <v>34</v>
      </c>
      <c r="F5" s="326" t="s">
        <v>32</v>
      </c>
      <c r="G5" s="326" t="s">
        <v>33</v>
      </c>
      <c r="H5" s="326" t="s">
        <v>34</v>
      </c>
    </row>
    <row r="6" spans="1:14">
      <c r="A6" s="347">
        <v>1</v>
      </c>
      <c r="B6" s="329" t="s">
        <v>621</v>
      </c>
      <c r="C6" s="483"/>
      <c r="D6" s="483"/>
      <c r="E6" s="484">
        <f t="shared" ref="E6:E43" si="0">C6+D6</f>
        <v>0</v>
      </c>
      <c r="F6" s="483"/>
      <c r="G6" s="483"/>
      <c r="H6" s="485">
        <f t="shared" ref="H6:H43" si="1">F6+G6</f>
        <v>0</v>
      </c>
      <c r="I6" s="663"/>
      <c r="J6" s="663"/>
      <c r="K6" s="663"/>
      <c r="L6" s="663"/>
      <c r="M6" s="663"/>
      <c r="N6" s="663"/>
    </row>
    <row r="7" spans="1:14">
      <c r="A7" s="347">
        <v>2</v>
      </c>
      <c r="B7" s="329" t="s">
        <v>183</v>
      </c>
      <c r="C7" s="483"/>
      <c r="D7" s="483"/>
      <c r="E7" s="484">
        <f t="shared" si="0"/>
        <v>0</v>
      </c>
      <c r="F7" s="483"/>
      <c r="G7" s="483"/>
      <c r="H7" s="485">
        <f t="shared" si="1"/>
        <v>0</v>
      </c>
      <c r="I7" s="663"/>
      <c r="J7" s="663"/>
      <c r="K7" s="663"/>
      <c r="L7" s="663"/>
      <c r="M7" s="663"/>
      <c r="N7" s="663"/>
    </row>
    <row r="8" spans="1:14">
      <c r="A8" s="347">
        <v>3</v>
      </c>
      <c r="B8" s="329" t="s">
        <v>193</v>
      </c>
      <c r="C8" s="483">
        <f>C9+C10</f>
        <v>345139000.41000003</v>
      </c>
      <c r="D8" s="483">
        <f>D9+D10</f>
        <v>2836264132.3039999</v>
      </c>
      <c r="E8" s="484">
        <f t="shared" si="0"/>
        <v>3181403132.7139997</v>
      </c>
      <c r="F8" s="483">
        <f>F9+F10</f>
        <v>305606436.02150005</v>
      </c>
      <c r="G8" s="483">
        <f>G9+G10</f>
        <v>376169785.64649999</v>
      </c>
      <c r="H8" s="485">
        <f t="shared" si="1"/>
        <v>681776221.66799998</v>
      </c>
      <c r="I8" s="663"/>
      <c r="J8" s="663"/>
      <c r="K8" s="663"/>
      <c r="L8" s="663"/>
      <c r="M8" s="663"/>
      <c r="N8" s="663"/>
    </row>
    <row r="9" spans="1:14">
      <c r="A9" s="347">
        <v>3.1</v>
      </c>
      <c r="B9" s="328" t="s">
        <v>184</v>
      </c>
      <c r="C9" s="483">
        <v>323410004</v>
      </c>
      <c r="D9" s="483">
        <v>2818153322.8779998</v>
      </c>
      <c r="E9" s="484">
        <f t="shared" si="0"/>
        <v>3141563326.8779998</v>
      </c>
      <c r="F9" s="483">
        <v>283861709.61150002</v>
      </c>
      <c r="G9" s="483">
        <v>350121359.17720002</v>
      </c>
      <c r="H9" s="485">
        <f t="shared" si="1"/>
        <v>633983068.7887001</v>
      </c>
      <c r="I9" s="663"/>
      <c r="J9" s="663"/>
      <c r="K9" s="663"/>
      <c r="L9" s="663"/>
      <c r="M9" s="663"/>
      <c r="N9" s="663"/>
    </row>
    <row r="10" spans="1:14">
      <c r="A10" s="347">
        <v>3.2</v>
      </c>
      <c r="B10" s="328" t="s">
        <v>180</v>
      </c>
      <c r="C10" s="483">
        <v>21728996.41</v>
      </c>
      <c r="D10" s="483">
        <v>18110809.425999999</v>
      </c>
      <c r="E10" s="484">
        <f t="shared" si="0"/>
        <v>39839805.835999995</v>
      </c>
      <c r="F10" s="483">
        <v>21744726.41</v>
      </c>
      <c r="G10" s="483">
        <v>26048426.469300002</v>
      </c>
      <c r="H10" s="485">
        <f t="shared" si="1"/>
        <v>47793152.879299998</v>
      </c>
      <c r="I10" s="663"/>
      <c r="J10" s="663"/>
      <c r="K10" s="663"/>
      <c r="L10" s="663"/>
      <c r="M10" s="663"/>
      <c r="N10" s="663"/>
    </row>
    <row r="11" spans="1:14">
      <c r="A11" s="347">
        <v>4</v>
      </c>
      <c r="B11" s="329" t="s">
        <v>182</v>
      </c>
      <c r="C11" s="483">
        <f>C12+C13</f>
        <v>0</v>
      </c>
      <c r="D11" s="483">
        <f>D12+D13</f>
        <v>0</v>
      </c>
      <c r="E11" s="484">
        <f t="shared" si="0"/>
        <v>0</v>
      </c>
      <c r="F11" s="483">
        <f>F12+F13</f>
        <v>0</v>
      </c>
      <c r="G11" s="483">
        <f>G12+G13</f>
        <v>0</v>
      </c>
      <c r="H11" s="485">
        <f t="shared" si="1"/>
        <v>0</v>
      </c>
      <c r="I11" s="663"/>
      <c r="J11" s="663"/>
      <c r="K11" s="663"/>
      <c r="L11" s="663"/>
      <c r="M11" s="663"/>
      <c r="N11" s="663"/>
    </row>
    <row r="12" spans="1:14">
      <c r="A12" s="347">
        <v>4.0999999999999996</v>
      </c>
      <c r="B12" s="328" t="s">
        <v>166</v>
      </c>
      <c r="C12" s="483"/>
      <c r="D12" s="483"/>
      <c r="E12" s="484">
        <f t="shared" si="0"/>
        <v>0</v>
      </c>
      <c r="F12" s="483"/>
      <c r="G12" s="483"/>
      <c r="H12" s="485">
        <f t="shared" si="1"/>
        <v>0</v>
      </c>
      <c r="I12" s="663"/>
      <c r="J12" s="663"/>
      <c r="K12" s="663"/>
      <c r="L12" s="663"/>
      <c r="M12" s="663"/>
      <c r="N12" s="663"/>
    </row>
    <row r="13" spans="1:14">
      <c r="A13" s="347">
        <v>4.2</v>
      </c>
      <c r="B13" s="328" t="s">
        <v>167</v>
      </c>
      <c r="C13" s="483"/>
      <c r="D13" s="483"/>
      <c r="E13" s="484">
        <f t="shared" si="0"/>
        <v>0</v>
      </c>
      <c r="F13" s="483"/>
      <c r="G13" s="483"/>
      <c r="H13" s="485">
        <f t="shared" si="1"/>
        <v>0</v>
      </c>
      <c r="I13" s="663"/>
      <c r="J13" s="663"/>
      <c r="K13" s="663"/>
      <c r="L13" s="663"/>
      <c r="M13" s="663"/>
      <c r="N13" s="663"/>
    </row>
    <row r="14" spans="1:14">
      <c r="A14" s="347">
        <v>5</v>
      </c>
      <c r="B14" s="329" t="s">
        <v>192</v>
      </c>
      <c r="C14" s="483">
        <f>C15+C16+C17+C23+C24+C25+C26</f>
        <v>114928348.59999999</v>
      </c>
      <c r="D14" s="483">
        <f>D15+D16+D17+D23+D24+D25+D26</f>
        <v>522297419.8775</v>
      </c>
      <c r="E14" s="484">
        <f t="shared" si="0"/>
        <v>637225768.47749996</v>
      </c>
      <c r="F14" s="483">
        <f>F15+F16+F17+F23+F24+F25+F26</f>
        <v>93686063.599999994</v>
      </c>
      <c r="G14" s="483">
        <f>G15+G16+G17+G23+G24+G25+G26</f>
        <v>342100139.81190002</v>
      </c>
      <c r="H14" s="485">
        <f t="shared" si="1"/>
        <v>435786203.41190004</v>
      </c>
      <c r="I14" s="663"/>
      <c r="J14" s="663"/>
      <c r="K14" s="663"/>
      <c r="L14" s="663"/>
      <c r="M14" s="663"/>
      <c r="N14" s="663"/>
    </row>
    <row r="15" spans="1:14">
      <c r="A15" s="347">
        <v>5.0999999999999996</v>
      </c>
      <c r="B15" s="330" t="s">
        <v>170</v>
      </c>
      <c r="C15" s="483">
        <v>3951361.87</v>
      </c>
      <c r="D15" s="483">
        <v>48383831.806199998</v>
      </c>
      <c r="E15" s="484">
        <f t="shared" si="0"/>
        <v>52335193.676199995</v>
      </c>
      <c r="F15" s="483">
        <v>2679033.02</v>
      </c>
      <c r="G15" s="483">
        <v>24291843.9747</v>
      </c>
      <c r="H15" s="485">
        <f t="shared" si="1"/>
        <v>26970876.9947</v>
      </c>
      <c r="I15" s="663"/>
      <c r="J15" s="663"/>
      <c r="K15" s="663"/>
      <c r="L15" s="663"/>
      <c r="M15" s="663"/>
      <c r="N15" s="663"/>
    </row>
    <row r="16" spans="1:14">
      <c r="A16" s="347">
        <v>5.2</v>
      </c>
      <c r="B16" s="330" t="s">
        <v>169</v>
      </c>
      <c r="C16" s="483"/>
      <c r="D16" s="483"/>
      <c r="E16" s="484">
        <f t="shared" si="0"/>
        <v>0</v>
      </c>
      <c r="F16" s="483"/>
      <c r="G16" s="483"/>
      <c r="H16" s="485">
        <f t="shared" si="1"/>
        <v>0</v>
      </c>
      <c r="I16" s="663"/>
      <c r="J16" s="663"/>
      <c r="K16" s="663"/>
      <c r="L16" s="663"/>
      <c r="M16" s="663"/>
      <c r="N16" s="663"/>
    </row>
    <row r="17" spans="1:14">
      <c r="A17" s="347">
        <v>5.3</v>
      </c>
      <c r="B17" s="330" t="s">
        <v>168</v>
      </c>
      <c r="C17" s="483">
        <f>C18+C19+C20+C21+C22</f>
        <v>34008852.579999998</v>
      </c>
      <c r="D17" s="483">
        <f>D18+D19+D20+D21+D22</f>
        <v>373925609.08240002</v>
      </c>
      <c r="E17" s="484">
        <f t="shared" si="0"/>
        <v>407934461.66240001</v>
      </c>
      <c r="F17" s="483">
        <f>F18+F19+F20+F21+F22</f>
        <v>25558852.579999998</v>
      </c>
      <c r="G17" s="483">
        <f>G18+G19+G20+G21+G22</f>
        <v>241496774.94869998</v>
      </c>
      <c r="H17" s="485">
        <f t="shared" si="1"/>
        <v>267055627.52869999</v>
      </c>
      <c r="I17" s="663"/>
      <c r="J17" s="663"/>
      <c r="K17" s="663"/>
      <c r="L17" s="663"/>
      <c r="M17" s="663"/>
      <c r="N17" s="663"/>
    </row>
    <row r="18" spans="1:14">
      <c r="A18" s="347" t="s">
        <v>15</v>
      </c>
      <c r="B18" s="331" t="s">
        <v>36</v>
      </c>
      <c r="C18" s="483">
        <v>1</v>
      </c>
      <c r="D18" s="483">
        <v>18823087.943500001</v>
      </c>
      <c r="E18" s="484">
        <f t="shared" si="0"/>
        <v>18823088.943500001</v>
      </c>
      <c r="F18" s="483">
        <v>1</v>
      </c>
      <c r="G18" s="483">
        <v>26342656.781300001</v>
      </c>
      <c r="H18" s="485">
        <f t="shared" si="1"/>
        <v>26342657.781300001</v>
      </c>
      <c r="I18" s="663"/>
      <c r="J18" s="663"/>
      <c r="K18" s="663"/>
      <c r="L18" s="663"/>
      <c r="M18" s="663"/>
      <c r="N18" s="663"/>
    </row>
    <row r="19" spans="1:14">
      <c r="A19" s="347" t="s">
        <v>16</v>
      </c>
      <c r="B19" s="331" t="s">
        <v>37</v>
      </c>
      <c r="C19" s="483">
        <v>167892</v>
      </c>
      <c r="D19" s="483">
        <v>248935649.87490001</v>
      </c>
      <c r="E19" s="484">
        <f t="shared" si="0"/>
        <v>249103541.87490001</v>
      </c>
      <c r="F19" s="483">
        <v>167892</v>
      </c>
      <c r="G19" s="483">
        <v>152682466.90669999</v>
      </c>
      <c r="H19" s="485">
        <f t="shared" si="1"/>
        <v>152850358.90669999</v>
      </c>
      <c r="I19" s="663"/>
      <c r="J19" s="663"/>
      <c r="K19" s="663"/>
      <c r="L19" s="663"/>
      <c r="M19" s="663"/>
      <c r="N19" s="663"/>
    </row>
    <row r="20" spans="1:14">
      <c r="A20" s="347" t="s">
        <v>17</v>
      </c>
      <c r="B20" s="331" t="s">
        <v>38</v>
      </c>
      <c r="C20" s="483">
        <v>0</v>
      </c>
      <c r="D20" s="483">
        <v>0</v>
      </c>
      <c r="E20" s="484">
        <f t="shared" si="0"/>
        <v>0</v>
      </c>
      <c r="F20" s="483">
        <v>0</v>
      </c>
      <c r="G20" s="483">
        <v>0</v>
      </c>
      <c r="H20" s="485">
        <f t="shared" si="1"/>
        <v>0</v>
      </c>
      <c r="I20" s="663"/>
      <c r="J20" s="663"/>
      <c r="K20" s="663"/>
      <c r="L20" s="663"/>
      <c r="M20" s="663"/>
      <c r="N20" s="663"/>
    </row>
    <row r="21" spans="1:14">
      <c r="A21" s="347" t="s">
        <v>18</v>
      </c>
      <c r="B21" s="331" t="s">
        <v>39</v>
      </c>
      <c r="C21" s="483">
        <v>40960.58</v>
      </c>
      <c r="D21" s="483">
        <v>84949003.708000004</v>
      </c>
      <c r="E21" s="484">
        <f t="shared" si="0"/>
        <v>84989964.288000003</v>
      </c>
      <c r="F21" s="483">
        <v>40960.58</v>
      </c>
      <c r="G21" s="483">
        <v>45950754.807899997</v>
      </c>
      <c r="H21" s="485">
        <f t="shared" si="1"/>
        <v>45991715.387899995</v>
      </c>
      <c r="I21" s="663"/>
      <c r="J21" s="663"/>
      <c r="K21" s="663"/>
      <c r="L21" s="663"/>
      <c r="M21" s="663"/>
      <c r="N21" s="663"/>
    </row>
    <row r="22" spans="1:14">
      <c r="A22" s="347" t="s">
        <v>19</v>
      </c>
      <c r="B22" s="331" t="s">
        <v>40</v>
      </c>
      <c r="C22" s="483">
        <v>33799999</v>
      </c>
      <c r="D22" s="483">
        <v>21217867.556000002</v>
      </c>
      <c r="E22" s="484">
        <f t="shared" si="0"/>
        <v>55017866.556000002</v>
      </c>
      <c r="F22" s="483">
        <v>25349999</v>
      </c>
      <c r="G22" s="483">
        <v>16520896.4528</v>
      </c>
      <c r="H22" s="485">
        <f t="shared" si="1"/>
        <v>41870895.452799998</v>
      </c>
      <c r="I22" s="663"/>
      <c r="J22" s="663"/>
      <c r="K22" s="663"/>
      <c r="L22" s="663"/>
      <c r="M22" s="663"/>
      <c r="N22" s="663"/>
    </row>
    <row r="23" spans="1:14">
      <c r="A23" s="347">
        <v>5.4</v>
      </c>
      <c r="B23" s="330" t="s">
        <v>171</v>
      </c>
      <c r="C23" s="483">
        <v>1911601</v>
      </c>
      <c r="D23" s="483">
        <v>38734402.100299999</v>
      </c>
      <c r="E23" s="484">
        <f t="shared" si="0"/>
        <v>40646003.100299999</v>
      </c>
      <c r="F23" s="483">
        <v>11911601</v>
      </c>
      <c r="G23" s="483">
        <v>33189528.6866</v>
      </c>
      <c r="H23" s="485">
        <f t="shared" si="1"/>
        <v>45101129.6866</v>
      </c>
      <c r="I23" s="663"/>
      <c r="J23" s="663"/>
      <c r="K23" s="663"/>
      <c r="L23" s="663"/>
      <c r="M23" s="663"/>
      <c r="N23" s="663"/>
    </row>
    <row r="24" spans="1:14">
      <c r="A24" s="347">
        <v>5.5</v>
      </c>
      <c r="B24" s="330" t="s">
        <v>172</v>
      </c>
      <c r="C24" s="483">
        <v>0</v>
      </c>
      <c r="D24" s="483">
        <v>55.098399999999998</v>
      </c>
      <c r="E24" s="484">
        <f t="shared" si="0"/>
        <v>55.098399999999998</v>
      </c>
      <c r="F24" s="483">
        <v>0</v>
      </c>
      <c r="G24" s="483">
        <v>61.822200000000002</v>
      </c>
      <c r="H24" s="485">
        <f t="shared" si="1"/>
        <v>61.822200000000002</v>
      </c>
      <c r="I24" s="663"/>
      <c r="J24" s="663"/>
      <c r="K24" s="663"/>
      <c r="L24" s="663"/>
      <c r="M24" s="663"/>
      <c r="N24" s="663"/>
    </row>
    <row r="25" spans="1:14">
      <c r="A25" s="347">
        <v>5.6</v>
      </c>
      <c r="B25" s="330" t="s">
        <v>173</v>
      </c>
      <c r="C25" s="483">
        <v>0</v>
      </c>
      <c r="D25" s="483">
        <v>15482417.038699999</v>
      </c>
      <c r="E25" s="484">
        <f t="shared" si="0"/>
        <v>15482417.038699999</v>
      </c>
      <c r="F25" s="483">
        <v>0</v>
      </c>
      <c r="G25" s="483">
        <v>0</v>
      </c>
      <c r="H25" s="485">
        <f t="shared" si="1"/>
        <v>0</v>
      </c>
      <c r="I25" s="663"/>
      <c r="J25" s="663"/>
      <c r="K25" s="663"/>
      <c r="L25" s="663"/>
      <c r="M25" s="663"/>
      <c r="N25" s="663"/>
    </row>
    <row r="26" spans="1:14">
      <c r="A26" s="347">
        <v>5.7</v>
      </c>
      <c r="B26" s="330" t="s">
        <v>40</v>
      </c>
      <c r="C26" s="483">
        <v>75056533.150000006</v>
      </c>
      <c r="D26" s="483">
        <v>45771104.751500003</v>
      </c>
      <c r="E26" s="484">
        <f t="shared" si="0"/>
        <v>120827637.90150002</v>
      </c>
      <c r="F26" s="483">
        <v>53536577</v>
      </c>
      <c r="G26" s="483">
        <v>43121930.379699998</v>
      </c>
      <c r="H26" s="485">
        <f t="shared" si="1"/>
        <v>96658507.379700005</v>
      </c>
      <c r="I26" s="663"/>
      <c r="J26" s="663"/>
      <c r="K26" s="663"/>
      <c r="L26" s="663"/>
      <c r="M26" s="663"/>
      <c r="N26" s="663"/>
    </row>
    <row r="27" spans="1:14">
      <c r="A27" s="347">
        <v>6</v>
      </c>
      <c r="B27" s="486" t="s">
        <v>622</v>
      </c>
      <c r="C27" s="483">
        <v>3437502.5</v>
      </c>
      <c r="D27" s="483">
        <v>20603731.9144</v>
      </c>
      <c r="E27" s="484">
        <f t="shared" si="0"/>
        <v>24041234.4144</v>
      </c>
      <c r="F27" s="483">
        <v>5472887.2300000004</v>
      </c>
      <c r="G27" s="483">
        <v>9625057.0999999996</v>
      </c>
      <c r="H27" s="485">
        <f t="shared" si="1"/>
        <v>15097944.33</v>
      </c>
      <c r="I27" s="663"/>
      <c r="J27" s="663"/>
      <c r="K27" s="663"/>
      <c r="L27" s="663"/>
      <c r="M27" s="663"/>
      <c r="N27" s="663"/>
    </row>
    <row r="28" spans="1:14">
      <c r="A28" s="347">
        <v>7</v>
      </c>
      <c r="B28" s="486" t="s">
        <v>623</v>
      </c>
      <c r="C28" s="483">
        <v>25016902.009999998</v>
      </c>
      <c r="D28" s="483">
        <v>39929158.502399996</v>
      </c>
      <c r="E28" s="484">
        <f t="shared" si="0"/>
        <v>64946060.512399994</v>
      </c>
      <c r="F28" s="483">
        <v>24174194.359999999</v>
      </c>
      <c r="G28" s="483">
        <v>35109134.964599997</v>
      </c>
      <c r="H28" s="485">
        <f t="shared" si="1"/>
        <v>59283329.324599996</v>
      </c>
      <c r="I28" s="663"/>
      <c r="J28" s="663"/>
      <c r="K28" s="663"/>
      <c r="L28" s="663"/>
      <c r="M28" s="663"/>
      <c r="N28" s="663"/>
    </row>
    <row r="29" spans="1:14">
      <c r="A29" s="347">
        <v>8</v>
      </c>
      <c r="B29" s="486" t="s">
        <v>181</v>
      </c>
      <c r="C29" s="483">
        <v>0</v>
      </c>
      <c r="D29" s="483">
        <v>1539561.0649999999</v>
      </c>
      <c r="E29" s="484">
        <f t="shared" si="0"/>
        <v>1539561.0649999999</v>
      </c>
      <c r="F29" s="483"/>
      <c r="G29" s="483"/>
      <c r="H29" s="485">
        <f t="shared" si="1"/>
        <v>0</v>
      </c>
      <c r="I29" s="663"/>
      <c r="J29" s="663"/>
      <c r="K29" s="663"/>
      <c r="L29" s="663"/>
      <c r="M29" s="663"/>
      <c r="N29" s="663"/>
    </row>
    <row r="30" spans="1:14">
      <c r="A30" s="347">
        <v>9</v>
      </c>
      <c r="B30" s="487" t="s">
        <v>198</v>
      </c>
      <c r="C30" s="483">
        <f>C31+C32+C33+C34+C35+C36+C37</f>
        <v>65160564.549999997</v>
      </c>
      <c r="D30" s="483">
        <f>D31+D32+D33+D34+D35+D36+D37</f>
        <v>183618742.0499</v>
      </c>
      <c r="E30" s="484">
        <f t="shared" si="0"/>
        <v>248779306.59990001</v>
      </c>
      <c r="F30" s="483">
        <f>F31+F32+F33+F34+F35+F36+F37</f>
        <v>80096188.710000008</v>
      </c>
      <c r="G30" s="483">
        <f>G31+G32+G33+G34+G35+G36+G37</f>
        <v>179217148.74439999</v>
      </c>
      <c r="H30" s="485">
        <f t="shared" si="1"/>
        <v>259313337.4544</v>
      </c>
      <c r="I30" s="663"/>
      <c r="J30" s="663"/>
      <c r="K30" s="663"/>
      <c r="L30" s="663"/>
      <c r="M30" s="663"/>
      <c r="N30" s="663"/>
    </row>
    <row r="31" spans="1:14">
      <c r="A31" s="347">
        <v>9.1</v>
      </c>
      <c r="B31" s="332" t="s">
        <v>188</v>
      </c>
      <c r="C31" s="483">
        <v>51151507.25</v>
      </c>
      <c r="D31" s="483">
        <v>73539353.469500005</v>
      </c>
      <c r="E31" s="484">
        <f t="shared" si="0"/>
        <v>124690860.71950001</v>
      </c>
      <c r="F31" s="483">
        <v>28749063.109999999</v>
      </c>
      <c r="G31" s="483">
        <v>100840694.2191</v>
      </c>
      <c r="H31" s="485">
        <f t="shared" si="1"/>
        <v>129589757.3291</v>
      </c>
      <c r="I31" s="663"/>
      <c r="J31" s="663"/>
      <c r="K31" s="663"/>
      <c r="L31" s="663"/>
      <c r="M31" s="663"/>
      <c r="N31" s="663"/>
    </row>
    <row r="32" spans="1:14">
      <c r="A32" s="347">
        <v>9.1999999999999993</v>
      </c>
      <c r="B32" s="332" t="s">
        <v>189</v>
      </c>
      <c r="C32" s="483">
        <v>14009057.300000001</v>
      </c>
      <c r="D32" s="483">
        <v>110079388.5804</v>
      </c>
      <c r="E32" s="484">
        <f t="shared" si="0"/>
        <v>124088445.8804</v>
      </c>
      <c r="F32" s="483">
        <v>51347125.600000001</v>
      </c>
      <c r="G32" s="483">
        <v>78376454.525299996</v>
      </c>
      <c r="H32" s="485">
        <f t="shared" si="1"/>
        <v>129723580.12529999</v>
      </c>
      <c r="I32" s="663"/>
      <c r="J32" s="663"/>
      <c r="K32" s="663"/>
      <c r="L32" s="663"/>
      <c r="M32" s="663"/>
      <c r="N32" s="663"/>
    </row>
    <row r="33" spans="1:14">
      <c r="A33" s="347">
        <v>9.3000000000000007</v>
      </c>
      <c r="B33" s="332" t="s">
        <v>185</v>
      </c>
      <c r="C33" s="483"/>
      <c r="D33" s="483"/>
      <c r="E33" s="484">
        <f t="shared" si="0"/>
        <v>0</v>
      </c>
      <c r="F33" s="483"/>
      <c r="G33" s="483"/>
      <c r="H33" s="485">
        <f t="shared" si="1"/>
        <v>0</v>
      </c>
      <c r="I33" s="663"/>
      <c r="J33" s="663"/>
      <c r="K33" s="663"/>
      <c r="L33" s="663"/>
      <c r="M33" s="663"/>
      <c r="N33" s="663"/>
    </row>
    <row r="34" spans="1:14">
      <c r="A34" s="347">
        <v>9.4</v>
      </c>
      <c r="B34" s="332" t="s">
        <v>186</v>
      </c>
      <c r="C34" s="483"/>
      <c r="D34" s="483"/>
      <c r="E34" s="484">
        <f t="shared" si="0"/>
        <v>0</v>
      </c>
      <c r="F34" s="483"/>
      <c r="G34" s="483"/>
      <c r="H34" s="485">
        <f t="shared" si="1"/>
        <v>0</v>
      </c>
      <c r="I34" s="663"/>
      <c r="J34" s="663"/>
      <c r="K34" s="663"/>
      <c r="L34" s="663"/>
      <c r="M34" s="663"/>
      <c r="N34" s="663"/>
    </row>
    <row r="35" spans="1:14">
      <c r="A35" s="347">
        <v>9.5</v>
      </c>
      <c r="B35" s="332" t="s">
        <v>187</v>
      </c>
      <c r="C35" s="483"/>
      <c r="D35" s="483"/>
      <c r="E35" s="484">
        <f t="shared" si="0"/>
        <v>0</v>
      </c>
      <c r="F35" s="483"/>
      <c r="G35" s="483"/>
      <c r="H35" s="485">
        <f t="shared" si="1"/>
        <v>0</v>
      </c>
      <c r="I35" s="663"/>
      <c r="J35" s="663"/>
      <c r="K35" s="663"/>
      <c r="L35" s="663"/>
      <c r="M35" s="663"/>
      <c r="N35" s="663"/>
    </row>
    <row r="36" spans="1:14">
      <c r="A36" s="347">
        <v>9.6</v>
      </c>
      <c r="B36" s="332" t="s">
        <v>190</v>
      </c>
      <c r="C36" s="483"/>
      <c r="D36" s="483"/>
      <c r="E36" s="484">
        <f t="shared" si="0"/>
        <v>0</v>
      </c>
      <c r="F36" s="483"/>
      <c r="G36" s="483"/>
      <c r="H36" s="485">
        <f t="shared" si="1"/>
        <v>0</v>
      </c>
      <c r="I36" s="663"/>
      <c r="J36" s="663"/>
      <c r="K36" s="663"/>
      <c r="L36" s="663"/>
      <c r="M36" s="663"/>
      <c r="N36" s="663"/>
    </row>
    <row r="37" spans="1:14">
      <c r="A37" s="347">
        <v>9.6999999999999993</v>
      </c>
      <c r="B37" s="332" t="s">
        <v>191</v>
      </c>
      <c r="C37" s="483"/>
      <c r="D37" s="483"/>
      <c r="E37" s="484">
        <f t="shared" si="0"/>
        <v>0</v>
      </c>
      <c r="F37" s="483"/>
      <c r="G37" s="483"/>
      <c r="H37" s="485">
        <f t="shared" si="1"/>
        <v>0</v>
      </c>
      <c r="I37" s="663"/>
      <c r="J37" s="663"/>
      <c r="K37" s="663"/>
      <c r="L37" s="663"/>
      <c r="M37" s="663"/>
      <c r="N37" s="663"/>
    </row>
    <row r="38" spans="1:14">
      <c r="A38" s="347">
        <v>10</v>
      </c>
      <c r="B38" s="329" t="s">
        <v>194</v>
      </c>
      <c r="C38" s="490">
        <f>C41+C42</f>
        <v>16507129.380000001</v>
      </c>
      <c r="D38" s="490">
        <f>D41+D42</f>
        <v>24307653.674999997</v>
      </c>
      <c r="E38" s="488">
        <f t="shared" si="0"/>
        <v>40814783.055</v>
      </c>
      <c r="F38" s="490">
        <f>F39+F40+F41+F42</f>
        <v>25218506.43</v>
      </c>
      <c r="G38" s="490">
        <f>G39+G40+G41+G42</f>
        <v>24669708.155400001</v>
      </c>
      <c r="H38" s="485">
        <f t="shared" si="1"/>
        <v>49888214.5854</v>
      </c>
      <c r="I38" s="663"/>
      <c r="J38" s="663"/>
      <c r="K38" s="663"/>
      <c r="L38" s="663"/>
      <c r="M38" s="663"/>
      <c r="N38" s="663"/>
    </row>
    <row r="39" spans="1:14">
      <c r="A39" s="347">
        <v>10.1</v>
      </c>
      <c r="B39" s="332" t="s">
        <v>195</v>
      </c>
      <c r="C39" s="483">
        <v>60727.119599999998</v>
      </c>
      <c r="D39" s="483"/>
      <c r="E39" s="484">
        <f t="shared" si="0"/>
        <v>60727.119599999998</v>
      </c>
      <c r="F39" s="483">
        <v>1425109.48</v>
      </c>
      <c r="G39" s="483">
        <v>0</v>
      </c>
      <c r="H39" s="485">
        <f t="shared" si="1"/>
        <v>1425109.48</v>
      </c>
      <c r="I39" s="663"/>
      <c r="J39" s="663"/>
      <c r="K39" s="663"/>
      <c r="L39" s="663"/>
      <c r="M39" s="663"/>
      <c r="N39" s="663"/>
    </row>
    <row r="40" spans="1:14">
      <c r="A40" s="347">
        <v>10.199999999999999</v>
      </c>
      <c r="B40" s="332" t="s">
        <v>196</v>
      </c>
      <c r="C40" s="483">
        <v>0</v>
      </c>
      <c r="D40" s="483">
        <v>0</v>
      </c>
      <c r="E40" s="484">
        <f t="shared" si="0"/>
        <v>0</v>
      </c>
      <c r="F40" s="483">
        <v>1857417.02</v>
      </c>
      <c r="G40" s="483">
        <v>2202952.8791999999</v>
      </c>
      <c r="H40" s="485">
        <f t="shared" si="1"/>
        <v>4060369.8991999999</v>
      </c>
      <c r="I40" s="663"/>
      <c r="J40" s="663"/>
      <c r="K40" s="663"/>
      <c r="L40" s="663"/>
      <c r="M40" s="663"/>
      <c r="N40" s="663"/>
    </row>
    <row r="41" spans="1:14">
      <c r="A41" s="347">
        <v>10.3</v>
      </c>
      <c r="B41" s="332" t="s">
        <v>199</v>
      </c>
      <c r="C41" s="483">
        <v>625958.31000000006</v>
      </c>
      <c r="D41" s="483">
        <v>9173.5095999999994</v>
      </c>
      <c r="E41" s="484">
        <f t="shared" si="0"/>
        <v>635131.81960000005</v>
      </c>
      <c r="F41" s="483">
        <v>7859251.3300000001</v>
      </c>
      <c r="G41" s="483">
        <v>0</v>
      </c>
      <c r="H41" s="485">
        <f t="shared" si="1"/>
        <v>7859251.3300000001</v>
      </c>
      <c r="I41" s="663"/>
      <c r="J41" s="663"/>
      <c r="K41" s="663"/>
      <c r="L41" s="663"/>
      <c r="M41" s="663"/>
      <c r="N41" s="663"/>
    </row>
    <row r="42" spans="1:14" ht="26.4">
      <c r="A42" s="347">
        <v>10.4</v>
      </c>
      <c r="B42" s="332" t="s">
        <v>200</v>
      </c>
      <c r="C42" s="483">
        <v>15881171.07</v>
      </c>
      <c r="D42" s="483">
        <v>24298480.165399998</v>
      </c>
      <c r="E42" s="484">
        <f t="shared" si="0"/>
        <v>40179651.235399999</v>
      </c>
      <c r="F42" s="483">
        <v>14076728.6</v>
      </c>
      <c r="G42" s="483">
        <v>22466755.2762</v>
      </c>
      <c r="H42" s="485">
        <f t="shared" si="1"/>
        <v>36543483.876199998</v>
      </c>
      <c r="I42" s="663"/>
      <c r="J42" s="663"/>
      <c r="K42" s="663"/>
      <c r="L42" s="663"/>
      <c r="M42" s="663"/>
      <c r="N42" s="663"/>
    </row>
    <row r="43" spans="1:14" ht="14.4" thickBot="1">
      <c r="A43" s="347">
        <v>11</v>
      </c>
      <c r="B43" s="107" t="s">
        <v>197</v>
      </c>
      <c r="C43" s="483"/>
      <c r="D43" s="483"/>
      <c r="E43" s="484">
        <f t="shared" si="0"/>
        <v>0</v>
      </c>
      <c r="F43" s="483"/>
      <c r="G43" s="483"/>
      <c r="H43" s="485">
        <f t="shared" si="1"/>
        <v>0</v>
      </c>
      <c r="I43" s="663"/>
      <c r="J43" s="663"/>
      <c r="K43" s="663"/>
      <c r="L43" s="663"/>
      <c r="M43" s="663"/>
      <c r="N43" s="663"/>
    </row>
    <row r="44" spans="1:14">
      <c r="C44" s="333"/>
      <c r="D44" s="333"/>
      <c r="E44" s="333"/>
      <c r="F44" s="333"/>
      <c r="G44" s="333"/>
      <c r="H44" s="333"/>
    </row>
    <row r="45" spans="1:14">
      <c r="C45" s="333"/>
      <c r="D45" s="333"/>
      <c r="E45" s="333"/>
      <c r="F45" s="333"/>
      <c r="G45" s="333"/>
      <c r="H45" s="333"/>
    </row>
    <row r="46" spans="1:14">
      <c r="C46" s="333"/>
      <c r="D46" s="333"/>
      <c r="E46" s="333"/>
      <c r="F46" s="333"/>
      <c r="G46" s="333"/>
      <c r="H46" s="333"/>
    </row>
    <row r="47" spans="1:14">
      <c r="C47" s="333"/>
      <c r="D47" s="333"/>
      <c r="E47" s="333"/>
      <c r="F47" s="333"/>
      <c r="G47" s="333"/>
      <c r="H47" s="333"/>
    </row>
  </sheetData>
  <mergeCells count="4">
    <mergeCell ref="A4:A5"/>
    <mergeCell ref="B4:B5"/>
    <mergeCell ref="C4:E4"/>
    <mergeCell ref="F4:H4"/>
  </mergeCells>
  <pageMargins left="0.7" right="0.7" top="0.75" bottom="0.75" header="0.3" footer="0.3"/>
  <pageSetup paperSize="9" orientation="portrait" r:id="rId1"/>
  <headerFooter>
    <oddFooter>&amp;C_x000D_&amp;1#&amp;"Calibri"&amp;10&amp;K000000 C1 - FOR 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18" sqref="J18"/>
    </sheetView>
  </sheetViews>
  <sheetFormatPr defaultColWidth="9.21875" defaultRowHeight="13.2"/>
  <cols>
    <col min="1" max="1" width="9.5546875" style="4" bestFit="1" customWidth="1"/>
    <col min="2" max="2" width="93.5546875" style="4" customWidth="1"/>
    <col min="3" max="4" width="12.33203125" style="4" customWidth="1"/>
    <col min="5" max="7" width="12.33203125" style="13" customWidth="1"/>
    <col min="8" max="11" width="9.77734375" style="13" customWidth="1"/>
    <col min="12" max="16384" width="9.21875" style="13"/>
  </cols>
  <sheetData>
    <row r="1" spans="1:13">
      <c r="A1" s="2" t="s">
        <v>30</v>
      </c>
      <c r="B1" s="3" t="str">
        <f>'Info '!C2</f>
        <v xml:space="preserve">PASHA Bank Georgia JSC </v>
      </c>
      <c r="C1" s="3"/>
    </row>
    <row r="2" spans="1:13">
      <c r="A2" s="2" t="s">
        <v>31</v>
      </c>
      <c r="B2" s="253">
        <f>'1. key ratios '!B2</f>
        <v>45838</v>
      </c>
      <c r="C2" s="3"/>
    </row>
    <row r="3" spans="1:13">
      <c r="A3" s="2"/>
      <c r="B3" s="3"/>
      <c r="C3" s="3"/>
    </row>
    <row r="4" spans="1:13" ht="15" customHeight="1" thickBot="1">
      <c r="A4" s="4" t="s">
        <v>96</v>
      </c>
      <c r="B4" s="84" t="s">
        <v>174</v>
      </c>
      <c r="C4" s="16" t="s">
        <v>35</v>
      </c>
    </row>
    <row r="5" spans="1:13" ht="15" customHeight="1">
      <c r="A5" s="129" t="s">
        <v>6</v>
      </c>
      <c r="B5" s="130"/>
      <c r="C5" s="251" t="str">
        <f>INT((MONTH($B$2))/3)&amp;"Q"&amp;"-"&amp;YEAR($B$2)</f>
        <v>2Q-2025</v>
      </c>
      <c r="D5" s="251" t="str">
        <f>IF(INT(MONTH($B$2))=3, "4"&amp;"Q"&amp;"-"&amp;YEAR($B$2)-1, IF(INT(MONTH($B$2))=6, "1"&amp;"Q"&amp;"-"&amp;YEAR($B$2), IF(INT(MONTH($B$2))=9, "2"&amp;"Q"&amp;"-"&amp;YEAR($B$2),IF(INT(MONTH($B$2))=12, "3"&amp;"Q"&amp;"-"&amp;YEAR($B$2), 0))))</f>
        <v>1Q-2025</v>
      </c>
      <c r="E5" s="251" t="str">
        <f>IF(INT(MONTH($B$2))=3, "3"&amp;"Q"&amp;"-"&amp;YEAR($B$2)-1, IF(INT(MONTH($B$2))=6, "4"&amp;"Q"&amp;"-"&amp;YEAR($B$2)-1, IF(INT(MONTH($B$2))=9, "1"&amp;"Q"&amp;"-"&amp;YEAR($B$2),IF(INT(MONTH($B$2))=12, "2"&amp;"Q"&amp;"-"&amp;YEAR($B$2), 0))))</f>
        <v>4Q-2024</v>
      </c>
      <c r="F5" s="251" t="str">
        <f>IF(INT(MONTH($B$2))=3, "2"&amp;"Q"&amp;"-"&amp;YEAR($B$2)-1, IF(INT(MONTH($B$2))=6, "3"&amp;"Q"&amp;"-"&amp;YEAR($B$2)-1, IF(INT(MONTH($B$2))=9, "4"&amp;"Q"&amp;"-"&amp;YEAR($B$2)-1,IF(INT(MONTH($B$2))=12, "1"&amp;"Q"&amp;"-"&amp;YEAR($B$2), 0))))</f>
        <v>3Q-2024</v>
      </c>
      <c r="G5" s="252" t="str">
        <f>IF(INT(MONTH($B$2))=3, "1"&amp;"Q"&amp;"-"&amp;YEAR($B$2)-1, IF(INT(MONTH($B$2))=6, "2"&amp;"Q"&amp;"-"&amp;YEAR($B$2)-1, IF(INT(MONTH($B$2))=9, "3"&amp;"Q"&amp;"-"&amp;YEAR($B$2)-1,IF(INT(MONTH($B$2))=12, "4"&amp;"Q"&amp;"-"&amp;YEAR($B$2)-1, 0))))</f>
        <v>2Q-2024</v>
      </c>
    </row>
    <row r="6" spans="1:13" ht="15" customHeight="1">
      <c r="A6" s="17">
        <v>1</v>
      </c>
      <c r="B6" s="214" t="s">
        <v>178</v>
      </c>
      <c r="C6" s="246">
        <f>C7+C9+C10</f>
        <v>533218917.65801996</v>
      </c>
      <c r="D6" s="247">
        <f>D7+D9+D10</f>
        <v>547179259.45317447</v>
      </c>
      <c r="E6" s="216">
        <f t="shared" ref="E6:G6" si="0">E7+E9+E10</f>
        <v>557912289</v>
      </c>
      <c r="F6" s="246">
        <f t="shared" si="0"/>
        <v>532723318</v>
      </c>
      <c r="G6" s="249">
        <f t="shared" si="0"/>
        <v>531594203</v>
      </c>
      <c r="H6" s="563"/>
      <c r="I6" s="563"/>
      <c r="J6" s="563"/>
      <c r="K6" s="563"/>
      <c r="L6" s="563"/>
      <c r="M6" s="563"/>
    </row>
    <row r="7" spans="1:13" ht="15" customHeight="1">
      <c r="A7" s="17">
        <v>1.1000000000000001</v>
      </c>
      <c r="B7" s="214" t="s">
        <v>745</v>
      </c>
      <c r="C7" s="560">
        <v>491806151.89602</v>
      </c>
      <c r="D7" s="561">
        <v>513414045.70438999</v>
      </c>
      <c r="E7" s="560">
        <v>523377407</v>
      </c>
      <c r="F7" s="560">
        <v>490354565</v>
      </c>
      <c r="G7" s="562">
        <v>493078309</v>
      </c>
      <c r="H7" s="563"/>
      <c r="I7" s="563"/>
      <c r="J7" s="563"/>
      <c r="K7" s="563"/>
      <c r="L7" s="563"/>
      <c r="M7" s="563"/>
    </row>
    <row r="8" spans="1:13">
      <c r="A8" s="17" t="s">
        <v>14</v>
      </c>
      <c r="B8" s="214" t="s">
        <v>95</v>
      </c>
      <c r="C8" s="560"/>
      <c r="D8" s="561"/>
      <c r="E8" s="560"/>
      <c r="F8" s="560"/>
      <c r="G8" s="562"/>
      <c r="H8" s="563"/>
      <c r="I8" s="563"/>
      <c r="J8" s="563"/>
      <c r="K8" s="563"/>
      <c r="L8" s="563"/>
      <c r="M8" s="563"/>
    </row>
    <row r="9" spans="1:13" ht="15" customHeight="1">
      <c r="A9" s="17">
        <v>1.2</v>
      </c>
      <c r="B9" s="215" t="s">
        <v>94</v>
      </c>
      <c r="C9" s="560">
        <v>40666665.478</v>
      </c>
      <c r="D9" s="561">
        <v>33153849.225784499</v>
      </c>
      <c r="E9" s="560">
        <v>33164663</v>
      </c>
      <c r="F9" s="560">
        <v>40956395</v>
      </c>
      <c r="G9" s="562">
        <v>37135997</v>
      </c>
      <c r="H9" s="563"/>
      <c r="I9" s="563"/>
      <c r="J9" s="563"/>
      <c r="K9" s="563"/>
      <c r="L9" s="563"/>
      <c r="M9" s="563"/>
    </row>
    <row r="10" spans="1:13" ht="15" customHeight="1">
      <c r="A10" s="17">
        <v>1.3</v>
      </c>
      <c r="B10" s="214" t="s">
        <v>28</v>
      </c>
      <c r="C10" s="560">
        <v>746100.28399999999</v>
      </c>
      <c r="D10" s="561">
        <v>611364.52299999993</v>
      </c>
      <c r="E10" s="560">
        <v>1370219</v>
      </c>
      <c r="F10" s="560">
        <v>1412358</v>
      </c>
      <c r="G10" s="562">
        <v>1379897</v>
      </c>
      <c r="H10" s="563"/>
      <c r="I10" s="563"/>
      <c r="J10" s="563"/>
      <c r="K10" s="563"/>
      <c r="L10" s="563"/>
      <c r="M10" s="563"/>
    </row>
    <row r="11" spans="1:13" ht="15" customHeight="1">
      <c r="A11" s="17">
        <v>2</v>
      </c>
      <c r="B11" s="214" t="s">
        <v>175</v>
      </c>
      <c r="C11" s="560">
        <v>2777016.3105860739</v>
      </c>
      <c r="D11" s="561">
        <v>729412.21164619329</v>
      </c>
      <c r="E11" s="560">
        <v>2449693</v>
      </c>
      <c r="F11" s="560">
        <v>2278077</v>
      </c>
      <c r="G11" s="562">
        <v>1876606</v>
      </c>
      <c r="H11" s="563"/>
      <c r="I11" s="563"/>
      <c r="J11" s="563"/>
      <c r="K11" s="563"/>
      <c r="L11" s="563"/>
      <c r="M11" s="563"/>
    </row>
    <row r="12" spans="1:13" ht="15" customHeight="1">
      <c r="A12" s="17">
        <v>3</v>
      </c>
      <c r="B12" s="214" t="s">
        <v>176</v>
      </c>
      <c r="C12" s="560">
        <v>77450981.25</v>
      </c>
      <c r="D12" s="561">
        <v>77450981.25</v>
      </c>
      <c r="E12" s="560">
        <v>77450981</v>
      </c>
      <c r="F12" s="560">
        <v>66393322</v>
      </c>
      <c r="G12" s="562">
        <v>66393322</v>
      </c>
      <c r="H12" s="563"/>
      <c r="I12" s="563"/>
      <c r="J12" s="563"/>
      <c r="K12" s="563"/>
      <c r="L12" s="563"/>
      <c r="M12" s="563"/>
    </row>
    <row r="13" spans="1:13" ht="15" customHeight="1" thickBot="1">
      <c r="A13" s="19">
        <v>4</v>
      </c>
      <c r="B13" s="20" t="s">
        <v>177</v>
      </c>
      <c r="C13" s="217">
        <f>C6+C11+C12</f>
        <v>613446915.218606</v>
      </c>
      <c r="D13" s="248">
        <f>D6+D11+D12</f>
        <v>625359652.91482067</v>
      </c>
      <c r="E13" s="218">
        <f t="shared" ref="E13:G13" si="1">E6+E11+E12</f>
        <v>637812963</v>
      </c>
      <c r="F13" s="217">
        <f t="shared" si="1"/>
        <v>601394717</v>
      </c>
      <c r="G13" s="250">
        <f t="shared" si="1"/>
        <v>599864131</v>
      </c>
      <c r="H13" s="563"/>
      <c r="I13" s="563"/>
      <c r="J13" s="563"/>
      <c r="K13" s="563"/>
      <c r="L13" s="563"/>
      <c r="M13" s="563"/>
    </row>
    <row r="14" spans="1:13">
      <c r="B14" s="23"/>
    </row>
    <row r="15" spans="1:13">
      <c r="B15" s="23"/>
    </row>
    <row r="16" spans="1:13">
      <c r="B16" s="23"/>
    </row>
    <row r="17" s="13" customFormat="1" ht="10.199999999999999"/>
    <row r="18" s="13" customFormat="1" ht="10.199999999999999"/>
    <row r="19" s="13" customFormat="1" ht="10.199999999999999"/>
    <row r="20" s="13" customFormat="1" ht="10.199999999999999"/>
    <row r="21" s="13" customFormat="1" ht="10.199999999999999"/>
    <row r="22" s="13" customFormat="1" ht="10.199999999999999"/>
    <row r="23" s="13" customFormat="1" ht="10.199999999999999"/>
    <row r="24" s="13" customFormat="1" ht="10.199999999999999"/>
    <row r="25" s="13" customFormat="1" ht="10.199999999999999"/>
    <row r="26" s="13" customFormat="1" ht="10.199999999999999"/>
    <row r="27" s="13" customFormat="1" ht="10.199999999999999"/>
    <row r="28" s="13" customFormat="1" ht="10.199999999999999"/>
    <row r="29" s="13" customFormat="1" ht="10.199999999999999"/>
  </sheetData>
  <pageMargins left="0.7" right="0.7" top="0.75" bottom="0.75" header="0.3" footer="0.3"/>
  <pageSetup paperSize="9" orientation="portrait" r:id="rId1"/>
  <headerFooter>
    <oddFooter>&amp;C_x000D_&amp;1#&amp;"Calibri"&amp;10&amp;K000000 C1 - FOR 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37" activePane="bottomRight" state="frozen"/>
      <selection activeCell="B19" sqref="B19"/>
      <selection pane="topRight" activeCell="B19" sqref="B19"/>
      <selection pane="bottomLeft" activeCell="B19" sqref="B19"/>
      <selection pane="bottomRight" activeCell="F17" sqref="F17"/>
    </sheetView>
  </sheetViews>
  <sheetFormatPr defaultColWidth="9.21875" defaultRowHeight="13.8"/>
  <cols>
    <col min="1" max="1" width="9.5546875" style="4" bestFit="1" customWidth="1"/>
    <col min="2" max="2" width="65.5546875" style="4" customWidth="1"/>
    <col min="3" max="3" width="49.21875" style="4" bestFit="1" customWidth="1"/>
    <col min="4" max="16384" width="9.21875" style="5"/>
  </cols>
  <sheetData>
    <row r="1" spans="1:8">
      <c r="A1" s="2" t="s">
        <v>30</v>
      </c>
      <c r="B1" s="3" t="str">
        <f>'Info '!C2</f>
        <v xml:space="preserve">PASHA Bank Georgia JSC </v>
      </c>
    </row>
    <row r="2" spans="1:8">
      <c r="A2" s="2" t="s">
        <v>31</v>
      </c>
      <c r="B2" s="253">
        <f>'1. key ratios '!B2</f>
        <v>45838</v>
      </c>
    </row>
    <row r="4" spans="1:8" ht="28.05" customHeight="1" thickBot="1">
      <c r="A4" s="24" t="s">
        <v>41</v>
      </c>
      <c r="B4" s="25" t="s">
        <v>151</v>
      </c>
      <c r="C4" s="26"/>
    </row>
    <row r="5" spans="1:8">
      <c r="A5" s="27"/>
      <c r="B5" s="241" t="s">
        <v>42</v>
      </c>
      <c r="C5" s="242" t="s">
        <v>335</v>
      </c>
    </row>
    <row r="6" spans="1:8">
      <c r="A6" s="28">
        <v>1</v>
      </c>
      <c r="B6" s="29" t="s">
        <v>756</v>
      </c>
      <c r="C6" s="30" t="s">
        <v>760</v>
      </c>
    </row>
    <row r="7" spans="1:8">
      <c r="A7" s="28">
        <v>2</v>
      </c>
      <c r="B7" s="29" t="s">
        <v>757</v>
      </c>
      <c r="C7" s="30" t="s">
        <v>761</v>
      </c>
    </row>
    <row r="8" spans="1:8">
      <c r="A8" s="28">
        <v>3</v>
      </c>
      <c r="B8" s="29" t="s">
        <v>758</v>
      </c>
      <c r="C8" s="30" t="s">
        <v>761</v>
      </c>
    </row>
    <row r="9" spans="1:8">
      <c r="A9" s="28">
        <v>4</v>
      </c>
      <c r="B9" s="29" t="s">
        <v>759</v>
      </c>
      <c r="C9" s="30" t="s">
        <v>760</v>
      </c>
    </row>
    <row r="10" spans="1:8">
      <c r="A10" s="28">
        <v>5</v>
      </c>
      <c r="B10" s="29" t="s">
        <v>753</v>
      </c>
      <c r="C10" s="30" t="s">
        <v>762</v>
      </c>
    </row>
    <row r="11" spans="1:8">
      <c r="A11" s="28">
        <v>6</v>
      </c>
      <c r="B11" s="29"/>
      <c r="C11" s="30"/>
    </row>
    <row r="12" spans="1:8">
      <c r="A12" s="28">
        <v>7</v>
      </c>
      <c r="B12" s="29"/>
      <c r="C12" s="30"/>
      <c r="H12" s="31"/>
    </row>
    <row r="13" spans="1:8">
      <c r="A13" s="28">
        <v>8</v>
      </c>
      <c r="B13" s="29"/>
      <c r="C13" s="30"/>
    </row>
    <row r="14" spans="1:8">
      <c r="A14" s="28">
        <v>9</v>
      </c>
      <c r="B14" s="29"/>
      <c r="C14" s="30"/>
    </row>
    <row r="15" spans="1:8">
      <c r="A15" s="28">
        <v>10</v>
      </c>
      <c r="B15" s="29"/>
      <c r="C15" s="30"/>
    </row>
    <row r="16" spans="1:8">
      <c r="A16" s="28"/>
      <c r="B16" s="243"/>
      <c r="C16" s="244"/>
    </row>
    <row r="17" spans="1:4">
      <c r="A17" s="28"/>
      <c r="B17" s="113" t="s">
        <v>43</v>
      </c>
      <c r="C17" s="245" t="s">
        <v>336</v>
      </c>
    </row>
    <row r="18" spans="1:4">
      <c r="A18" s="28">
        <v>1</v>
      </c>
      <c r="B18" s="29" t="s">
        <v>754</v>
      </c>
      <c r="C18" s="32" t="s">
        <v>763</v>
      </c>
    </row>
    <row r="19" spans="1:4">
      <c r="A19" s="28">
        <v>2</v>
      </c>
      <c r="B19" s="29" t="s">
        <v>764</v>
      </c>
      <c r="C19" s="32" t="s">
        <v>765</v>
      </c>
    </row>
    <row r="20" spans="1:4">
      <c r="A20" s="28">
        <v>3</v>
      </c>
      <c r="B20" s="29" t="s">
        <v>766</v>
      </c>
      <c r="C20" s="32" t="s">
        <v>767</v>
      </c>
    </row>
    <row r="21" spans="1:4">
      <c r="A21" s="28">
        <v>4</v>
      </c>
      <c r="B21" s="29" t="s">
        <v>768</v>
      </c>
      <c r="C21" s="32" t="s">
        <v>769</v>
      </c>
    </row>
    <row r="22" spans="1:4">
      <c r="A22" s="28">
        <v>5</v>
      </c>
      <c r="B22" s="29"/>
      <c r="C22" s="32"/>
    </row>
    <row r="23" spans="1:4">
      <c r="A23" s="28">
        <v>6</v>
      </c>
      <c r="B23" s="29"/>
      <c r="C23" s="32"/>
    </row>
    <row r="24" spans="1:4">
      <c r="A24" s="28">
        <v>7</v>
      </c>
      <c r="B24" s="29"/>
      <c r="C24" s="32"/>
    </row>
    <row r="25" spans="1:4">
      <c r="A25" s="28">
        <v>8</v>
      </c>
      <c r="B25" s="29"/>
      <c r="C25" s="32"/>
    </row>
    <row r="26" spans="1:4">
      <c r="A26" s="28">
        <v>9</v>
      </c>
      <c r="B26" s="29"/>
      <c r="C26" s="32"/>
    </row>
    <row r="27" spans="1:4" ht="15.75" customHeight="1">
      <c r="A27" s="28">
        <v>10</v>
      </c>
      <c r="B27" s="29"/>
      <c r="C27" s="33"/>
    </row>
    <row r="28" spans="1:4" ht="15.75" customHeight="1">
      <c r="A28" s="28"/>
      <c r="B28" s="29"/>
      <c r="C28" s="33"/>
    </row>
    <row r="29" spans="1:4" ht="30" customHeight="1">
      <c r="A29" s="28"/>
      <c r="B29" s="744" t="s">
        <v>44</v>
      </c>
      <c r="C29" s="745"/>
    </row>
    <row r="30" spans="1:4" ht="14.4">
      <c r="A30" s="28">
        <v>1</v>
      </c>
      <c r="B30" s="29" t="s">
        <v>770</v>
      </c>
      <c r="C30" s="567">
        <v>0.85058799707602339</v>
      </c>
      <c r="D30" s="661"/>
    </row>
    <row r="31" spans="1:4" ht="15.75" customHeight="1">
      <c r="A31" s="28">
        <v>2</v>
      </c>
      <c r="B31" s="29" t="s">
        <v>771</v>
      </c>
      <c r="C31" s="567">
        <v>0.14941200292397661</v>
      </c>
      <c r="D31" s="661"/>
    </row>
    <row r="32" spans="1:4" ht="29.25" customHeight="1">
      <c r="A32" s="28"/>
      <c r="B32" s="744" t="s">
        <v>45</v>
      </c>
      <c r="C32" s="745"/>
      <c r="D32" s="661"/>
    </row>
    <row r="33" spans="1:4" ht="14.4">
      <c r="A33" s="28">
        <v>1</v>
      </c>
      <c r="B33" s="29" t="s">
        <v>772</v>
      </c>
      <c r="C33" s="567">
        <v>0.18988394736842104</v>
      </c>
      <c r="D33" s="661"/>
    </row>
    <row r="34" spans="1:4" ht="14.4">
      <c r="A34" s="568">
        <v>2</v>
      </c>
      <c r="B34" s="569" t="s">
        <v>773</v>
      </c>
      <c r="C34" s="567">
        <v>0.35211520467836255</v>
      </c>
      <c r="D34" s="661"/>
    </row>
    <row r="35" spans="1:4" ht="14.4">
      <c r="A35" s="568">
        <v>3</v>
      </c>
      <c r="B35" s="569" t="s">
        <v>774</v>
      </c>
      <c r="C35" s="567">
        <v>0.35211520467836255</v>
      </c>
      <c r="D35" s="661"/>
    </row>
    <row r="36" spans="1:4" ht="15" thickBot="1">
      <c r="A36" s="34">
        <v>4</v>
      </c>
      <c r="B36" s="35" t="s">
        <v>775</v>
      </c>
      <c r="C36" s="570">
        <v>0.10588564327485381</v>
      </c>
      <c r="D36" s="661"/>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headerFooter>
    <oddFooter>&amp;C_x000D_&amp;1#&amp;"Calibri"&amp;10&amp;K000000 C1 - FOR 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47" sqref="G47"/>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8" width="11.33203125" style="5" customWidth="1"/>
    <col min="9" max="16384" width="9.21875" style="5"/>
  </cols>
  <sheetData>
    <row r="1" spans="1:8">
      <c r="A1" s="22" t="s">
        <v>30</v>
      </c>
      <c r="B1" s="3" t="str">
        <f>'Info '!C2</f>
        <v xml:space="preserve">PASHA Bank Georgia JSC </v>
      </c>
    </row>
    <row r="2" spans="1:8" s="2" customFormat="1" ht="15.75" customHeight="1">
      <c r="A2" s="22" t="s">
        <v>31</v>
      </c>
      <c r="B2" s="253">
        <f>'1. key ratios '!B2</f>
        <v>45838</v>
      </c>
    </row>
    <row r="3" spans="1:8" s="2" customFormat="1" ht="15.75" customHeight="1">
      <c r="A3" s="22"/>
    </row>
    <row r="4" spans="1:8" s="2" customFormat="1" ht="15.75" customHeight="1" thickBot="1">
      <c r="A4" s="167" t="s">
        <v>99</v>
      </c>
      <c r="B4" s="750" t="s">
        <v>212</v>
      </c>
      <c r="C4" s="751"/>
      <c r="D4" s="751"/>
      <c r="E4" s="751"/>
    </row>
    <row r="5" spans="1:8" s="39" customFormat="1" ht="17.55" customHeight="1">
      <c r="A5" s="116"/>
      <c r="B5" s="117"/>
      <c r="C5" s="37" t="s">
        <v>0</v>
      </c>
      <c r="D5" s="37" t="s">
        <v>1</v>
      </c>
      <c r="E5" s="38" t="s">
        <v>2</v>
      </c>
    </row>
    <row r="6" spans="1:8" ht="14.55" customHeight="1">
      <c r="A6" s="101"/>
      <c r="B6" s="746" t="s">
        <v>219</v>
      </c>
      <c r="C6" s="746" t="s">
        <v>624</v>
      </c>
      <c r="D6" s="748" t="s">
        <v>98</v>
      </c>
      <c r="E6" s="749"/>
    </row>
    <row r="7" spans="1:8" ht="99.6" customHeight="1">
      <c r="A7" s="101"/>
      <c r="B7" s="747"/>
      <c r="C7" s="746"/>
      <c r="D7" s="200" t="s">
        <v>97</v>
      </c>
      <c r="E7" s="201" t="s">
        <v>220</v>
      </c>
    </row>
    <row r="8" spans="1:8" ht="20.399999999999999">
      <c r="A8" s="302">
        <v>1</v>
      </c>
      <c r="B8" s="303" t="s">
        <v>525</v>
      </c>
      <c r="C8" s="571">
        <f>SUM(C9:C11)</f>
        <v>140449262.91460001</v>
      </c>
      <c r="D8" s="571">
        <f>SUM(D9:D11)</f>
        <v>0</v>
      </c>
      <c r="E8" s="571">
        <f>SUM(E9:E11)</f>
        <v>140449262.91460001</v>
      </c>
      <c r="F8" s="574"/>
      <c r="G8" s="574"/>
      <c r="H8" s="574"/>
    </row>
    <row r="9" spans="1:8" ht="14.4">
      <c r="A9" s="302">
        <v>1.1000000000000001</v>
      </c>
      <c r="B9" s="304" t="s">
        <v>526</v>
      </c>
      <c r="C9" s="571">
        <v>4271874.5952000003</v>
      </c>
      <c r="D9" s="571"/>
      <c r="E9" s="670">
        <f>C9-D9</f>
        <v>4271874.5952000003</v>
      </c>
      <c r="F9" s="574"/>
      <c r="G9" s="574"/>
      <c r="H9" s="574"/>
    </row>
    <row r="10" spans="1:8" ht="14.4">
      <c r="A10" s="302">
        <v>1.2</v>
      </c>
      <c r="B10" s="304" t="s">
        <v>527</v>
      </c>
      <c r="C10" s="571">
        <v>45178575.975099996</v>
      </c>
      <c r="D10" s="571"/>
      <c r="E10" s="670">
        <f t="shared" ref="E10:E13" si="0">C10-D10</f>
        <v>45178575.975099996</v>
      </c>
      <c r="F10" s="574"/>
      <c r="G10" s="574"/>
      <c r="H10" s="574"/>
    </row>
    <row r="11" spans="1:8" ht="14.4">
      <c r="A11" s="302">
        <v>1.3</v>
      </c>
      <c r="B11" s="304" t="s">
        <v>528</v>
      </c>
      <c r="C11" s="571">
        <v>90998812.344300002</v>
      </c>
      <c r="D11" s="571"/>
      <c r="E11" s="670">
        <f t="shared" si="0"/>
        <v>90998812.344300002</v>
      </c>
      <c r="F11" s="574"/>
      <c r="G11" s="574"/>
      <c r="H11" s="574"/>
    </row>
    <row r="12" spans="1:8" ht="14.4">
      <c r="A12" s="302">
        <v>2</v>
      </c>
      <c r="B12" s="305" t="s">
        <v>529</v>
      </c>
      <c r="C12" s="571">
        <v>1017240.6063</v>
      </c>
      <c r="D12" s="571"/>
      <c r="E12" s="670">
        <f t="shared" si="0"/>
        <v>1017240.6063</v>
      </c>
      <c r="F12" s="574"/>
      <c r="G12" s="574"/>
      <c r="H12" s="574"/>
    </row>
    <row r="13" spans="1:8" ht="14.4">
      <c r="A13" s="302">
        <v>2.1</v>
      </c>
      <c r="B13" s="306" t="s">
        <v>530</v>
      </c>
      <c r="C13" s="572">
        <v>1017240.6063</v>
      </c>
      <c r="D13" s="572"/>
      <c r="E13" s="670">
        <f t="shared" si="0"/>
        <v>1017240.6063</v>
      </c>
      <c r="F13" s="574"/>
      <c r="G13" s="574"/>
      <c r="H13" s="574"/>
    </row>
    <row r="14" spans="1:8" ht="20.399999999999999">
      <c r="A14" s="302">
        <v>3</v>
      </c>
      <c r="B14" s="307" t="s">
        <v>531</v>
      </c>
      <c r="C14" s="572"/>
      <c r="D14" s="572"/>
      <c r="E14" s="572"/>
      <c r="F14" s="574"/>
      <c r="G14" s="574"/>
      <c r="H14" s="574"/>
    </row>
    <row r="15" spans="1:8" ht="14.4">
      <c r="A15" s="302">
        <v>4</v>
      </c>
      <c r="B15" s="308" t="s">
        <v>532</v>
      </c>
      <c r="C15" s="572"/>
      <c r="D15" s="572"/>
      <c r="E15" s="572"/>
      <c r="F15" s="574"/>
      <c r="G15" s="574"/>
      <c r="H15" s="574"/>
    </row>
    <row r="16" spans="1:8" ht="20.399999999999999">
      <c r="A16" s="302">
        <v>5</v>
      </c>
      <c r="B16" s="309" t="s">
        <v>533</v>
      </c>
      <c r="C16" s="572">
        <f>SUM(C17:C19)</f>
        <v>0</v>
      </c>
      <c r="D16" s="572">
        <f>SUM(D17:D19)</f>
        <v>0</v>
      </c>
      <c r="E16" s="572">
        <f>SUM(E17:E19)</f>
        <v>0</v>
      </c>
      <c r="F16" s="574"/>
      <c r="G16" s="574"/>
      <c r="H16" s="574"/>
    </row>
    <row r="17" spans="1:8" ht="14.4">
      <c r="A17" s="302">
        <v>5.0999999999999996</v>
      </c>
      <c r="B17" s="310" t="s">
        <v>534</v>
      </c>
      <c r="C17" s="572"/>
      <c r="D17" s="572"/>
      <c r="E17" s="572"/>
      <c r="F17" s="574"/>
      <c r="G17" s="574"/>
      <c r="H17" s="574"/>
    </row>
    <row r="18" spans="1:8" ht="14.4">
      <c r="A18" s="302">
        <v>5.2</v>
      </c>
      <c r="B18" s="310" t="s">
        <v>535</v>
      </c>
      <c r="C18" s="572"/>
      <c r="D18" s="572"/>
      <c r="E18" s="572"/>
      <c r="F18" s="574"/>
      <c r="G18" s="574"/>
      <c r="H18" s="574"/>
    </row>
    <row r="19" spans="1:8" ht="14.4">
      <c r="A19" s="302">
        <v>5.3</v>
      </c>
      <c r="B19" s="311" t="s">
        <v>536</v>
      </c>
      <c r="C19" s="572"/>
      <c r="D19" s="572"/>
      <c r="E19" s="572"/>
      <c r="F19" s="574"/>
      <c r="G19" s="574"/>
      <c r="H19" s="574"/>
    </row>
    <row r="20" spans="1:8" ht="14.4">
      <c r="A20" s="302">
        <v>6</v>
      </c>
      <c r="B20" s="307" t="s">
        <v>537</v>
      </c>
      <c r="C20" s="572">
        <f>SUM(C21:C22)</f>
        <v>447335168.34139997</v>
      </c>
      <c r="D20" s="572">
        <f>SUM(D21:D22)</f>
        <v>0</v>
      </c>
      <c r="E20" s="572">
        <f>SUM(E21:E22)</f>
        <v>447335168.34139997</v>
      </c>
      <c r="F20" s="574"/>
      <c r="G20" s="574"/>
      <c r="H20" s="574"/>
    </row>
    <row r="21" spans="1:8" ht="14.4">
      <c r="A21" s="302">
        <v>6.1</v>
      </c>
      <c r="B21" s="310" t="s">
        <v>535</v>
      </c>
      <c r="C21" s="572">
        <v>82113163.333999991</v>
      </c>
      <c r="D21" s="572"/>
      <c r="E21" s="572">
        <f>C21-D21</f>
        <v>82113163.333999991</v>
      </c>
      <c r="F21" s="574"/>
      <c r="G21" s="574"/>
      <c r="H21" s="574"/>
    </row>
    <row r="22" spans="1:8" ht="14.4">
      <c r="A22" s="302">
        <v>6.2</v>
      </c>
      <c r="B22" s="311" t="s">
        <v>536</v>
      </c>
      <c r="C22" s="572">
        <v>365222005.00739998</v>
      </c>
      <c r="D22" s="572"/>
      <c r="E22" s="572">
        <f>C22-D22</f>
        <v>365222005.00739998</v>
      </c>
      <c r="F22" s="574"/>
      <c r="G22" s="574"/>
      <c r="H22" s="574"/>
    </row>
    <row r="23" spans="1:8" ht="14.4">
      <c r="A23" s="302">
        <v>7</v>
      </c>
      <c r="B23" s="305" t="s">
        <v>538</v>
      </c>
      <c r="C23" s="572"/>
      <c r="D23" s="572"/>
      <c r="E23" s="572"/>
      <c r="F23" s="574"/>
      <c r="G23" s="574"/>
      <c r="H23" s="574"/>
    </row>
    <row r="24" spans="1:8" ht="20.399999999999999">
      <c r="A24" s="302">
        <v>8</v>
      </c>
      <c r="B24" s="312" t="s">
        <v>539</v>
      </c>
      <c r="C24" s="572"/>
      <c r="D24" s="572"/>
      <c r="E24" s="572"/>
      <c r="F24" s="574"/>
      <c r="G24" s="574"/>
      <c r="H24" s="574"/>
    </row>
    <row r="25" spans="1:8" ht="14.4">
      <c r="A25" s="302">
        <v>9</v>
      </c>
      <c r="B25" s="308" t="s">
        <v>540</v>
      </c>
      <c r="C25" s="572">
        <f>SUM(C26:C27)</f>
        <v>6098430.21</v>
      </c>
      <c r="D25" s="572">
        <f>SUM(D26:D27)</f>
        <v>0</v>
      </c>
      <c r="E25" s="572">
        <f>SUM(E26:E27)</f>
        <v>6098430.21</v>
      </c>
      <c r="F25" s="574"/>
      <c r="G25" s="574"/>
      <c r="H25" s="574"/>
    </row>
    <row r="26" spans="1:8" ht="14.4">
      <c r="A26" s="302">
        <v>9.1</v>
      </c>
      <c r="B26" s="310" t="s">
        <v>541</v>
      </c>
      <c r="C26" s="572">
        <v>6098430.21</v>
      </c>
      <c r="D26" s="572"/>
      <c r="E26" s="572">
        <f>C26-D26</f>
        <v>6098430.21</v>
      </c>
      <c r="F26" s="574"/>
      <c r="G26" s="574"/>
      <c r="H26" s="574"/>
    </row>
    <row r="27" spans="1:8" ht="14.4">
      <c r="A27" s="302">
        <v>9.1999999999999993</v>
      </c>
      <c r="B27" s="310" t="s">
        <v>542</v>
      </c>
      <c r="C27" s="572">
        <v>0</v>
      </c>
      <c r="D27" s="572"/>
      <c r="E27" s="572"/>
      <c r="F27" s="574"/>
      <c r="G27" s="574"/>
      <c r="H27" s="574"/>
    </row>
    <row r="28" spans="1:8" ht="14.4">
      <c r="A28" s="302">
        <v>10</v>
      </c>
      <c r="B28" s="308" t="s">
        <v>543</v>
      </c>
      <c r="C28" s="572">
        <f>SUM(C29:C30)</f>
        <v>3492009.44</v>
      </c>
      <c r="D28" s="572">
        <f>SUM(D29:D30)</f>
        <v>3492009.44</v>
      </c>
      <c r="E28" s="572">
        <f>SUM(E29:E30)</f>
        <v>0</v>
      </c>
      <c r="F28" s="574"/>
      <c r="G28" s="574"/>
      <c r="H28" s="574"/>
    </row>
    <row r="29" spans="1:8" ht="14.4">
      <c r="A29" s="302">
        <v>10.1</v>
      </c>
      <c r="B29" s="310" t="s">
        <v>544</v>
      </c>
      <c r="C29" s="572"/>
      <c r="D29" s="572"/>
      <c r="E29" s="572"/>
      <c r="F29" s="574"/>
      <c r="G29" s="574"/>
      <c r="H29" s="574"/>
    </row>
    <row r="30" spans="1:8" ht="14.4">
      <c r="A30" s="302">
        <v>10.199999999999999</v>
      </c>
      <c r="B30" s="310" t="s">
        <v>545</v>
      </c>
      <c r="C30" s="572">
        <v>3492009.44</v>
      </c>
      <c r="D30" s="572">
        <v>3492009.44</v>
      </c>
      <c r="E30" s="573">
        <f>C30-D30</f>
        <v>0</v>
      </c>
      <c r="F30" s="574"/>
      <c r="G30" s="574"/>
      <c r="H30" s="574"/>
    </row>
    <row r="31" spans="1:8" ht="14.4">
      <c r="A31" s="302">
        <v>11</v>
      </c>
      <c r="B31" s="308" t="s">
        <v>546</v>
      </c>
      <c r="C31" s="572">
        <f>SUM(C32:C33)</f>
        <v>3458618.27</v>
      </c>
      <c r="D31" s="572">
        <f>SUM(D32:D33)</f>
        <v>3458618.27</v>
      </c>
      <c r="E31" s="572">
        <f>SUM(E32:E33)</f>
        <v>0</v>
      </c>
      <c r="F31" s="574"/>
      <c r="G31" s="574"/>
      <c r="H31" s="574"/>
    </row>
    <row r="32" spans="1:8" ht="14.4">
      <c r="A32" s="302">
        <v>11.1</v>
      </c>
      <c r="B32" s="310" t="s">
        <v>547</v>
      </c>
      <c r="C32" s="572"/>
      <c r="D32" s="572"/>
      <c r="E32" s="572"/>
      <c r="F32" s="574"/>
      <c r="G32" s="574"/>
      <c r="H32" s="574"/>
    </row>
    <row r="33" spans="1:8" ht="14.4">
      <c r="A33" s="302">
        <v>11.2</v>
      </c>
      <c r="B33" s="310" t="s">
        <v>548</v>
      </c>
      <c r="C33" s="572">
        <v>3458618.27</v>
      </c>
      <c r="D33" s="572">
        <v>3458618.27</v>
      </c>
      <c r="E33" s="572"/>
      <c r="F33" s="574"/>
      <c r="G33" s="574"/>
      <c r="H33" s="574"/>
    </row>
    <row r="34" spans="1:8" ht="14.4">
      <c r="A34" s="302">
        <v>13</v>
      </c>
      <c r="B34" s="308" t="s">
        <v>549</v>
      </c>
      <c r="C34" s="572">
        <v>19462763.5022</v>
      </c>
      <c r="D34" s="572"/>
      <c r="E34" s="573">
        <f>C34-D34</f>
        <v>19462763.5022</v>
      </c>
      <c r="F34" s="574"/>
      <c r="G34" s="574"/>
      <c r="H34" s="574"/>
    </row>
    <row r="35" spans="1:8" ht="14.4">
      <c r="A35" s="302">
        <v>13.1</v>
      </c>
      <c r="B35" s="313" t="s">
        <v>550</v>
      </c>
      <c r="C35" s="572">
        <v>16664937.84</v>
      </c>
      <c r="D35" s="572"/>
      <c r="E35" s="573">
        <f>C35-D35</f>
        <v>16664937.84</v>
      </c>
      <c r="F35" s="574"/>
      <c r="G35" s="574"/>
      <c r="H35" s="574"/>
    </row>
    <row r="36" spans="1:8" ht="14.4">
      <c r="A36" s="302">
        <v>13.2</v>
      </c>
      <c r="B36" s="313" t="s">
        <v>551</v>
      </c>
      <c r="C36" s="334"/>
      <c r="D36" s="334"/>
      <c r="E36" s="334"/>
      <c r="F36" s="574"/>
      <c r="G36" s="574"/>
      <c r="H36" s="574"/>
    </row>
    <row r="37" spans="1:8" ht="27" thickBot="1">
      <c r="A37" s="104"/>
      <c r="B37" s="168" t="s">
        <v>221</v>
      </c>
      <c r="C37" s="118">
        <f>SUM(C8,C12,C14,C15,C16,C20,C23,C24,C25,C28,C31,C34)</f>
        <v>621313493.2845</v>
      </c>
      <c r="D37" s="118">
        <f>SUM(D8,D12,D14,D15,D16,D20,D23,D24,D25,D28,D31,D34)</f>
        <v>6950627.71</v>
      </c>
      <c r="E37" s="118">
        <f>SUM(E8,E12,E14,E15,E16,E20,E23,E24,E25,E28,E31,E34)</f>
        <v>614362865.57449996</v>
      </c>
      <c r="F37" s="574"/>
      <c r="G37" s="574"/>
      <c r="H37" s="574"/>
    </row>
    <row r="38" spans="1:8">
      <c r="A38" s="5"/>
      <c r="B38" s="5"/>
      <c r="C38" s="5"/>
      <c r="D38" s="5"/>
      <c r="E38" s="5"/>
    </row>
    <row r="39" spans="1:8">
      <c r="A39" s="5"/>
      <c r="B39" s="5"/>
      <c r="C39" s="5"/>
      <c r="D39" s="5"/>
      <c r="E39" s="5"/>
    </row>
    <row r="41" spans="1:8" s="4" customFormat="1">
      <c r="B41" s="41"/>
      <c r="F41" s="5"/>
      <c r="G41" s="5"/>
    </row>
    <row r="42" spans="1:8" s="4" customFormat="1">
      <c r="B42" s="41"/>
      <c r="F42" s="5"/>
      <c r="G42" s="5"/>
    </row>
    <row r="43" spans="1:8" s="4" customFormat="1">
      <c r="B43" s="41"/>
      <c r="F43" s="5"/>
      <c r="G43" s="5"/>
    </row>
    <row r="44" spans="1:8" s="4" customFormat="1">
      <c r="B44" s="41"/>
      <c r="F44" s="5"/>
      <c r="G44" s="5"/>
    </row>
    <row r="45" spans="1:8" s="4" customFormat="1">
      <c r="B45" s="41"/>
      <c r="F45" s="5"/>
      <c r="G45" s="5"/>
    </row>
    <row r="46" spans="1:8" s="4" customFormat="1">
      <c r="B46" s="41"/>
      <c r="F46" s="5"/>
      <c r="G46" s="5"/>
    </row>
    <row r="47" spans="1:8" s="4" customFormat="1">
      <c r="B47" s="41"/>
      <c r="F47" s="5"/>
      <c r="G47" s="5"/>
    </row>
    <row r="48" spans="1:8"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3" sqref="E13"/>
    </sheetView>
  </sheetViews>
  <sheetFormatPr defaultColWidth="9.21875" defaultRowHeight="13.2" outlineLevelRow="1"/>
  <cols>
    <col min="1" max="1" width="9.5546875" style="4" bestFit="1" customWidth="1"/>
    <col min="2" max="2" width="114.21875" style="4" customWidth="1"/>
    <col min="3" max="3" width="18.77734375" style="4" customWidth="1"/>
    <col min="4" max="4" width="20.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 xml:space="preserve">PASHA Bank Georgia JSC </v>
      </c>
    </row>
    <row r="2" spans="1:6" s="2" customFormat="1" ht="15.75" customHeight="1">
      <c r="A2" s="2" t="s">
        <v>31</v>
      </c>
      <c r="B2" s="253">
        <f>'1. key ratios '!B2</f>
        <v>45838</v>
      </c>
      <c r="C2" s="4"/>
      <c r="D2" s="4"/>
      <c r="E2" s="4"/>
      <c r="F2" s="4"/>
    </row>
    <row r="3" spans="1:6" s="2" customFormat="1" ht="15.75" customHeight="1">
      <c r="C3" s="4"/>
      <c r="D3" s="4"/>
      <c r="E3" s="4"/>
      <c r="F3" s="4"/>
    </row>
    <row r="4" spans="1:6" s="2" customFormat="1" ht="13.8" thickBot="1">
      <c r="A4" s="2" t="s">
        <v>46</v>
      </c>
      <c r="B4" s="169" t="s">
        <v>518</v>
      </c>
      <c r="C4" s="36" t="s">
        <v>35</v>
      </c>
      <c r="D4" s="4"/>
      <c r="E4" s="4"/>
      <c r="F4" s="4"/>
    </row>
    <row r="5" spans="1:6">
      <c r="A5" s="122">
        <v>1</v>
      </c>
      <c r="B5" s="170" t="s">
        <v>520</v>
      </c>
      <c r="C5" s="123">
        <f>'7. LI1 '!E37</f>
        <v>614362865.57449996</v>
      </c>
      <c r="D5" s="576"/>
    </row>
    <row r="6" spans="1:6">
      <c r="A6" s="42">
        <v>2.1</v>
      </c>
      <c r="B6" s="102" t="s">
        <v>201</v>
      </c>
      <c r="C6" s="93">
        <v>90236497.003299996</v>
      </c>
      <c r="D6" s="576"/>
    </row>
    <row r="7" spans="1:6" s="23" customFormat="1" outlineLevel="1">
      <c r="A7" s="17">
        <v>2.2000000000000002</v>
      </c>
      <c r="B7" s="18" t="s">
        <v>202</v>
      </c>
      <c r="C7" s="124">
        <v>0</v>
      </c>
      <c r="D7" s="576"/>
    </row>
    <row r="8" spans="1:6" s="23" customFormat="1">
      <c r="A8" s="17">
        <v>3</v>
      </c>
      <c r="B8" s="120" t="s">
        <v>519</v>
      </c>
      <c r="C8" s="125">
        <f>SUM(C5:C7)</f>
        <v>704599362.57779992</v>
      </c>
      <c r="D8" s="576"/>
    </row>
    <row r="9" spans="1:6">
      <c r="A9" s="42">
        <v>4</v>
      </c>
      <c r="B9" s="43" t="s">
        <v>48</v>
      </c>
      <c r="C9" s="93"/>
      <c r="D9" s="576"/>
    </row>
    <row r="10" spans="1:6" s="23" customFormat="1" outlineLevel="1">
      <c r="A10" s="17">
        <v>5.0999999999999996</v>
      </c>
      <c r="B10" s="18" t="s">
        <v>203</v>
      </c>
      <c r="C10" s="124">
        <v>-47618546.525299996</v>
      </c>
      <c r="D10" s="576"/>
    </row>
    <row r="11" spans="1:6" s="23" customFormat="1" outlineLevel="1">
      <c r="A11" s="17">
        <v>5.2</v>
      </c>
      <c r="B11" s="18" t="s">
        <v>204</v>
      </c>
      <c r="C11" s="124">
        <v>0</v>
      </c>
      <c r="D11" s="576"/>
    </row>
    <row r="12" spans="1:6" s="23" customFormat="1">
      <c r="A12" s="17">
        <v>6</v>
      </c>
      <c r="B12" s="119" t="s">
        <v>746</v>
      </c>
      <c r="C12" s="124"/>
      <c r="D12" s="576"/>
    </row>
    <row r="13" spans="1:6" s="23" customFormat="1" ht="13.8" thickBot="1">
      <c r="A13" s="19">
        <v>7</v>
      </c>
      <c r="B13" s="121" t="s">
        <v>164</v>
      </c>
      <c r="C13" s="126">
        <f>SUM(C8:C12)</f>
        <v>656980816.05249989</v>
      </c>
      <c r="D13" s="576"/>
    </row>
    <row r="15" spans="1:6">
      <c r="B15" s="23"/>
    </row>
    <row r="17" spans="1:2" ht="13.8">
      <c r="A17" s="131"/>
      <c r="B17" s="132"/>
    </row>
    <row r="18" spans="1:2" ht="14.4">
      <c r="A18" s="136"/>
      <c r="B18" s="137"/>
    </row>
    <row r="19" spans="1:2" ht="13.8">
      <c r="A19" s="138"/>
      <c r="B19" s="133"/>
    </row>
    <row r="20" spans="1:2" ht="13.8">
      <c r="A20" s="139"/>
      <c r="B20" s="134"/>
    </row>
    <row r="21" spans="1:2" ht="13.8">
      <c r="A21" s="139"/>
      <c r="B21" s="137"/>
    </row>
    <row r="22" spans="1:2" ht="13.8">
      <c r="A22" s="138"/>
      <c r="B22" s="135"/>
    </row>
    <row r="23" spans="1:2" ht="13.8">
      <c r="A23" s="139"/>
      <c r="B23" s="134"/>
    </row>
    <row r="24" spans="1:2" ht="13.8">
      <c r="A24" s="139"/>
      <c r="B24" s="134"/>
    </row>
    <row r="25" spans="1:2" ht="13.8">
      <c r="A25" s="139"/>
      <c r="B25" s="140"/>
    </row>
    <row r="26" spans="1:2" ht="13.8">
      <c r="A26" s="139"/>
      <c r="B26" s="137"/>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2025-07-30T06:48:07Z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06c7ad2-60a5-409e-8203-10f940b19acd_Enabled">
    <vt:lpwstr>true</vt:lpwstr>
  </property>
  <property fmtid="{D5CDD505-2E9C-101B-9397-08002B2CF9AE}" pid="8" name="MSIP_Label_706c7ad2-60a5-409e-8203-10f940b19acd_SetDate">
    <vt:lpwstr>2025-04-29T12:42:16Z</vt:lpwstr>
  </property>
  <property fmtid="{D5CDD505-2E9C-101B-9397-08002B2CF9AE}" pid="9" name="MSIP_Label_706c7ad2-60a5-409e-8203-10f940b19acd_Method">
    <vt:lpwstr>Standard</vt:lpwstr>
  </property>
  <property fmtid="{D5CDD505-2E9C-101B-9397-08002B2CF9AE}" pid="10" name="MSIP_Label_706c7ad2-60a5-409e-8203-10f940b19acd_Name">
    <vt:lpwstr>For internal use only C1</vt:lpwstr>
  </property>
  <property fmtid="{D5CDD505-2E9C-101B-9397-08002B2CF9AE}" pid="11" name="MSIP_Label_706c7ad2-60a5-409e-8203-10f940b19acd_SiteId">
    <vt:lpwstr>91e167b0-e7f3-47d0-b08e-ac1e6b839fc3</vt:lpwstr>
  </property>
  <property fmtid="{D5CDD505-2E9C-101B-9397-08002B2CF9AE}" pid="12" name="MSIP_Label_706c7ad2-60a5-409e-8203-10f940b19acd_ActionId">
    <vt:lpwstr>a09f643b-5e41-4924-90ac-1717715efe68</vt:lpwstr>
  </property>
  <property fmtid="{D5CDD505-2E9C-101B-9397-08002B2CF9AE}" pid="13" name="MSIP_Label_706c7ad2-60a5-409e-8203-10f940b19acd_ContentBits">
    <vt:lpwstr>2</vt:lpwstr>
  </property>
  <property fmtid="{D5CDD505-2E9C-101B-9397-08002B2CF9AE}" pid="14" name="MSIP_Label_706c7ad2-60a5-409e-8203-10f940b19acd_Tag">
    <vt:lpwstr>10, 3, 0, 1</vt:lpwstr>
  </property>
</Properties>
</file>