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defaultThemeVersion="124226"/>
  <xr:revisionPtr revIDLastSave="0" documentId="13_ncr:1_{50A13E2D-59BC-4361-A2E3-60781038A9E0}" xr6:coauthVersionLast="47" xr6:coauthVersionMax="47" xr10:uidLastSave="{00000000-0000-0000-0000-000000000000}"/>
  <bookViews>
    <workbookView xWindow="-108" yWindow="-108" windowWidth="23256" windowHeight="1245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22" l="1"/>
  <c r="B1" i="121"/>
  <c r="G17" i="110" l="1"/>
  <c r="F17" i="110"/>
  <c r="L33" i="118"/>
  <c r="K33" i="118"/>
  <c r="J33" i="118"/>
  <c r="I33" i="118"/>
  <c r="H33" i="118"/>
  <c r="G33" i="118"/>
  <c r="F33" i="118"/>
  <c r="E33" i="118"/>
  <c r="D33" i="118"/>
  <c r="C33" i="118"/>
  <c r="H22" i="116"/>
  <c r="D22" i="116"/>
  <c r="C22"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5"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33" i="97"/>
  <c r="F6" i="123"/>
  <c r="E6" i="123"/>
  <c r="D6" i="123"/>
  <c r="C6" i="123"/>
  <c r="C34" i="95"/>
  <c r="G6" i="92"/>
  <c r="F6" i="92"/>
  <c r="E6" i="92"/>
  <c r="D6" i="92"/>
  <c r="C6" i="92"/>
  <c r="E9" i="92"/>
  <c r="D9" i="92"/>
  <c r="E8" i="92"/>
  <c r="D8" i="92"/>
  <c r="E7" i="92"/>
  <c r="D7" i="92"/>
  <c r="K24" i="93"/>
  <c r="J24" i="93"/>
  <c r="I24" i="93"/>
  <c r="H24" i="93"/>
  <c r="G24" i="93"/>
  <c r="F24" i="93"/>
  <c r="K23" i="93"/>
  <c r="K25" i="93" s="1"/>
  <c r="J23" i="93"/>
  <c r="J25" i="93" s="1"/>
  <c r="I23" i="93"/>
  <c r="I25" i="93" s="1"/>
  <c r="H23" i="93"/>
  <c r="H25" i="93" s="1"/>
  <c r="G23" i="93"/>
  <c r="G25" i="93" s="1"/>
  <c r="F23" i="93"/>
  <c r="F25" i="93" s="1"/>
  <c r="D21" i="93"/>
  <c r="E21" i="93"/>
  <c r="F21" i="93"/>
  <c r="G21" i="93"/>
  <c r="H21" i="93"/>
  <c r="I21" i="93"/>
  <c r="J21" i="93"/>
  <c r="K21" i="93"/>
  <c r="C21" i="93"/>
  <c r="D16" i="93"/>
  <c r="E16" i="93"/>
  <c r="F16" i="93"/>
  <c r="G16" i="93"/>
  <c r="H16" i="93"/>
  <c r="I16" i="93"/>
  <c r="J16" i="93"/>
  <c r="K16" i="93"/>
  <c r="C16" i="93"/>
  <c r="C52" i="69"/>
  <c r="C10" i="69"/>
  <c r="C37" i="69"/>
  <c r="B2" i="121"/>
  <c r="B2" i="122"/>
  <c r="E35" i="88"/>
  <c r="E34" i="88"/>
  <c r="E37" i="88"/>
  <c r="E30" i="88"/>
  <c r="D45" i="109" l="1"/>
  <c r="G45" i="109"/>
  <c r="F45" i="109"/>
  <c r="C45" i="109"/>
  <c r="C29" i="109"/>
  <c r="G69" i="108"/>
  <c r="F59" i="108"/>
  <c r="C38" i="108"/>
  <c r="C38" i="110" l="1"/>
  <c r="B1" i="92" l="1"/>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C8" i="92"/>
  <c r="P7" i="92"/>
  <c r="O7" i="92"/>
  <c r="N7" i="92"/>
  <c r="N6" i="92" s="1"/>
  <c r="M7" i="92"/>
  <c r="L7" i="92"/>
  <c r="L6" i="92" s="1"/>
  <c r="K7" i="92"/>
  <c r="K6" i="92" s="1"/>
  <c r="J7" i="92"/>
  <c r="J6" i="92" s="1"/>
  <c r="G7" i="92"/>
  <c r="F7" i="92"/>
  <c r="C7" i="92"/>
  <c r="C34" i="92" s="1"/>
  <c r="E34" i="92"/>
  <c r="C13" i="95" s="1"/>
  <c r="D34" i="92"/>
  <c r="B2" i="123"/>
  <c r="B1" i="123"/>
  <c r="M6" i="92" l="1"/>
  <c r="M34" i="92" s="1"/>
  <c r="P6" i="92"/>
  <c r="Q18" i="92"/>
  <c r="Q9" i="92"/>
  <c r="O6" i="92"/>
  <c r="O34" i="92" s="1"/>
  <c r="Q22" i="92"/>
  <c r="I7" i="92"/>
  <c r="Q26" i="92"/>
  <c r="L34" i="92"/>
  <c r="G34" i="92"/>
  <c r="C11" i="95" s="1"/>
  <c r="Q14" i="92"/>
  <c r="F34" i="92"/>
  <c r="J34" i="92"/>
  <c r="K34" i="92"/>
  <c r="P34" i="92"/>
  <c r="I9" i="92"/>
  <c r="N34" i="92"/>
  <c r="Q10" i="92"/>
  <c r="Q8" i="92"/>
  <c r="I8" i="92"/>
  <c r="I6" i="92" s="1"/>
  <c r="Q7" i="92"/>
  <c r="Q6" i="92" s="1"/>
  <c r="I34" i="92" l="1"/>
  <c r="C12" i="95" s="1"/>
  <c r="C14" i="95" s="1"/>
  <c r="C10" i="95"/>
  <c r="Q34" i="92"/>
  <c r="D38" i="110"/>
  <c r="G38" i="110"/>
  <c r="F38" i="110"/>
  <c r="E38" i="110" l="1"/>
  <c r="A2" i="121" l="1"/>
  <c r="A1" i="121"/>
  <c r="E12" i="122"/>
  <c r="D12" i="122"/>
  <c r="C12" i="122"/>
  <c r="B12" i="122"/>
  <c r="F12" i="122" s="1"/>
  <c r="E11" i="122"/>
  <c r="D11" i="122"/>
  <c r="C11" i="122"/>
  <c r="B11" i="122"/>
  <c r="F10" i="122"/>
  <c r="E10" i="122"/>
  <c r="D10" i="122"/>
  <c r="C10" i="122"/>
  <c r="B10" i="122"/>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s="1"/>
  <c r="C7" i="114"/>
  <c r="D7" i="114"/>
  <c r="C10" i="114"/>
  <c r="D10" i="114"/>
  <c r="D15" i="114" s="1"/>
  <c r="C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H34" i="113" s="1"/>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21" i="112" l="1"/>
  <c r="H22" i="111"/>
  <c r="C62" i="69"/>
  <c r="C58" i="69"/>
  <c r="C67" i="69" s="1"/>
  <c r="C46" i="69"/>
  <c r="C40" i="69"/>
  <c r="C29" i="69"/>
  <c r="C26" i="69"/>
  <c r="C23" i="69"/>
  <c r="C18" i="69"/>
  <c r="C14" i="69"/>
  <c r="C35" i="69" s="1"/>
  <c r="C6" i="69"/>
  <c r="E8" i="88"/>
  <c r="E16" i="88"/>
  <c r="E20" i="88"/>
  <c r="E25" i="88"/>
  <c r="E28" i="88"/>
  <c r="E31" i="88"/>
  <c r="D37" i="88"/>
  <c r="C37" i="88"/>
  <c r="D8" i="88"/>
  <c r="D16" i="88"/>
  <c r="D20" i="88"/>
  <c r="D25" i="88"/>
  <c r="D28" i="88"/>
  <c r="D31" i="88"/>
  <c r="C31" i="88"/>
  <c r="C28" i="88"/>
  <c r="C25" i="88"/>
  <c r="C20" i="88"/>
  <c r="C16" i="88"/>
  <c r="C8" i="88"/>
  <c r="C68" i="69" l="1"/>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E14" i="110" s="1"/>
  <c r="H16" i="110"/>
  <c r="E16" i="110"/>
  <c r="H15" i="110"/>
  <c r="E15" i="110"/>
  <c r="G14" i="110"/>
  <c r="F14" i="110"/>
  <c r="H13" i="110"/>
  <c r="E13" i="110"/>
  <c r="H12" i="110"/>
  <c r="E12" i="110"/>
  <c r="G11" i="110"/>
  <c r="F11" i="110"/>
  <c r="D11" i="110"/>
  <c r="E11" i="110" s="1"/>
  <c r="C11" i="110"/>
  <c r="H10" i="110"/>
  <c r="E10" i="110"/>
  <c r="H9" i="110"/>
  <c r="E9" i="110"/>
  <c r="G8" i="110"/>
  <c r="F8" i="110"/>
  <c r="D8" i="110"/>
  <c r="C8" i="110"/>
  <c r="E8" i="110" s="1"/>
  <c r="H7" i="110"/>
  <c r="E7" i="110"/>
  <c r="H6" i="110"/>
  <c r="E6" i="110"/>
  <c r="H44" i="109"/>
  <c r="E44" i="109"/>
  <c r="H42" i="109"/>
  <c r="E42" i="109"/>
  <c r="H41" i="109"/>
  <c r="E41" i="109"/>
  <c r="H40" i="109"/>
  <c r="E40" i="109"/>
  <c r="H39" i="109"/>
  <c r="E39" i="109"/>
  <c r="H38" i="109"/>
  <c r="E38" i="109"/>
  <c r="G37" i="109"/>
  <c r="F37" i="109"/>
  <c r="H37" i="109" s="1"/>
  <c r="D37" i="109"/>
  <c r="C37" i="109"/>
  <c r="H36" i="109"/>
  <c r="E36" i="109"/>
  <c r="H35" i="109"/>
  <c r="E35" i="109"/>
  <c r="G34" i="109"/>
  <c r="F34" i="109"/>
  <c r="H34" i="109" s="1"/>
  <c r="D34" i="109"/>
  <c r="C34" i="109"/>
  <c r="E34" i="109" s="1"/>
  <c r="H33" i="109"/>
  <c r="E33" i="109"/>
  <c r="H32" i="109"/>
  <c r="E32" i="109"/>
  <c r="H31" i="109"/>
  <c r="E31" i="109"/>
  <c r="H30" i="109"/>
  <c r="E30" i="109"/>
  <c r="G29" i="109"/>
  <c r="F29" i="109"/>
  <c r="H29" i="109" s="1"/>
  <c r="D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D13" i="109"/>
  <c r="C13" i="109"/>
  <c r="H12" i="109"/>
  <c r="E12" i="109"/>
  <c r="H11" i="109"/>
  <c r="E11" i="109"/>
  <c r="H10" i="109"/>
  <c r="E10" i="109"/>
  <c r="H9" i="109"/>
  <c r="E9" i="109"/>
  <c r="H8" i="109"/>
  <c r="E8" i="109"/>
  <c r="H7" i="109"/>
  <c r="E7" i="109"/>
  <c r="G6" i="109"/>
  <c r="F6" i="109"/>
  <c r="D6" i="109"/>
  <c r="E6" i="109" s="1"/>
  <c r="C6" i="109"/>
  <c r="G68" i="108"/>
  <c r="F68" i="108"/>
  <c r="H67" i="108"/>
  <c r="E67" i="108"/>
  <c r="H66" i="108"/>
  <c r="E66" i="108"/>
  <c r="H65" i="108"/>
  <c r="E65" i="108"/>
  <c r="H64" i="108"/>
  <c r="E64" i="108"/>
  <c r="H63" i="108"/>
  <c r="D63" i="108"/>
  <c r="C63" i="108"/>
  <c r="E63" i="108" s="1"/>
  <c r="H62" i="108"/>
  <c r="E62" i="108"/>
  <c r="H61" i="108"/>
  <c r="E61" i="108"/>
  <c r="H60" i="108"/>
  <c r="E60" i="108"/>
  <c r="H59" i="108"/>
  <c r="D59" i="108"/>
  <c r="C59" i="108"/>
  <c r="E59" i="108" s="1"/>
  <c r="H58" i="108"/>
  <c r="E58" i="108"/>
  <c r="H57" i="108"/>
  <c r="E57" i="108"/>
  <c r="H56" i="108"/>
  <c r="E56" i="108"/>
  <c r="H55" i="108"/>
  <c r="E55" i="108"/>
  <c r="H52" i="108"/>
  <c r="E52" i="108"/>
  <c r="H51" i="108"/>
  <c r="E51" i="108"/>
  <c r="H50" i="108"/>
  <c r="E50" i="108"/>
  <c r="H49" i="108"/>
  <c r="E49" i="108"/>
  <c r="H48" i="108"/>
  <c r="E48" i="108"/>
  <c r="G47" i="108"/>
  <c r="F47" i="108"/>
  <c r="H47" i="108" s="1"/>
  <c r="D47" i="108"/>
  <c r="C47" i="108"/>
  <c r="E47" i="108" s="1"/>
  <c r="H46" i="108"/>
  <c r="E46" i="108"/>
  <c r="H45" i="108"/>
  <c r="E45" i="108"/>
  <c r="H44" i="108"/>
  <c r="E44" i="108"/>
  <c r="H43" i="108"/>
  <c r="E43" i="108"/>
  <c r="H42" i="108"/>
  <c r="E42" i="108"/>
  <c r="G41" i="108"/>
  <c r="F41" i="108"/>
  <c r="D41" i="108"/>
  <c r="D53" i="108" s="1"/>
  <c r="C41" i="108"/>
  <c r="C53" i="108" s="1"/>
  <c r="H40" i="108"/>
  <c r="E40" i="108"/>
  <c r="H39" i="108"/>
  <c r="E39" i="108"/>
  <c r="H38" i="108"/>
  <c r="E38" i="108"/>
  <c r="H35" i="108"/>
  <c r="E35" i="108"/>
  <c r="H34" i="108"/>
  <c r="E34" i="108"/>
  <c r="H33" i="108"/>
  <c r="E33" i="108"/>
  <c r="H32" i="108"/>
  <c r="E32" i="108"/>
  <c r="H31" i="108"/>
  <c r="E31" i="108"/>
  <c r="G30" i="108"/>
  <c r="F30" i="108"/>
  <c r="H30" i="108" s="1"/>
  <c r="D30" i="108"/>
  <c r="C30" i="108"/>
  <c r="H29" i="108"/>
  <c r="E29" i="108"/>
  <c r="H28" i="108"/>
  <c r="E28" i="108"/>
  <c r="G27" i="108"/>
  <c r="H27" i="108" s="1"/>
  <c r="F27" i="108"/>
  <c r="D27" i="108"/>
  <c r="C27" i="108"/>
  <c r="E27" i="108" s="1"/>
  <c r="H26" i="108"/>
  <c r="E26" i="108"/>
  <c r="H25" i="108"/>
  <c r="E25" i="108"/>
  <c r="G24" i="108"/>
  <c r="F24" i="108"/>
  <c r="D24" i="108"/>
  <c r="C24" i="108"/>
  <c r="E24" i="108" s="1"/>
  <c r="H23" i="108"/>
  <c r="E23" i="108"/>
  <c r="H22" i="108"/>
  <c r="E22" i="108"/>
  <c r="H21" i="108"/>
  <c r="E21" i="108"/>
  <c r="H20" i="108"/>
  <c r="E20" i="108"/>
  <c r="G19" i="108"/>
  <c r="F19" i="108"/>
  <c r="H19" i="108" s="1"/>
  <c r="D19" i="108"/>
  <c r="C19" i="108"/>
  <c r="E19" i="108" s="1"/>
  <c r="H18" i="108"/>
  <c r="E18" i="108"/>
  <c r="H17" i="108"/>
  <c r="E17" i="108"/>
  <c r="H16" i="108"/>
  <c r="E16" i="108"/>
  <c r="G15" i="108"/>
  <c r="F15" i="108"/>
  <c r="H15" i="108" s="1"/>
  <c r="D15" i="108"/>
  <c r="E15" i="108" s="1"/>
  <c r="C15" i="108"/>
  <c r="H14" i="108"/>
  <c r="E14" i="108"/>
  <c r="H13" i="108"/>
  <c r="E13" i="108"/>
  <c r="H12" i="108"/>
  <c r="E12" i="108"/>
  <c r="H11" i="108"/>
  <c r="E11" i="108"/>
  <c r="H10" i="108"/>
  <c r="E10" i="108"/>
  <c r="H9" i="108"/>
  <c r="E9" i="108"/>
  <c r="H8" i="108"/>
  <c r="E8" i="108"/>
  <c r="G7" i="108"/>
  <c r="G36" i="108" s="1"/>
  <c r="F7" i="108"/>
  <c r="D7" i="108"/>
  <c r="C7" i="108"/>
  <c r="E7" i="108" s="1"/>
  <c r="E30" i="110" l="1"/>
  <c r="H14" i="110"/>
  <c r="E37" i="109"/>
  <c r="E13" i="109"/>
  <c r="C43" i="109"/>
  <c r="F69" i="108"/>
  <c r="H69" i="108" s="1"/>
  <c r="H41" i="108"/>
  <c r="H11" i="110"/>
  <c r="H8" i="110"/>
  <c r="D36" i="108"/>
  <c r="D68" i="108"/>
  <c r="F43" i="109"/>
  <c r="H30" i="110"/>
  <c r="H7" i="108"/>
  <c r="H24" i="108"/>
  <c r="G43" i="109"/>
  <c r="C36" i="108"/>
  <c r="E36" i="108" s="1"/>
  <c r="C68" i="108"/>
  <c r="E68" i="108" s="1"/>
  <c r="F36" i="108"/>
  <c r="H36" i="108" s="1"/>
  <c r="E30" i="108"/>
  <c r="G53" i="108"/>
  <c r="E17" i="110"/>
  <c r="H6" i="109"/>
  <c r="D43" i="109"/>
  <c r="E53" i="108"/>
  <c r="D69" i="108"/>
  <c r="H68" i="108"/>
  <c r="E41" i="108"/>
  <c r="F53" i="108"/>
  <c r="E45" i="109" l="1"/>
  <c r="H45" i="109"/>
  <c r="H53" i="108"/>
  <c r="C69" i="108"/>
  <c r="E69" i="108" s="1"/>
  <c r="H43" i="109"/>
  <c r="E43" i="109"/>
  <c r="B1" i="97" l="1"/>
  <c r="G33" i="97"/>
  <c r="F33" i="97"/>
  <c r="E33" i="97"/>
  <c r="D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G21" i="97" l="1"/>
  <c r="G39" i="97" s="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8" i="95"/>
  <c r="C32" i="95" l="1"/>
  <c r="D6" i="86"/>
  <c r="D13" i="86"/>
  <c r="B19" i="121" l="1"/>
  <c r="C6" i="86"/>
  <c r="C13" i="86" s="1"/>
  <c r="B18" i="121" l="1"/>
  <c r="D21" i="94"/>
  <c r="D9" i="94"/>
  <c r="D11" i="94"/>
  <c r="D13" i="94"/>
  <c r="D17" i="94"/>
  <c r="D7" i="94"/>
  <c r="D12" i="94"/>
  <c r="D15" i="94"/>
  <c r="D20" i="94"/>
  <c r="D19" i="94"/>
  <c r="D16" i="94"/>
  <c r="D8"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l="1"/>
  <c r="B6" i="12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<sst xmlns="http://schemas.openxmlformats.org/spreadsheetml/2006/main" count="1250" uniqueCount="780">
  <si>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</si>
  <si>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</si>
  <si>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</si>
  <si>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</si>
  <si>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</si>
  <si>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</si>
  <si>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</si>
  <si>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</si>
  <si>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</si>
  <si>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</si>
  <si>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</si>
  <si>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</si>
  <si>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</si>
  <si>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</si>
  <si>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</si>
  <si>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</si>
  <si>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</si>
  <si>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</si>
  <si>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</si>
  <si>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</si>
  <si>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</si>
  <si>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</si>
  <si>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</si>
  <si>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</si>
  <si>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</si>
  <si>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</si>
  <si>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</si>
  <si>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</si>
  <si>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</si>
  <si>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</si>
  <si>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</si>
  <si>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</si>
  <si>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</si>
  <si>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</si>
  <si>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</si>
  <si>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</si>
  <si>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</si>
  <si>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</si>
  <si>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</si>
  <si>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</si>
  <si>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</si>
  <si>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</si>
  <si>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</si>
  <si>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</si>
  <si>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</si>
  <si>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</si>
  <si>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</si>
  <si>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</si>
  <si>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</si>
  <si>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</si>
  <si>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</si>
  <si>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</si>
  <si>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</si>
  <si>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</si>
  <si>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</si>
  <si>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</si>
  <si>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</si>
  <si>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</si>
  <si>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</si>
  <si>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</si>
  <si>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</si>
  <si>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</si>
  <si>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</si>
  <si>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</si>
  <si>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</si>
  <si>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</si>
  <si>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</si>
  <si>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</si>
  <si>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</si>
  <si>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</si>
  <si>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</si>
  <si>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</si>
  <si>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</si>
  <si>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</si>
  <si>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</si>
  <si>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</si>
  <si>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</si>
  <si>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</si>
  <si>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</si>
  <si>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</si>
  <si>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</si>
  <si>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</si>
  <si>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</si>
  <si>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</si>
  <si>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</si>
  <si>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</si>
  <si>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</si>
  <si>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</si>
  <si>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</si>
  <si>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</si>
  <si>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</si>
  <si>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</si>
  <si>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</si>
  <si>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</si>
  <si>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</si>
  <si>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</si>
  <si>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</si>
  <si>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</si>
  <si>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</si>
  <si>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</si>
  <si>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</si>
  <si>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</si>
  <si>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</si>
  <si>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</si>
  <si>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</si>
  <si>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</si>
  <si>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</si>
  <si>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</si>
  <si>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</si>
  <si>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</si>
  <si>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</si>
  <si>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</si>
  <si>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</si>
  <si>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</si>
  <si>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</si>
  <si>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</si>
  <si>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</si>
  <si>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</si>
  <si>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</si>
  <si>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</si>
  <si>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</si>
  <si>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</si>
  <si>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</si>
  <si>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</si>
  <si>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</si>
  <si>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</si>
  <si>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</si>
  <si>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</si>
  <si>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</si>
  <si>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</si>
  <si>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</si>
  <si>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</si>
  <si>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</si>
  <si>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</si>
  <si>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</si>
  <si>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</si>
  <si>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</si>
  <si>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</si>
  <si>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</si>
  <si>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</si>
  <si>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</si>
  <si>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</si>
  <si>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</si>
  <si>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</si>
  <si>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</si>
  <si>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</si>
  <si>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</si>
  <si>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</si>
  <si>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</si>
  <si>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</si>
  <si>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</si>
  <si>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</si>
  <si>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</si>
  <si>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</si>
  <si>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</si>
  <si>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</si>
  <si>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</si>
  <si>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</si>
  <si>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</si>
  <si>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</si>
  <si>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</si>
  <si>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</si>
  <si>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</si>
  <si>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</si>
  <si>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</si>
  <si>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</si>
  <si>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</si>
  <si>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</si>
  <si>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</si>
  <si>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</si>
  <si>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</si>
  <si>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</si>
  <si>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</si>
  <si>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</si>
  <si>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</si>
  <si>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</si>
  <si>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</si>
  <si>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</si>
  <si>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</si>
  <si>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</si>
  <si>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</si>
  <si>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</si>
  <si>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</si>
  <si>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</si>
  <si>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</si>
  <si>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</si>
  <si>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</si>
  <si>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</si>
  <si>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</si>
  <si>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</si>
  <si>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</si>
  <si>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</si>
  <si>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</si>
  <si>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</si>
  <si>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</si>
  <si>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</si>
  <si>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</si>
  <si>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</si>
  <si>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</si>
  <si>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</si>
  <si>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</si>
  <si>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</si>
  <si>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</si>
  <si>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</si>
  <si>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</si>
  <si>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</si>
  <si>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</si>
  <si>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</si>
  <si>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</si>
  <si>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</si>
  <si>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</si>
  <si>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</si>
  <si>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</si>
  <si>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</si>
  <si>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</si>
  <si>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</si>
  <si>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</si>
  <si>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</si>
  <si>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</si>
  <si>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</si>
  <si>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</si>
  <si>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</si>
  <si>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</si>
  <si>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</si>
  <si>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</si>
  <si>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</si>
  <si>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</si>
  <si>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</si>
  <si>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</si>
  <si>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</si>
  <si>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</si>
  <si>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</si>
  <si>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</si>
  <si>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</si>
  <si>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</si>
  <si>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</si>
  <si>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</si>
  <si>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</si>
  <si>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</si>
  <si>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</si>
  <si>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</si>
  <si>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</si>
  <si>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</si>
  <si>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</si>
  <si>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</si>
  <si>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</si>
  <si>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</si>
  <si>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</si>
  <si>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</si>
  <si>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</si>
  <si>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</si>
  <si>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</si>
  <si>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</si>
  <si>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</si>
  <si>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</si>
  <si>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</si>
  <si>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</si>
  <si>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</si>
  <si>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</si>
  <si>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</si>
  <si>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</si>
  <si>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</si>
  <si>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</si>
  <si>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</si>
  <si>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</si>
  <si>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</si>
  <si>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</si>
  <si>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</si>
  <si>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</si>
  <si>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</si>
  <si>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</si>
  <si>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</si>
  <si>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</si>
  <si>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</si>
  <si>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</si>
  <si>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</si>
  <si>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</si>
  <si>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</si>
  <si>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</si>
  <si>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</si>
  <si>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</si>
  <si>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</si>
  <si>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</si>
  <si>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</si>
  <si>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</si>
  <si>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</si>
  <si>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</si>
  <si>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</si>
  <si>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</si>
  <si>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</si>
  <si>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</si>
  <si>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</si>
  <si>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</si>
  <si>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</si>
  <si>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</si>
  <si>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</si>
  <si>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</si>
  <si>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</si>
  <si>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</si>
  <si>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</si>
  <si>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</si>
  <si>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</si>
  <si>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</si>
  <si>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</si>
  <si>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</si>
  <si>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</si>
  <si>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</si>
  <si>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</si>
  <si>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</si>
  <si>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</si>
  <si>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</si>
  <si>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</si>
  <si>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</si>
  <si>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</si>
  <si>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</si>
  <si>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</si>
  <si>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</si>
  <si>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</si>
  <si>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</si>
  <si>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</si>
  <si>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</si>
  <si>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</si>
  <si>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</si>
  <si>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</si>
  <si>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</si>
  <si>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</si>
  <si>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</si>
  <si>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</si>
  <si>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</si>
  <si>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</si>
  <si>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</si>
  <si>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</si>
  <si>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</si>
  <si>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</si>
  <si>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</si>
  <si>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</si>
  <si>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</si>
  <si>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</si>
  <si>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</si>
  <si>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</si>
  <si>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</si>
  <si>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</si>
  <si>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</si>
  <si>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</si>
  <si>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</si>
  <si>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</si>
  <si>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</si>
  <si>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</si>
  <si>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</si>
  <si>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</si>
  <si>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</si>
  <si>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</si>
  <si>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</si>
  <si>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</si>
  <si>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</si>
  <si>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</si>
  <si>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</si>
  <si>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</si>
  <si>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</si>
  <si>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</si>
  <si>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</si>
  <si>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</si>
  <si>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</si>
  <si>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</si>
  <si>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</si>
  <si>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</si>
  <si>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</si>
  <si>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</si>
  <si>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</si>
  <si>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</si>
  <si>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</si>
  <si>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</si>
  <si>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</si>
  <si>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</si>
  <si>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</si>
  <si>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</si>
  <si>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</si>
  <si>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</si>
  <si>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</si>
  <si>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</si>
  <si>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</si>
  <si>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</si>
  <si>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</si>
  <si>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</si>
  <si>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</si>
  <si>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</si>
  <si>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</si>
  <si>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</si>
  <si>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</si>
  <si>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</si>
  <si>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</si>
  <si>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</si>
  <si>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</si>
  <si>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</si>
  <si>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</si>
  <si>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</si>
  <si>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</si>
  <si>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</si>
  <si>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</si>
  <si>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</si>
  <si>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</si>
  <si>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</si>
  <si>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</si>
  <si>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</si>
  <si>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</si>
  <si>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</si>
  <si>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</si>
  <si>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</si>
  <si>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</si>
  <si>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</si>
  <si>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</si>
  <si>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</si>
  <si>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</si>
  <si>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</si>
  <si>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</si>
  <si>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</si>
  <si>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</si>
  <si>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</si>
  <si>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</si>
  <si>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</si>
  <si>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</si>
  <si>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</si>
  <si>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</si>
  <si>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</si>
  <si>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</si>
  <si>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</si>
  <si>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</si>
  <si>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</si>
  <si>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</si>
  <si>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</si>
  <si>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</si>
  <si>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</si>
  <si>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</si>
  <si>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</si>
  <si>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</si>
  <si>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</si>
  <si>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</si>
  <si>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</si>
  <si>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</si>
  <si>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</si>
  <si>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</si>
  <si>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</si>
  <si>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</si>
  <si>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</si>
  <si>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</si>
  <si>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</si>
  <si>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</si>
  <si>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</si>
  <si>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</si>
  <si>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</si>
  <si>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</si>
  <si>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</si>
  <si>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</si>
  <si>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</si>
  <si>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</si>
  <si>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</si>
  <si>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</si>
  <si>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</si>
  <si>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</si>
  <si>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</si>
  <si>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</si>
  <si>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</si>
  <si>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</si>
  <si>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</si>
  <si>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</si>
  <si>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</si>
  <si>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</si>
  <si>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</si>
  <si>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</si>
  <si>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</si>
  <si>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</si>
  <si>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</si>
  <si>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</si>
  <si>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</si>
  <si>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</si>
  <si>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</si>
  <si>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</si>
  <si>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</si>
  <si>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</si>
  <si>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</si>
  <si>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</si>
  <si>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</si>
  <si>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</si>
  <si>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</si>
  <si>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</si>
  <si>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</si>
  <si>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</si>
  <si>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</si>
  <si>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</si>
  <si>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</si>
  <si>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</si>
  <si>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</si>
  <si>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</si>
  <si>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</si>
  <si>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</si>
  <si>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</si>
  <si>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</si>
  <si>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</si>
  <si>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</si>
  <si>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</si>
  <si>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</si>
  <si>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</si>
  <si>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</si>
  <si>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</si>
  <si>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</si>
  <si>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</si>
  <si>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</si>
  <si>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</si>
  <si>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</si>
  <si>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</si>
  <si>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</si>
  <si>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</si>
  <si>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</si>
  <si>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</si>
  <si>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</si>
  <si>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</si>
  <si>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</si>
  <si>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</si>
  <si>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</si>
  <si>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</si>
  <si>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</si>
  <si>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</si>
  <si>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</si>
  <si>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</si>
  <si>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</si>
  <si>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</si>
  <si>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</si>
  <si>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</si>
  <si>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</si>
  <si>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</si>
  <si>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</si>
  <si>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</si>
  <si>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</si>
  <si>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</si>
  <si>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</si>
  <si>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</si>
  <si>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</si>
  <si>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</si>
  <si>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</si>
  <si>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</si>
  <si>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</si>
  <si>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</si>
  <si>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</si>
  <si>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</si>
  <si>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</si>
  <si>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</si>
  <si>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</si>
  <si>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</si>
  <si>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</si>
  <si>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</si>
  <si>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</si>
  <si>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</si>
  <si>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</si>
  <si>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</si>
  <si>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</si>
  <si>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</si>
  <si>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</si>
  <si>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</si>
  <si>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</si>
  <si>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</si>
  <si>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</si>
  <si>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</si>
  <si>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</si>
  <si>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</si>
  <si>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</si>
  <si>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</si>
  <si>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</si>
  <si>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</si>
  <si>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</si>
  <si>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</si>
  <si>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</si>
  <si>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</si>
  <si>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</si>
  <si>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</si>
  <si>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</si>
  <si>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</si>
  <si>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</si>
  <si>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</si>
  <si>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</si>
  <si>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</si>
  <si>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</si>
  <si>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</si>
  <si>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</si>
  <si>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</si>
  <si>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</si>
  <si>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</si>
  <si>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</si>
  <si>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</si>
  <si>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</si>
  <si>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</si>
  <si>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</si>
  <si>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</si>
  <si>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</si>
  <si>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</si>
  <si>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</si>
  <si>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</si>
  <si>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</si>
  <si>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</si>
  <si>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</si>
  <si>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</si>
  <si>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</si>
  <si>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</si>
  <si>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</si>
  <si>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</si>
  <si>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</si>
  <si>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</si>
  <si>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</si>
  <si>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</si>
  <si>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</si>
  <si>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</si>
  <si>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</si>
  <si>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</si>
  <si>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</si>
  <si>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</si>
  <si>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</si>
  <si>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</si>
  <si>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</si>
  <si>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</si>
  <si>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</si>
  <si>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</si>
  <si>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</si>
  <si>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</si>
  <si>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</si>
  <si>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</si>
  <si>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</si>
  <si>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</si>
  <si>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</si>
  <si>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</si>
  <si>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</si>
  <si>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</si>
  <si>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</si>
  <si>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</si>
  <si>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</si>
  <si>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</si>
  <si>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</si>
  <si>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</si>
  <si>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</si>
  <si>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</si>
  <si>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</si>
  <si>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</si>
  <si>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</si>
  <si>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</si>
  <si>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</si>
  <si>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</si>
  <si>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</si>
  <si>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</si>
  <si>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</si>
  <si>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</si>
  <si>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</si>
  <si>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</si>
  <si>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</si>
  <si>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</si>
  <si>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</si>
  <si>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</si>
  <si>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</si>
  <si>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</si>
  <si>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</si>
  <si>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</si>
  <si>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</si>
  <si>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</si>
  <si>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</si>
  <si>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</si>
  <si>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</si>
  <si>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</si>
  <si>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</si>
  <si>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</si>
  <si>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</si>
  <si>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</si>
  <si>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</si>
  <si>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</si>
  <si>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</si>
  <si>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</si>
  <si>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</si>
  <si>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</si>
  <si>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</si>
  <si>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</si>
  <si>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</si>
  <si>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</si>
  <si>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</si>
  <si>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</si>
  <si>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</si>
  <si>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</si>
  <si>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</si>
  <si>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</si>
  <si>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</si>
  <si>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</si>
  <si>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</si>
  <si>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</si>
  <si>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</si>
  <si>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</si>
  <si>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</si>
  <si>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</si>
  <si>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</si>
  <si>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</si>
  <si>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</si>
  <si>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</si>
  <si>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</si>
  <si>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</si>
  <si>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</si>
  <si>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</si>
  <si>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</si>
  <si>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</si>
  <si>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</si>
  <si>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</si>
  <si>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</si>
  <si>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</si>
  <si>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</si>
  <si>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</si>
  <si>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</si>
  <si>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</si>
  <si>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</si>
  <si>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</si>
  <si>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</si>
  <si>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</si>
  <si>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</si>
  <si>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</si>
  <si>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</si>
  <si>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</si>
  <si>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</si>
  <si>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</si>
  <si>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</si>
  <si>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</si>
  <si>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</si>
  <si>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</si>
  <si>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</si>
  <si>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</si>
  <si>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</si>
  <si>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</si>
  <si>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</si>
  <si>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</si>
  <si>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</si>
  <si>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</si>
  <si>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</si>
  <si>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</si>
  <si>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</si>
  <si>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</si>
  <si>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</si>
  <si>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</si>
  <si>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</si>
  <si>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</si>
  <si>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</si>
  <si>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</si>
  <si>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</si>
  <si>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</si>
  <si>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</si>
  <si>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</si>
  <si>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</si>
  <si>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</si>
  <si>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</si>
  <si>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</si>
  <si>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</si>
  <si>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</si>
  <si>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 xml:space="preserve">PASHA Bank Georgia JSC </t>
  </si>
  <si>
    <t>Rovshan Allahverdiyev</t>
  </si>
  <si>
    <t>Ramil Imamov</t>
  </si>
  <si>
    <t>www.pashabank.ge</t>
  </si>
  <si>
    <t>Shahin Mammadov</t>
  </si>
  <si>
    <t>George Glonti</t>
  </si>
  <si>
    <t>Ebru Ogan Knottnerus</t>
  </si>
  <si>
    <t>Kamala Nuriyeva</t>
  </si>
  <si>
    <t>Non-independent member</t>
  </si>
  <si>
    <t>Independent member</t>
  </si>
  <si>
    <t>Non-independent chair</t>
  </si>
  <si>
    <t>Acting Chairman of Board of Directors​, CEO</t>
  </si>
  <si>
    <t>Parvin Mammadov</t>
  </si>
  <si>
    <t>Member of the Board of Directors, CFO</t>
  </si>
  <si>
    <t>Levan Aladashvili</t>
  </si>
  <si>
    <t>Member of the Board of Directors, Chief Risk Officer</t>
  </si>
  <si>
    <t>Anzor Mantskava</t>
  </si>
  <si>
    <t>Member of the Board of Directors, Chief Operating Officer</t>
  </si>
  <si>
    <t>PASHA Bank OJSC</t>
  </si>
  <si>
    <t>Pasha Holding LLC</t>
  </si>
  <si>
    <t xml:space="preserve">Mr. Arif Pashayev </t>
  </si>
  <si>
    <t>Mrs. Arzu Aliyeva</t>
  </si>
  <si>
    <t>Mrs. Leyla Aliyeva</t>
  </si>
  <si>
    <t>Mr. Mir Jamal Pashayev</t>
  </si>
  <si>
    <t>Table 9 (Capital), N15</t>
  </si>
  <si>
    <t>Table 9 (Capital), N38</t>
  </si>
  <si>
    <t>Table 9 (Capital), N2</t>
  </si>
  <si>
    <t>Table 9 (Capital),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</si>
</sst>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6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1"/>
      <color rgb="FFFF0000"/>
      <name val="Calibri"/>
      <family val="2"/>
      <scheme val="minor"/>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9" fillId="0" borderId="0"/>
    <xf numFmtId="0" fontId="146"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5" applyFont="0" applyBorder="0">
      <alignment horizontal="center" wrapText="1"/>
    </xf>
    <xf numFmtId="3" fontId="2" fillId="74" borderId="124"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7" fillId="0" borderId="0" applyFont="0" applyFill="0" applyBorder="0" applyAlignment="0" applyProtection="0"/>
    <xf numFmtId="8" fontId="148" fillId="0" borderId="0" applyFont="0" applyFill="0" applyBorder="0" applyAlignment="0" applyProtection="0"/>
    <xf numFmtId="8"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3" fontId="147" fillId="0" borderId="0" applyFont="0" applyFill="0" applyBorder="0" applyAlignment="0" applyProtection="0"/>
    <xf numFmtId="203" fontId="147" fillId="0" borderId="0" applyFont="0" applyFill="0" applyBorder="0" applyAlignment="0" applyProtection="0"/>
    <xf numFmtId="7" fontId="147" fillId="0" borderId="0" applyFont="0" applyFill="0" applyBorder="0" applyAlignment="0" applyProtection="0"/>
    <xf numFmtId="7" fontId="147" fillId="0" borderId="0" applyFont="0" applyFill="0" applyBorder="0" applyAlignment="0" applyProtection="0"/>
    <xf numFmtId="204" fontId="147" fillId="0" borderId="0" applyFont="0" applyFill="0" applyBorder="0" applyAlignment="0" applyProtection="0"/>
    <xf numFmtId="204"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5" fontId="103" fillId="0" borderId="0"/>
    <xf numFmtId="205" fontId="103" fillId="0" borderId="0"/>
    <xf numFmtId="205" fontId="103" fillId="0" borderId="0"/>
    <xf numFmtId="205" fontId="103" fillId="0" borderId="0"/>
    <xf numFmtId="0" fontId="103" fillId="0" borderId="0"/>
    <xf numFmtId="205" fontId="103" fillId="0" borderId="0"/>
    <xf numFmtId="5" fontId="148" fillId="0" borderId="0" applyFont="0" applyFill="0" applyBorder="0" applyAlignment="0" applyProtection="0"/>
    <xf numFmtId="5"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06" fontId="152" fillId="0" borderId="0" applyFont="0" applyFill="0" applyBorder="0" applyAlignment="0" applyProtection="0"/>
    <xf numFmtId="0" fontId="19" fillId="0" borderId="0" applyFont="0" applyFill="0" applyBorder="0" applyAlignment="0" applyProtection="0"/>
    <xf numFmtId="207" fontId="153" fillId="0" borderId="0" applyFont="0" applyFill="0" applyBorder="0" applyAlignment="0" applyProtection="0"/>
    <xf numFmtId="208" fontId="153" fillId="0" borderId="0" applyFont="0" applyFill="0" applyBorder="0" applyAlignment="0" applyProtection="0"/>
    <xf numFmtId="209" fontId="153" fillId="0" borderId="0" applyFont="0" applyFill="0" applyBorder="0" applyAlignment="0" applyProtection="0"/>
    <xf numFmtId="210" fontId="153" fillId="0" borderId="0" applyFont="0" applyFill="0" applyBorder="0" applyAlignment="0" applyProtection="0"/>
    <xf numFmtId="0" fontId="153" fillId="0" borderId="0"/>
    <xf numFmtId="0" fontId="19" fillId="0" borderId="0" applyFont="0" applyFill="0" applyBorder="0" applyAlignment="0" applyProtection="0"/>
    <xf numFmtId="211"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4"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2" fillId="0" borderId="13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5" fillId="0" borderId="139" applyNumberFormat="0" applyFill="0" applyProtection="0">
      <alignment horizontal="center"/>
    </xf>
    <xf numFmtId="0" fontId="165"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2" fillId="0" borderId="0" applyFill="0" applyBorder="0" applyAlignment="0" applyProtection="0"/>
    <xf numFmtId="239" fontId="172" fillId="0" borderId="0" applyFill="0" applyBorder="0" applyAlignment="0" applyProtection="0"/>
    <xf numFmtId="239"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3" fillId="0" borderId="68"/>
    <xf numFmtId="0" fontId="159"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5"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0" fontId="178" fillId="0" borderId="0" applyNumberForma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0" fontId="179"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4" applyNumberFormat="0" applyFont="0" applyAlignment="0"/>
    <xf numFmtId="3" fontId="180" fillId="88" borderId="124" applyNumberFormat="0" applyFont="0" applyAlignment="0"/>
    <xf numFmtId="3" fontId="180" fillId="88" borderId="124" applyNumberFormat="0" applyFont="0" applyAlignment="0"/>
    <xf numFmtId="3" fontId="180" fillId="88" borderId="124" applyNumberFormat="0" applyFont="0" applyAlignment="0"/>
    <xf numFmtId="3" fontId="180" fillId="88" borderId="124"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247" fontId="178" fillId="107" borderId="124" applyNumberFormat="0" applyFill="0" applyBorder="0" applyAlignment="0" applyProtection="0"/>
    <xf numFmtId="0"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0"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247" fontId="178" fillId="107" borderId="124" applyNumberFormat="0" applyFill="0" applyBorder="0" applyAlignment="0" applyProtection="0"/>
    <xf numFmtId="0" fontId="178" fillId="107" borderId="124" applyNumberFormat="0" applyFill="0" applyBorder="0" applyAlignment="0" applyProtection="0"/>
    <xf numFmtId="0" fontId="181"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2" applyNumberFormat="0" applyAlignment="0" applyProtection="0"/>
    <xf numFmtId="0" fontId="182" fillId="108" borderId="142" applyNumberFormat="0" applyAlignment="0" applyProtection="0"/>
    <xf numFmtId="0" fontId="183" fillId="0" borderId="0" applyNumberFormat="0" applyFill="0" applyAlignment="0"/>
    <xf numFmtId="0" fontId="184" fillId="0" borderId="143" applyNumberFormat="0" applyFont="0" applyFill="0" applyAlignment="0"/>
    <xf numFmtId="248"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4"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9" fillId="0" borderId="0" applyFont="0" applyFill="0" applyBorder="0" applyAlignment="0" applyProtection="0"/>
    <xf numFmtId="250" fontId="190" fillId="0" borderId="0"/>
    <xf numFmtId="0" fontId="191" fillId="0" borderId="145"/>
    <xf numFmtId="251" fontId="2" fillId="0" borderId="0"/>
    <xf numFmtId="0" fontId="191" fillId="0" borderId="146"/>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47">
      <alignment horizontal="center" vertical="center"/>
    </xf>
    <xf numFmtId="0" fontId="182" fillId="108" borderId="147">
      <alignment horizontal="center" vertical="center"/>
    </xf>
    <xf numFmtId="0" fontId="195" fillId="0" borderId="0" applyProtection="0">
      <alignment horizontal="center"/>
    </xf>
    <xf numFmtId="0" fontId="195"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59" fillId="0" borderId="0">
      <alignment vertical="top"/>
    </xf>
    <xf numFmtId="172" fontId="159" fillId="0" borderId="0">
      <alignment vertical="top"/>
    </xf>
    <xf numFmtId="172" fontId="159" fillId="0" borderId="0">
      <alignment vertical="top"/>
    </xf>
    <xf numFmtId="0" fontId="45" fillId="0" borderId="0" applyNumberFormat="0" applyFill="0" applyBorder="0" applyProtection="0">
      <alignment horizontal="right"/>
    </xf>
    <xf numFmtId="172" fontId="198" fillId="0" borderId="0">
      <alignment horizontal="right"/>
    </xf>
    <xf numFmtId="172" fontId="198" fillId="0" borderId="0">
      <alignment horizontal="right"/>
    </xf>
    <xf numFmtId="172" fontId="198" fillId="0" borderId="0">
      <alignment horizontal="right"/>
    </xf>
    <xf numFmtId="0" fontId="198" fillId="0" borderId="0">
      <alignment horizontal="left"/>
    </xf>
    <xf numFmtId="0" fontId="199" fillId="74" borderId="0" applyNumberFormat="0" applyBorder="0" applyAlignment="0" applyProtection="0"/>
    <xf numFmtId="252"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252"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252"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2" fillId="72" borderId="0"/>
    <xf numFmtId="0" fontId="200" fillId="0" borderId="1" applyNumberFormat="0" applyFont="0" applyFill="0" applyAlignment="0" applyProtection="0"/>
    <xf numFmtId="0" fontId="200" fillId="0" borderId="148" applyNumberFormat="0" applyFont="0" applyFill="0" applyAlignment="0" applyProtection="0"/>
    <xf numFmtId="0" fontId="148" fillId="0" borderId="108" applyNumberFormat="0" applyFont="0" applyFill="0" applyAlignment="0" applyProtection="0"/>
    <xf numFmtId="0" fontId="148" fillId="0" borderId="108" applyNumberFormat="0" applyFont="0" applyFill="0" applyAlignment="0" applyProtection="0"/>
    <xf numFmtId="0" fontId="148" fillId="0" borderId="70" applyNumberFormat="0" applyFont="0" applyFill="0" applyAlignment="0" applyProtection="0"/>
    <xf numFmtId="0" fontId="148" fillId="0" borderId="70" applyNumberFormat="0" applyFont="0" applyFill="0" applyAlignment="0" applyProtection="0"/>
    <xf numFmtId="0" fontId="148" fillId="0" borderId="70" applyNumberFormat="0" applyFont="0" applyFill="0" applyAlignment="0" applyProtection="0"/>
    <xf numFmtId="0" fontId="148" fillId="0" borderId="68" applyNumberFormat="0" applyFont="0" applyFill="0" applyAlignment="0" applyProtection="0"/>
    <xf numFmtId="0" fontId="148" fillId="0" borderId="68" applyNumberFormat="0" applyFont="0" applyFill="0" applyAlignment="0" applyProtection="0"/>
    <xf numFmtId="0" fontId="148" fillId="0" borderId="104" applyNumberFormat="0" applyFont="0" applyFill="0" applyAlignment="0" applyProtection="0"/>
    <xf numFmtId="0" fontId="148" fillId="0" borderId="104" applyNumberFormat="0" applyFont="0" applyFill="0" applyAlignment="0" applyProtection="0"/>
    <xf numFmtId="0" fontId="148" fillId="0" borderId="104" applyNumberFormat="0" applyFont="0" applyFill="0" applyAlignment="0" applyProtection="0"/>
    <xf numFmtId="0" fontId="148" fillId="0" borderId="104" applyNumberFormat="0" applyFont="0" applyFill="0" applyAlignment="0" applyProtection="0"/>
    <xf numFmtId="0" fontId="148" fillId="0" borderId="104" applyNumberFormat="0" applyFont="0" applyFill="0" applyAlignment="0" applyProtection="0"/>
    <xf numFmtId="0" fontId="148" fillId="0" borderId="104"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0" fontId="29"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0"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7" fontId="8"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8" fontId="201"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4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9" fontId="201"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2" fillId="109" borderId="144" applyNumberFormat="0" applyAlignment="0" applyProtection="0"/>
    <xf numFmtId="0" fontId="144" fillId="8" borderId="32" applyNumberFormat="0" applyAlignment="0" applyProtection="0"/>
    <xf numFmtId="3" fontId="45" fillId="41" borderId="70">
      <protection hidden="1"/>
    </xf>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2" fillId="109" borderId="144" applyNumberFormat="0" applyAlignment="0" applyProtection="0"/>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70" applyBorder="0"/>
    <xf numFmtId="260" fontId="204"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vertical="center"/>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xf>
    <xf numFmtId="3" fontId="205" fillId="69" borderId="124"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7" fillId="0" borderId="149"/>
    <xf numFmtId="201" fontId="208" fillId="0" borderId="0" applyFont="0" applyFill="0" applyBorder="0" applyAlignment="0" applyProtection="0"/>
    <xf numFmtId="0" fontId="209" fillId="0" borderId="0"/>
    <xf numFmtId="0" fontId="209" fillId="0" borderId="0"/>
    <xf numFmtId="0" fontId="209" fillId="0" borderId="0"/>
    <xf numFmtId="0" fontId="209" fillId="0" borderId="0"/>
    <xf numFmtId="261" fontId="2" fillId="0" borderId="0"/>
    <xf numFmtId="261" fontId="2" fillId="0" borderId="0"/>
    <xf numFmtId="261" fontId="2" fillId="0" borderId="0"/>
    <xf numFmtId="261" fontId="2" fillId="0" borderId="0"/>
    <xf numFmtId="217" fontId="210" fillId="0" borderId="0">
      <alignment horizontal="right" vertical="center" wrapText="1"/>
    </xf>
    <xf numFmtId="217" fontId="210" fillId="0" borderId="0">
      <alignment horizontal="right" vertical="center" wrapText="1"/>
    </xf>
    <xf numFmtId="217" fontId="210"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4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1" fillId="0" borderId="0" applyFont="0" applyFill="0" applyBorder="0" applyAlignment="0" applyProtection="0">
      <alignment horizontal="right"/>
    </xf>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3"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1"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3"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21" fontId="147" fillId="0" borderId="0" applyFont="0" applyFill="0" applyBorder="0" applyAlignment="0" applyProtection="0"/>
    <xf numFmtId="221" fontId="147" fillId="0" borderId="0" applyFont="0" applyFill="0" applyBorder="0" applyAlignment="0" applyProtection="0"/>
    <xf numFmtId="3" fontId="208" fillId="0" borderId="133">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3">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08"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6" fillId="0" borderId="0" applyFill="0" applyBorder="0">
      <alignment horizontal="left"/>
    </xf>
    <xf numFmtId="0" fontId="217"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28" applyNumberFormat="0" applyFill="0" applyBorder="0" applyAlignment="0" applyProtection="0">
      <alignment horizontal="center"/>
      <protection locked="0"/>
    </xf>
    <xf numFmtId="0" fontId="220" fillId="0" borderId="128" applyNumberFormat="0" applyFill="0" applyBorder="0">
      <protection locked="0"/>
    </xf>
    <xf numFmtId="0" fontId="220" fillId="0" borderId="128" applyNumberFormat="0" applyFill="0" applyBorder="0">
      <protection locked="0"/>
    </xf>
    <xf numFmtId="0" fontId="220" fillId="0" borderId="128" applyNumberFormat="0" applyFill="0" applyBorder="0">
      <protection locked="0"/>
    </xf>
    <xf numFmtId="0" fontId="220" fillId="0" borderId="128" applyNumberFormat="0" applyFill="0" applyBorder="0">
      <protection locked="0"/>
    </xf>
    <xf numFmtId="0" fontId="220" fillId="0" borderId="128" applyNumberFormat="0" applyFill="0" applyBorder="0">
      <protection locked="0"/>
    </xf>
    <xf numFmtId="0" fontId="220" fillId="0" borderId="128" applyNumberFormat="0" applyFill="0" applyBorder="0">
      <protection locked="0"/>
    </xf>
    <xf numFmtId="0" fontId="220" fillId="0" borderId="128" applyNumberFormat="0" applyFill="0" applyBorder="0">
      <protection locked="0"/>
    </xf>
    <xf numFmtId="0" fontId="220" fillId="0" borderId="128" applyNumberFormat="0" applyFill="0" applyBorder="0">
      <protection locked="0"/>
    </xf>
    <xf numFmtId="0" fontId="219" fillId="0" borderId="128" applyNumberFormat="0" applyFill="0" applyBorder="0" applyAlignment="0" applyProtection="0">
      <alignment horizontal="center"/>
      <protection locked="0"/>
    </xf>
    <xf numFmtId="0" fontId="219" fillId="0" borderId="128" applyNumberFormat="0" applyFill="0" applyBorder="0" applyAlignment="0" applyProtection="0">
      <alignment horizontal="center"/>
      <protection locked="0"/>
    </xf>
    <xf numFmtId="3" fontId="208" fillId="0" borderId="133">
      <alignment vertical="center"/>
    </xf>
    <xf numFmtId="0" fontId="219" fillId="0" borderId="128" applyNumberFormat="0" applyFill="0" applyBorder="0" applyAlignment="0" applyProtection="0">
      <alignment horizontal="center"/>
      <protection locked="0"/>
    </xf>
    <xf numFmtId="0" fontId="219" fillId="0" borderId="128" applyNumberFormat="0" applyFill="0" applyBorder="0" applyAlignment="0" applyProtection="0">
      <alignment horizontal="center"/>
      <protection locked="0"/>
    </xf>
    <xf numFmtId="3" fontId="208" fillId="0" borderId="133">
      <alignment vertical="center"/>
    </xf>
    <xf numFmtId="0" fontId="220" fillId="0" borderId="128" applyNumberFormat="0" applyFill="0" applyBorder="0">
      <protection locked="0"/>
    </xf>
    <xf numFmtId="0" fontId="220" fillId="0" borderId="128" applyNumberFormat="0" applyFill="0" applyBorder="0">
      <protection locked="0"/>
    </xf>
    <xf numFmtId="3" fontId="208" fillId="0" borderId="133">
      <alignment vertical="center"/>
    </xf>
    <xf numFmtId="0" fontId="220" fillId="0" borderId="128" applyNumberFormat="0" applyFill="0" applyBorder="0">
      <protection locked="0"/>
    </xf>
    <xf numFmtId="0" fontId="220" fillId="0" borderId="128" applyNumberFormat="0" applyFill="0" applyBorder="0">
      <protection locked="0"/>
    </xf>
    <xf numFmtId="3" fontId="208" fillId="0" borderId="133">
      <alignment vertical="center"/>
    </xf>
    <xf numFmtId="0" fontId="220" fillId="0" borderId="128" applyNumberFormat="0" applyFill="0" applyBorder="0">
      <protection locked="0"/>
    </xf>
    <xf numFmtId="0" fontId="220" fillId="0" borderId="128" applyNumberFormat="0" applyFill="0" applyBorder="0">
      <protection locked="0"/>
    </xf>
    <xf numFmtId="0" fontId="220" fillId="0" borderId="128" applyNumberFormat="0" applyFill="0" applyBorder="0">
      <protection locked="0"/>
    </xf>
    <xf numFmtId="0" fontId="220" fillId="0" borderId="128" applyNumberFormat="0" applyFill="0" applyBorder="0">
      <protection locked="0"/>
    </xf>
    <xf numFmtId="3" fontId="208" fillId="0" borderId="133">
      <alignment vertical="center"/>
    </xf>
    <xf numFmtId="3" fontId="221" fillId="0" borderId="151" applyNumberFormat="0" applyAlignment="0">
      <alignment vertical="center"/>
    </xf>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3" fontId="208" fillId="0" borderId="133">
      <alignment vertical="center"/>
    </xf>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 fillId="0" borderId="0" applyFont="0" applyFill="0" applyBorder="0" applyAlignment="0" applyProtection="0"/>
    <xf numFmtId="265" fontId="222"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8" fillId="0" borderId="13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3">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21"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3" fontId="208"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1" fillId="0" borderId="0" applyFont="0" applyFill="0" applyBorder="0" applyAlignment="0" applyProtection="0">
      <alignment horizontal="right"/>
    </xf>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67" fontId="161" fillId="0" borderId="0" applyFont="0" applyFill="0" applyBorder="0" applyAlignment="0" applyProtection="0">
      <alignment horizontal="right"/>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3">
      <alignment vertical="center"/>
    </xf>
    <xf numFmtId="3" fontId="208" fillId="0" borderId="133">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3" fontId="208" fillId="0" borderId="133">
      <alignment vertical="center"/>
    </xf>
    <xf numFmtId="3" fontId="208" fillId="0" borderId="133">
      <alignment vertical="center"/>
    </xf>
    <xf numFmtId="267" fontId="161" fillId="0" borderId="0" applyFont="0" applyFill="0" applyBorder="0" applyProtection="0"/>
    <xf numFmtId="267" fontId="161" fillId="0" borderId="0" applyFont="0" applyFill="0" applyBorder="0" applyProtection="0"/>
    <xf numFmtId="3" fontId="208" fillId="0" borderId="133">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3">
      <alignment vertical="center"/>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267" fontId="161" fillId="0" borderId="0" applyFont="0" applyFill="0" applyBorder="0" applyProtection="0"/>
    <xf numFmtId="3" fontId="208" fillId="0" borderId="133">
      <alignment vertical="center"/>
    </xf>
    <xf numFmtId="267" fontId="161" fillId="0" borderId="0" applyFont="0" applyFill="0" applyBorder="0" applyProtection="0"/>
    <xf numFmtId="267" fontId="161" fillId="0" borderId="0" applyFont="0" applyFill="0" applyBorder="0" applyProtection="0"/>
    <xf numFmtId="3" fontId="208" fillId="0" borderId="133">
      <alignment vertical="center"/>
    </xf>
    <xf numFmtId="197" fontId="2" fillId="0" borderId="0" applyFont="0" applyFill="0" applyBorder="0" applyAlignment="0" applyProtection="0"/>
    <xf numFmtId="3" fontId="208" fillId="0" borderId="133">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8" fillId="0" borderId="133">
      <alignment vertical="center"/>
    </xf>
    <xf numFmtId="3" fontId="208" fillId="0" borderId="133">
      <alignment vertical="center"/>
    </xf>
    <xf numFmtId="268" fontId="223" fillId="0" borderId="0"/>
    <xf numFmtId="0" fontId="2" fillId="0" borderId="0" applyNumberFormat="0" applyFont="0" applyFill="0" applyBorder="0" applyAlignment="0" applyProtection="0"/>
    <xf numFmtId="268" fontId="223" fillId="0" borderId="0"/>
    <xf numFmtId="3" fontId="208" fillId="0" borderId="133">
      <alignment vertical="center"/>
    </xf>
    <xf numFmtId="268" fontId="223" fillId="0" borderId="0"/>
    <xf numFmtId="3" fontId="208" fillId="0" borderId="133">
      <alignment vertical="center"/>
    </xf>
    <xf numFmtId="268" fontId="223"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268" fontId="223" fillId="0" borderId="0"/>
    <xf numFmtId="268" fontId="223" fillId="0" borderId="0"/>
    <xf numFmtId="3" fontId="208" fillId="0" borderId="133">
      <alignment vertical="center"/>
    </xf>
    <xf numFmtId="3" fontId="208" fillId="0" borderId="133">
      <alignment vertical="center"/>
    </xf>
    <xf numFmtId="0" fontId="223" fillId="0" borderId="0"/>
    <xf numFmtId="0" fontId="2" fillId="0" borderId="0" applyNumberFormat="0" applyFont="0" applyFill="0" applyBorder="0" applyAlignment="0" applyProtection="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268" fontId="223" fillId="0" borderId="0"/>
    <xf numFmtId="3" fontId="208" fillId="0" borderId="133">
      <alignment vertical="center"/>
    </xf>
    <xf numFmtId="268" fontId="223" fillId="0" borderId="0"/>
    <xf numFmtId="268" fontId="223" fillId="0" borderId="0"/>
    <xf numFmtId="3" fontId="208" fillId="0" borderId="133">
      <alignment vertical="center"/>
    </xf>
    <xf numFmtId="3" fontId="208" fillId="0" borderId="133">
      <alignment vertical="center"/>
    </xf>
    <xf numFmtId="0" fontId="223" fillId="0" borderId="0"/>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268" fontId="223" fillId="0" borderId="0"/>
    <xf numFmtId="268" fontId="223" fillId="0" borderId="0"/>
    <xf numFmtId="3" fontId="208" fillId="0" borderId="133">
      <alignment vertical="center"/>
    </xf>
    <xf numFmtId="268" fontId="223" fillId="0" borderId="0"/>
    <xf numFmtId="3" fontId="208" fillId="0" borderId="133">
      <alignment vertical="center"/>
    </xf>
    <xf numFmtId="268" fontId="223" fillId="0" borderId="0"/>
    <xf numFmtId="3" fontId="208" fillId="0" borderId="133">
      <alignment vertical="center"/>
    </xf>
    <xf numFmtId="268" fontId="223" fillId="0" borderId="0"/>
    <xf numFmtId="3" fontId="208" fillId="0" borderId="133">
      <alignment vertical="center"/>
    </xf>
    <xf numFmtId="3" fontId="208" fillId="0" borderId="133">
      <alignment vertical="center"/>
    </xf>
    <xf numFmtId="268" fontId="223" fillId="0" borderId="0"/>
    <xf numFmtId="3" fontId="208" fillId="0" borderId="133">
      <alignment vertical="center"/>
    </xf>
    <xf numFmtId="268" fontId="223" fillId="0" borderId="0"/>
    <xf numFmtId="268" fontId="223" fillId="0" borderId="0"/>
    <xf numFmtId="3" fontId="208" fillId="0" borderId="133">
      <alignment vertical="center"/>
    </xf>
    <xf numFmtId="3" fontId="208" fillId="0" borderId="133">
      <alignment vertical="center"/>
    </xf>
    <xf numFmtId="268" fontId="223" fillId="0" borderId="0"/>
    <xf numFmtId="3" fontId="208" fillId="0" borderId="133">
      <alignment vertical="center"/>
    </xf>
    <xf numFmtId="268" fontId="223" fillId="0" borderId="0"/>
    <xf numFmtId="3" fontId="208" fillId="0" borderId="133">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08"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8" fillId="0" borderId="133">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26" fillId="119" borderId="103" applyNumberFormat="0" applyBorder="0">
      <alignment horizontal="left"/>
    </xf>
    <xf numFmtId="0" fontId="226" fillId="119" borderId="103" applyNumberFormat="0" applyBorder="0">
      <alignment horizontal="left"/>
    </xf>
    <xf numFmtId="3" fontId="208" fillId="0" borderId="133">
      <alignment vertical="center"/>
    </xf>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0" fontId="226" fillId="119" borderId="103" applyNumberFormat="0" applyBorder="0">
      <alignment horizontal="left"/>
    </xf>
    <xf numFmtId="3" fontId="208" fillId="0" borderId="133">
      <alignment vertical="center"/>
    </xf>
    <xf numFmtId="14" fontId="227" fillId="0" borderId="0"/>
    <xf numFmtId="271" fontId="210" fillId="0" borderId="0">
      <alignment horizontal="left" vertical="center" wrapText="1"/>
    </xf>
    <xf numFmtId="271" fontId="210" fillId="0" borderId="0">
      <alignment horizontal="left" vertical="center" wrapText="1"/>
    </xf>
    <xf numFmtId="271"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3">
      <alignment vertical="center"/>
    </xf>
    <xf numFmtId="0" fontId="210" fillId="0" borderId="0">
      <alignment horizontal="left" vertical="center" wrapText="1"/>
    </xf>
    <xf numFmtId="3" fontId="208" fillId="0" borderId="133">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3"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3">
      <alignment vertical="center"/>
    </xf>
    <xf numFmtId="22" fontId="29" fillId="0" borderId="0" applyFill="0" applyBorder="0" applyAlignment="0"/>
    <xf numFmtId="3" fontId="208"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3">
      <alignment vertical="center"/>
    </xf>
    <xf numFmtId="172" fontId="200" fillId="0" borderId="0" applyFont="0" applyFill="0" applyBorder="0" applyProtection="0">
      <alignment horizontal="right"/>
    </xf>
    <xf numFmtId="179"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8"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3">
      <alignment vertical="center"/>
    </xf>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3">
      <alignment vertical="center"/>
    </xf>
    <xf numFmtId="0" fontId="230"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8"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8" fillId="0" borderId="133">
      <alignment vertical="center"/>
    </xf>
    <xf numFmtId="0" fontId="2" fillId="0" borderId="70" applyFill="0" applyProtection="0">
      <alignment horizontal="centerContinuous"/>
    </xf>
    <xf numFmtId="0" fontId="2" fillId="0" borderId="70" applyFill="0" applyProtection="0">
      <alignment horizontal="centerContinuous"/>
    </xf>
    <xf numFmtId="3" fontId="208" fillId="0" borderId="133">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08"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8"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8"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8" fillId="0" borderId="133">
      <alignment vertical="center"/>
    </xf>
    <xf numFmtId="275" fontId="2" fillId="0" borderId="70" applyFill="0" applyProtection="0">
      <alignment horizontal="centerContinuous"/>
    </xf>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231"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231"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32" fillId="121"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1"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17" fontId="236" fillId="117" borderId="103"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37"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217"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85" fontId="238" fillId="0" borderId="0">
      <alignment horizontal="right" vertical="top"/>
    </xf>
    <xf numFmtId="286" fontId="239" fillId="0" borderId="0" applyBorder="0">
      <alignment horizontal="right" vertical="top"/>
    </xf>
    <xf numFmtId="286" fontId="239" fillId="0" borderId="0" applyBorder="0">
      <alignment horizontal="right" vertical="top"/>
    </xf>
    <xf numFmtId="3" fontId="208" fillId="0" borderId="133">
      <alignment vertical="center"/>
    </xf>
    <xf numFmtId="287" fontId="20" fillId="0" borderId="0">
      <alignment horizontal="right" vertical="top"/>
    </xf>
    <xf numFmtId="288" fontId="154" fillId="0" borderId="0" applyBorder="0">
      <alignment horizontal="right" vertical="top"/>
    </xf>
    <xf numFmtId="288" fontId="154" fillId="0" borderId="0" applyBorder="0">
      <alignment horizontal="right" vertical="top"/>
    </xf>
    <xf numFmtId="3" fontId="208" fillId="0" borderId="133">
      <alignment vertical="center"/>
    </xf>
    <xf numFmtId="287" fontId="238" fillId="0" borderId="0">
      <alignment horizontal="right" vertical="top"/>
    </xf>
    <xf numFmtId="288" fontId="239" fillId="0" borderId="0" applyBorder="0">
      <alignment horizontal="right" vertical="top"/>
    </xf>
    <xf numFmtId="288" fontId="239" fillId="0" borderId="0" applyBorder="0">
      <alignment horizontal="right" vertical="top"/>
    </xf>
    <xf numFmtId="3" fontId="208" fillId="0" borderId="133">
      <alignment vertical="center"/>
    </xf>
    <xf numFmtId="289" fontId="20" fillId="0" borderId="0" applyFill="0" applyBorder="0">
      <alignment horizontal="right" vertical="top"/>
    </xf>
    <xf numFmtId="290" fontId="20" fillId="0" borderId="0" applyFill="0" applyBorder="0">
      <alignment horizontal="right" vertical="top"/>
    </xf>
    <xf numFmtId="212" fontId="154" fillId="0" borderId="0" applyFill="0" applyBorder="0">
      <alignment horizontal="right" vertical="top"/>
    </xf>
    <xf numFmtId="212" fontId="154" fillId="0" borderId="0" applyFill="0" applyBorder="0">
      <alignment horizontal="right" vertical="top"/>
    </xf>
    <xf numFmtId="3" fontId="208" fillId="0" borderId="133">
      <alignment vertical="center"/>
    </xf>
    <xf numFmtId="291" fontId="20" fillId="0" borderId="0" applyFill="0" applyBorder="0">
      <alignment horizontal="right" vertical="top"/>
    </xf>
    <xf numFmtId="292" fontId="154" fillId="0" borderId="0" applyFill="0" applyBorder="0">
      <alignment horizontal="right" vertical="top"/>
    </xf>
    <xf numFmtId="292" fontId="154" fillId="0" borderId="0" applyFill="0" applyBorder="0">
      <alignment horizontal="right" vertical="top"/>
    </xf>
    <xf numFmtId="3" fontId="208" fillId="0" borderId="133">
      <alignment vertical="center"/>
    </xf>
    <xf numFmtId="293" fontId="20" fillId="0" borderId="0" applyFill="0" applyBorder="0">
      <alignment horizontal="right" vertical="top"/>
    </xf>
    <xf numFmtId="294" fontId="154" fillId="0" borderId="0" applyFill="0" applyBorder="0">
      <alignment horizontal="right" vertical="top"/>
    </xf>
    <xf numFmtId="294" fontId="154" fillId="0" borderId="0" applyFill="0" applyBorder="0">
      <alignment horizontal="right" vertical="top"/>
    </xf>
    <xf numFmtId="3" fontId="208" fillId="0" borderId="133">
      <alignment vertical="center"/>
    </xf>
    <xf numFmtId="295" fontId="20" fillId="0" borderId="0" applyFill="0" applyBorder="0">
      <alignment horizontal="right" vertical="top"/>
    </xf>
    <xf numFmtId="296" fontId="154" fillId="0" borderId="0" applyFill="0" applyBorder="0">
      <alignment horizontal="right" vertical="top"/>
    </xf>
    <xf numFmtId="296" fontId="154" fillId="0" borderId="0" applyFill="0" applyBorder="0">
      <alignment horizontal="right" vertical="top"/>
    </xf>
    <xf numFmtId="3" fontId="208" fillId="0" borderId="133">
      <alignment vertical="center"/>
    </xf>
    <xf numFmtId="0" fontId="240" fillId="0" borderId="0">
      <alignment horizontal="left"/>
    </xf>
    <xf numFmtId="0" fontId="241" fillId="0" borderId="0">
      <alignment horizontal="center" wrapText="1"/>
    </xf>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4">
      <alignment horizontal="right" wrapText="1"/>
    </xf>
    <xf numFmtId="0" fontId="240" fillId="0" borderId="154">
      <alignment horizontal="right" wrapText="1"/>
    </xf>
    <xf numFmtId="0" fontId="240" fillId="0" borderId="154">
      <alignment horizontal="right" wrapText="1"/>
    </xf>
    <xf numFmtId="0" fontId="2" fillId="0" borderId="0" applyNumberFormat="0" applyFont="0" applyFill="0" applyBorder="0" applyAlignment="0" applyProtection="0"/>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4">
      <alignment horizontal="right" wrapText="1"/>
    </xf>
    <xf numFmtId="0" fontId="240" fillId="0" borderId="154">
      <alignment horizontal="right" wrapText="1"/>
    </xf>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97" fontId="242"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4">
      <alignment horizontal="right"/>
    </xf>
    <xf numFmtId="297" fontId="242" fillId="0" borderId="154">
      <alignment horizontal="right"/>
    </xf>
    <xf numFmtId="297" fontId="242" fillId="0" borderId="154">
      <alignment horizontal="right"/>
    </xf>
    <xf numFmtId="0" fontId="2" fillId="0" borderId="0" applyNumberFormat="0" applyFont="0" applyFill="0" applyBorder="0" applyAlignment="0" applyProtection="0"/>
    <xf numFmtId="0" fontId="243" fillId="0" borderId="0">
      <alignment vertical="center"/>
    </xf>
    <xf numFmtId="298" fontId="243" fillId="0" borderId="0">
      <alignment horizontal="left" vertical="center"/>
    </xf>
    <xf numFmtId="299" fontId="244" fillId="0" borderId="0">
      <alignment vertical="center"/>
    </xf>
    <xf numFmtId="0" fontId="42" fillId="0" borderId="0">
      <alignment vertical="center"/>
    </xf>
    <xf numFmtId="297" fontId="242"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4">
      <alignment horizontal="left"/>
    </xf>
    <xf numFmtId="297" fontId="242" fillId="0" borderId="154">
      <alignment horizontal="left"/>
    </xf>
    <xf numFmtId="0" fontId="2" fillId="0" borderId="0" applyNumberFormat="0" applyFont="0" applyFill="0" applyBorder="0" applyAlignment="0" applyProtection="0"/>
    <xf numFmtId="297" fontId="216" fillId="0" borderId="0" applyFill="0" applyBorder="0">
      <alignment vertical="top"/>
    </xf>
    <xf numFmtId="297" fontId="227" fillId="0" borderId="0" applyFill="0" applyBorder="0" applyProtection="0">
      <alignment vertical="top"/>
    </xf>
    <xf numFmtId="297" fontId="245" fillId="0" borderId="0">
      <alignment vertical="top"/>
    </xf>
    <xf numFmtId="297" fontId="154" fillId="0" borderId="0">
      <alignment horizontal="center"/>
    </xf>
    <xf numFmtId="297" fontId="246"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4">
      <alignment horizontal="center"/>
    </xf>
    <xf numFmtId="297" fontId="246" fillId="0" borderId="154">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196" fontId="154"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196" fontId="154"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9" fillId="0" borderId="0"/>
    <xf numFmtId="297"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8" fillId="0" borderId="133">
      <alignment vertical="center"/>
    </xf>
    <xf numFmtId="297"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3">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70">
      <alignment horizontal="centerContinuous"/>
    </xf>
    <xf numFmtId="0" fontId="164" fillId="0" borderId="63" applyNumberFormat="0" applyFill="0" applyBorder="0" applyAlignment="0"/>
    <xf numFmtId="300" fontId="252" fillId="0" borderId="0"/>
    <xf numFmtId="0" fontId="2" fillId="0" borderId="0" applyNumberFormat="0" applyFont="0" applyFill="0" applyBorder="0" applyAlignment="0" applyProtection="0"/>
    <xf numFmtId="0" fontId="10" fillId="0" borderId="0"/>
    <xf numFmtId="38" fontId="200" fillId="0" borderId="0"/>
    <xf numFmtId="301" fontId="253"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8" fillId="0" borderId="133">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295" fontId="256" fillId="68" borderId="0" applyNumberFormat="0" applyBorder="0" applyAlignment="0" applyProtection="0"/>
    <xf numFmtId="3" fontId="208" fillId="0" borderId="133">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03" fontId="2" fillId="0" borderId="0" applyFont="0" applyFill="0" applyBorder="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58" fillId="0" borderId="0">
      <alignment horizontal="centerContinuous" vertical="center"/>
    </xf>
    <xf numFmtId="304" fontId="2" fillId="0" borderId="0" applyFont="0" applyFill="0" applyBorder="0" applyAlignment="0" applyProtection="0"/>
    <xf numFmtId="0" fontId="217" fillId="115" borderId="0">
      <alignment horizontal="left"/>
    </xf>
    <xf numFmtId="1" fontId="259" fillId="0" borderId="156">
      <alignment horizontal="left"/>
    </xf>
    <xf numFmtId="248"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45" fillId="113" borderId="126"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6" applyAlignment="0" applyProtection="0"/>
    <xf numFmtId="0" fontId="45" fillId="113" borderId="126" applyAlignment="0" applyProtection="0"/>
    <xf numFmtId="0" fontId="2" fillId="0" borderId="0" applyNumberFormat="0" applyFont="0" applyFill="0" applyBorder="0" applyAlignment="0" applyProtection="0"/>
    <xf numFmtId="0" fontId="2" fillId="68" borderId="124"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8"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45" fillId="68" borderId="136"/>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6" fillId="111" borderId="0" applyBorder="0" applyAlignment="0"/>
    <xf numFmtId="306"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41" fillId="126" borderId="125"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7" fillId="0" borderId="126">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62"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3" fillId="0" borderId="157" applyNumberFormat="0" applyFill="0" applyAlignment="0" applyProtection="0"/>
    <xf numFmtId="0" fontId="263" fillId="0" borderId="157" applyNumberFormat="0" applyFill="0" applyAlignment="0" applyProtection="0"/>
    <xf numFmtId="0" fontId="263" fillId="0" borderId="157"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4" applyFont="0" applyProtection="0">
      <alignment horizontal="right"/>
    </xf>
    <xf numFmtId="0" fontId="10" fillId="0" borderId="0"/>
    <xf numFmtId="3" fontId="2" fillId="70" borderId="124" applyFont="0" applyProtection="0">
      <alignment horizontal="right"/>
    </xf>
    <xf numFmtId="0" fontId="2" fillId="0" borderId="0" applyNumberFormat="0" applyFont="0" applyFill="0" applyBorder="0" applyAlignment="0" applyProtection="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70" borderId="124" applyFont="0" applyProtection="0">
      <alignment horizontal="right"/>
    </xf>
    <xf numFmtId="0" fontId="10" fillId="0" borderId="0"/>
    <xf numFmtId="10" fontId="2" fillId="70" borderId="124" applyFont="0" applyProtection="0">
      <alignment horizontal="right"/>
    </xf>
    <xf numFmtId="0" fontId="2" fillId="0" borderId="0" applyNumberFormat="0" applyFont="0" applyFill="0" applyBorder="0" applyAlignment="0" applyProtection="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0" borderId="124" applyFont="0" applyProtection="0">
      <alignment horizontal="right"/>
    </xf>
    <xf numFmtId="0" fontId="10" fillId="0" borderId="0"/>
    <xf numFmtId="9" fontId="2" fillId="70" borderId="124" applyFont="0" applyProtection="0">
      <alignment horizontal="right"/>
    </xf>
    <xf numFmtId="0" fontId="2" fillId="0" borderId="0" applyNumberFormat="0" applyFont="0" applyFill="0" applyBorder="0" applyAlignment="0" applyProtection="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70" borderId="125"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5" applyNumberFormat="0" applyFont="0" applyBorder="0" applyAlignment="0" applyProtection="0">
      <alignment horizontal="left"/>
    </xf>
    <xf numFmtId="0" fontId="2" fillId="0" borderId="0" applyNumberFormat="0" applyFont="0" applyFill="0" applyBorder="0" applyAlignment="0" applyProtection="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8" fillId="0" borderId="133">
      <alignment vertical="center"/>
    </xf>
    <xf numFmtId="0" fontId="2" fillId="0" borderId="0" applyNumberFormat="0" applyFont="0" applyFill="0" applyBorder="0" applyAlignment="0" applyProtection="0"/>
    <xf numFmtId="0" fontId="10" fillId="0" borderId="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7" fontId="256" fillId="0" borderId="0" applyNumberFormat="0" applyBorder="0" applyAlignment="0" applyProtection="0"/>
    <xf numFmtId="295" fontId="256" fillId="0" borderId="0" applyNumberFormat="0" applyBorder="0" applyAlignment="0" applyProtection="0"/>
    <xf numFmtId="3" fontId="208" fillId="0" borderId="133">
      <alignment vertical="center"/>
    </xf>
    <xf numFmtId="37" fontId="45" fillId="0" borderId="0"/>
    <xf numFmtId="295" fontId="45" fillId="0" borderId="0"/>
    <xf numFmtId="3" fontId="208" fillId="0" borderId="133">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08"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4" applyNumberFormat="0" applyBorder="0" applyAlignment="0" applyProtection="0"/>
    <xf numFmtId="0" fontId="10" fillId="0" borderId="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270" fillId="0" borderId="76">
      <protection locked="0"/>
    </xf>
    <xf numFmtId="0" fontId="270" fillId="0" borderId="76">
      <protection locked="0"/>
    </xf>
    <xf numFmtId="3" fontId="208" fillId="0" borderId="133">
      <alignment vertical="center"/>
    </xf>
    <xf numFmtId="0" fontId="270" fillId="0" borderId="76">
      <protection locked="0"/>
    </xf>
    <xf numFmtId="0" fontId="270" fillId="0" borderId="76">
      <protection locked="0"/>
    </xf>
    <xf numFmtId="3" fontId="208" fillId="0" borderId="133">
      <alignment vertical="center"/>
    </xf>
    <xf numFmtId="0" fontId="270" fillId="0" borderId="76">
      <protection locked="0"/>
    </xf>
    <xf numFmtId="0" fontId="270" fillId="0" borderId="76">
      <protection locked="0"/>
    </xf>
    <xf numFmtId="3" fontId="208" fillId="0" borderId="133">
      <alignment vertical="center"/>
    </xf>
    <xf numFmtId="0" fontId="270" fillId="0" borderId="76">
      <protection locked="0"/>
    </xf>
    <xf numFmtId="0" fontId="270" fillId="0" borderId="76">
      <protection locked="0"/>
    </xf>
    <xf numFmtId="3" fontId="208"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70" fillId="0" borderId="76">
      <protection locked="0"/>
    </xf>
    <xf numFmtId="0" fontId="270" fillId="0" borderId="76">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08" fillId="0" borderId="133">
      <alignment vertical="center"/>
    </xf>
    <xf numFmtId="0" fontId="270" fillId="0" borderId="76">
      <protection locked="0"/>
    </xf>
    <xf numFmtId="0" fontId="270" fillId="0" borderId="76">
      <protection locked="0"/>
    </xf>
    <xf numFmtId="3" fontId="208" fillId="0" borderId="133">
      <alignment vertical="center"/>
    </xf>
    <xf numFmtId="0" fontId="270" fillId="0" borderId="76">
      <protection locked="0"/>
    </xf>
    <xf numFmtId="0" fontId="270" fillId="0" borderId="76">
      <protection locked="0"/>
    </xf>
    <xf numFmtId="3" fontId="208" fillId="0" borderId="133">
      <alignment vertical="center"/>
    </xf>
    <xf numFmtId="0" fontId="270" fillId="0" borderId="76">
      <protection locked="0"/>
    </xf>
    <xf numFmtId="0" fontId="270" fillId="0" borderId="76">
      <protection locked="0"/>
    </xf>
    <xf numFmtId="3" fontId="208" fillId="0" borderId="133">
      <alignment vertical="center"/>
    </xf>
    <xf numFmtId="0" fontId="270" fillId="0" borderId="76">
      <protection locked="0"/>
    </xf>
    <xf numFmtId="0" fontId="270" fillId="0" borderId="76">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0" fillId="88" borderId="160">
      <alignment horizontal="right" vertical="center"/>
      <protection locked="0"/>
    </xf>
    <xf numFmtId="310" fontId="270" fillId="88" borderId="160">
      <alignment horizontal="right" vertical="center"/>
      <protection locked="0"/>
    </xf>
    <xf numFmtId="310" fontId="270" fillId="88" borderId="160">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 fontId="232"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3">
      <alignment vertical="center"/>
    </xf>
    <xf numFmtId="311" fontId="2" fillId="71" borderId="124" applyFont="0" applyAlignment="0">
      <protection locked="0"/>
    </xf>
    <xf numFmtId="0" fontId="10" fillId="0" borderId="0"/>
    <xf numFmtId="311" fontId="2" fillId="71" borderId="124" applyFont="0" applyAlignment="0">
      <protection locked="0"/>
    </xf>
    <xf numFmtId="0" fontId="2" fillId="0" borderId="0" applyNumberFormat="0" applyFont="0" applyFill="0" applyBorder="0" applyAlignment="0" applyProtection="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8" fillId="0" borderId="133">
      <alignment vertical="center"/>
    </xf>
    <xf numFmtId="0" fontId="2" fillId="0" borderId="0" applyNumberFormat="0" applyFont="0" applyFill="0" applyBorder="0" applyAlignment="0" applyProtection="0"/>
    <xf numFmtId="0" fontId="10" fillId="0" borderId="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 fillId="71" borderId="124" applyFont="0">
      <alignment horizontal="right"/>
      <protection locked="0"/>
    </xf>
    <xf numFmtId="0" fontId="10" fillId="0" borderId="0"/>
    <xf numFmtId="3"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2" fillId="71" borderId="124" applyFont="0">
      <alignment horizontal="right"/>
      <protection locked="0"/>
    </xf>
    <xf numFmtId="0" fontId="10" fillId="0" borderId="0"/>
    <xf numFmtId="260" fontId="2" fillId="71" borderId="124" applyFont="0">
      <alignment horizontal="right"/>
      <protection locked="0"/>
    </xf>
    <xf numFmtId="0" fontId="2" fillId="0" borderId="0" applyNumberFormat="0" applyFont="0" applyFill="0" applyBorder="0" applyAlignment="0" applyProtection="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10" fontId="2" fillId="71" borderId="124" applyFont="0">
      <alignment horizontal="right"/>
      <protection locked="0"/>
    </xf>
    <xf numFmtId="0" fontId="10" fillId="0" borderId="0"/>
    <xf numFmtId="10" fontId="2" fillId="71" borderId="124" applyFont="0">
      <alignment horizontal="right"/>
      <protection locked="0"/>
    </xf>
    <xf numFmtId="0" fontId="2" fillId="0" borderId="0" applyNumberFormat="0" applyFont="0" applyFill="0" applyBorder="0" applyAlignment="0" applyProtection="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1" borderId="128"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71" borderId="124" applyFont="0">
      <alignment horizontal="center" wrapText="1"/>
      <protection locked="0"/>
    </xf>
    <xf numFmtId="0" fontId="10" fillId="0" borderId="0"/>
    <xf numFmtId="0" fontId="2" fillId="71" borderId="124" applyFont="0">
      <alignment horizontal="center" wrapText="1"/>
      <protection locked="0"/>
    </xf>
    <xf numFmtId="0" fontId="2" fillId="0" borderId="0" applyNumberFormat="0" applyFont="0" applyFill="0" applyBorder="0" applyAlignment="0" applyProtection="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71" borderId="124" applyFont="0" applyAlignment="0">
      <protection locked="0"/>
    </xf>
    <xf numFmtId="0" fontId="10" fillId="0" borderId="0"/>
    <xf numFmtId="0" fontId="10" fillId="0" borderId="0"/>
    <xf numFmtId="3" fontId="208" fillId="0" borderId="133">
      <alignment vertical="center"/>
    </xf>
    <xf numFmtId="0" fontId="10" fillId="0" borderId="0"/>
    <xf numFmtId="0" fontId="10" fillId="0" borderId="0"/>
    <xf numFmtId="49" fontId="2" fillId="71" borderId="124"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82" fillId="53" borderId="0" applyNumberFormat="0" applyBorder="0" applyProtection="0">
      <alignment horizontal="center"/>
    </xf>
    <xf numFmtId="314"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5" fontId="2" fillId="0" borderId="0" applyFont="0" applyFill="0" applyBorder="0" applyAlignment="0" applyProtection="0"/>
    <xf numFmtId="316"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7" fontId="159"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17" fontId="227"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7"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6"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43" fontId="37" fillId="68" borderId="0" applyNumberFormat="0" applyFont="0" applyBorder="0" applyAlignment="0"/>
    <xf numFmtId="0" fontId="2" fillId="68" borderId="0"/>
    <xf numFmtId="319"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4" applyAlignment="0" applyProtection="0">
      <alignment horizontal="centerContinuous"/>
    </xf>
    <xf numFmtId="19" fontId="279" fillId="0" borderId="134" applyAlignment="0" applyProtection="0">
      <alignment horizontal="centerContinuous"/>
    </xf>
    <xf numFmtId="3" fontId="208" fillId="0" borderId="13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8" fillId="0" borderId="13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0" fontId="10" fillId="0" borderId="0"/>
    <xf numFmtId="2" fontId="232" fillId="107" borderId="124"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9"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08" fillId="0" borderId="133">
      <alignment vertical="center"/>
    </xf>
    <xf numFmtId="3" fontId="208" fillId="0" borderId="133">
      <alignment vertical="center"/>
    </xf>
    <xf numFmtId="0" fontId="224" fillId="0" borderId="0" applyNumberFormat="0" applyFont="0" applyBorder="0" applyAlignment="0"/>
    <xf numFmtId="0" fontId="224"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24" fontId="210" fillId="0" borderId="0">
      <alignment horizontal="right" vertical="center" wrapText="1"/>
    </xf>
    <xf numFmtId="325"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7" fontId="281" fillId="0" borderId="0"/>
    <xf numFmtId="295" fontId="281"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236" fillId="69" borderId="124"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82" fillId="104" borderId="127">
      <alignment horizontal="center" vertical="top" wrapText="1"/>
    </xf>
    <xf numFmtId="0" fontId="282" fillId="104" borderId="127">
      <alignment horizontal="center" vertical="top" wrapText="1"/>
    </xf>
    <xf numFmtId="0" fontId="282" fillId="104" borderId="127">
      <alignment horizontal="center" vertical="top" wrapText="1"/>
    </xf>
    <xf numFmtId="0" fontId="282" fillId="104"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xf numFmtId="0" fontId="45" fillId="70" borderId="125"/>
    <xf numFmtId="0" fontId="45" fillId="70" borderId="125"/>
    <xf numFmtId="0" fontId="45"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3"/>
    <xf numFmtId="0" fontId="45" fillId="0" borderId="103"/>
    <xf numFmtId="0" fontId="45"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7">
      <alignment horizontal="center" vertical="top"/>
    </xf>
    <xf numFmtId="0" fontId="282" fillId="132" borderId="127">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5"/>
    <xf numFmtId="0" fontId="45" fillId="0" borderId="125"/>
    <xf numFmtId="0" fontId="45" fillId="0" borderId="125"/>
    <xf numFmtId="0" fontId="45"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28"/>
    <xf numFmtId="0" fontId="283"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7">
      <alignment horizontal="center" vertical="top" wrapText="1"/>
    </xf>
    <xf numFmtId="0" fontId="282" fillId="132" borderId="127">
      <alignment horizontal="center" vertical="top" wrapText="1"/>
    </xf>
    <xf numFmtId="0" fontId="282" fillId="132" borderId="127">
      <alignment horizontal="center" vertical="top" wrapText="1"/>
    </xf>
    <xf numFmtId="0" fontId="282" fillId="132"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6"/>
    <xf numFmtId="3" fontId="2" fillId="0" borderId="126"/>
    <xf numFmtId="3" fontId="2" fillId="0" borderId="126"/>
    <xf numFmtId="3"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45" fillId="70" borderId="127">
      <alignment horizontal="center"/>
    </xf>
    <xf numFmtId="0" fontId="45" fillId="70" borderId="127">
      <alignment horizontal="center"/>
    </xf>
    <xf numFmtId="0" fontId="45" fillId="70" borderId="127">
      <alignment horizontal="center"/>
    </xf>
    <xf numFmtId="0" fontId="45" fillId="70"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left" vertical="top"/>
    </xf>
    <xf numFmtId="0" fontId="45" fillId="70" borderId="103">
      <alignment horizontal="left" vertical="top"/>
    </xf>
    <xf numFmtId="0" fontId="45" fillId="70" borderId="103">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6">
      <alignment horizontal="center" vertical="center"/>
    </xf>
    <xf numFmtId="0" fontId="282" fillId="132" borderId="126">
      <alignment horizontal="center" vertical="center"/>
    </xf>
    <xf numFmtId="0" fontId="2" fillId="0" borderId="0" applyNumberFormat="0" applyFont="0" applyFill="0" applyBorder="0" applyAlignment="0" applyProtection="0"/>
    <xf numFmtId="0" fontId="282" fillId="132" borderId="127">
      <alignment horizontal="center" vertical="center"/>
    </xf>
    <xf numFmtId="0" fontId="282" fillId="132" borderId="127">
      <alignment horizontal="center" vertical="center"/>
    </xf>
    <xf numFmtId="0" fontId="282" fillId="132" borderId="127">
      <alignment horizontal="center" vertical="center"/>
    </xf>
    <xf numFmtId="0" fontId="282" fillId="132" borderId="127">
      <alignment horizontal="center" vertical="center"/>
    </xf>
    <xf numFmtId="0" fontId="2" fillId="0" borderId="0" applyNumberFormat="0" applyFont="0" applyFill="0" applyBorder="0" applyAlignment="0" applyProtection="0"/>
    <xf numFmtId="0" fontId="282" fillId="104" borderId="125">
      <alignment horizontal="center" vertical="center"/>
    </xf>
    <xf numFmtId="0" fontId="282" fillId="104" borderId="125">
      <alignment horizontal="center" vertical="center"/>
    </xf>
    <xf numFmtId="0" fontId="282" fillId="104" borderId="125">
      <alignment horizontal="center" vertical="center"/>
    </xf>
    <xf numFmtId="0" fontId="282"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6">
      <alignment horizontal="center" vertical="center"/>
    </xf>
    <xf numFmtId="0" fontId="282" fillId="104" borderId="126">
      <alignment horizontal="center" vertical="center"/>
    </xf>
    <xf numFmtId="0" fontId="2" fillId="0" borderId="0" applyNumberFormat="0" applyFont="0" applyFill="0" applyBorder="0" applyAlignment="0" applyProtection="0"/>
    <xf numFmtId="0" fontId="282" fillId="104" borderId="127">
      <alignment horizontal="center" vertical="center"/>
    </xf>
    <xf numFmtId="0" fontId="282" fillId="104" borderId="127">
      <alignment horizontal="center" vertical="center"/>
    </xf>
    <xf numFmtId="0" fontId="282" fillId="104" borderId="127">
      <alignment horizontal="center" vertical="center"/>
    </xf>
    <xf numFmtId="0" fontId="282"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85"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3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236" fillId="0" borderId="76"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4">
      <alignment horizontal="right"/>
      <protection locked="0"/>
    </xf>
    <xf numFmtId="0" fontId="10" fillId="0" borderId="0"/>
    <xf numFmtId="3" fontId="2" fillId="74" borderId="124">
      <alignment horizontal="right"/>
      <protection locked="0"/>
    </xf>
    <xf numFmtId="0" fontId="2" fillId="0" borderId="0" applyNumberFormat="0" applyFont="0" applyFill="0" applyBorder="0" applyAlignment="0" applyProtection="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2" fillId="74" borderId="124">
      <alignment horizontal="right"/>
      <protection locked="0"/>
    </xf>
    <xf numFmtId="0" fontId="10" fillId="0" borderId="0"/>
    <xf numFmtId="260" fontId="2" fillId="74" borderId="124">
      <alignment horizontal="right"/>
      <protection locked="0"/>
    </xf>
    <xf numFmtId="0" fontId="2" fillId="0" borderId="0" applyNumberFormat="0" applyFont="0" applyFill="0" applyBorder="0" applyAlignment="0" applyProtection="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74" borderId="124" applyFont="0">
      <alignment horizontal="right"/>
      <protection locked="0"/>
    </xf>
    <xf numFmtId="0" fontId="10" fillId="0" borderId="0"/>
    <xf numFmtId="10" fontId="2" fillId="74" borderId="124" applyFont="0">
      <alignment horizontal="right"/>
      <protection locked="0"/>
    </xf>
    <xf numFmtId="0" fontId="2" fillId="0" borderId="0" applyNumberFormat="0" applyFont="0" applyFill="0" applyBorder="0" applyAlignment="0" applyProtection="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4" borderId="124">
      <alignment horizontal="right"/>
      <protection locked="0"/>
    </xf>
    <xf numFmtId="0" fontId="10" fillId="0" borderId="0"/>
    <xf numFmtId="9" fontId="2" fillId="74" borderId="124">
      <alignment horizontal="right"/>
      <protection locked="0"/>
    </xf>
    <xf numFmtId="0" fontId="2" fillId="0" borderId="0" applyNumberFormat="0" applyFont="0" applyFill="0" applyBorder="0" applyAlignment="0" applyProtection="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74" borderId="124">
      <alignment horizontal="center" wrapText="1"/>
    </xf>
    <xf numFmtId="0" fontId="10" fillId="0" borderId="0"/>
    <xf numFmtId="0" fontId="2" fillId="74" borderId="124">
      <alignment horizontal="center" wrapText="1"/>
    </xf>
    <xf numFmtId="0" fontId="2" fillId="0" borderId="0" applyNumberFormat="0" applyFont="0" applyFill="0" applyBorder="0" applyAlignment="0" applyProtection="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74" borderId="124" applyNumberFormat="0" applyFont="0">
      <alignment horizontal="center" wrapText="1"/>
      <protection locked="0"/>
    </xf>
    <xf numFmtId="0" fontId="10" fillId="0" borderId="0"/>
    <xf numFmtId="0" fontId="2" fillId="74" borderId="124" applyNumberFormat="0" applyFont="0">
      <alignment horizontal="center" wrapText="1"/>
      <protection locked="0"/>
    </xf>
    <xf numFmtId="0" fontId="2" fillId="0" borderId="0" applyNumberFormat="0" applyFont="0" applyFill="0" applyBorder="0" applyAlignment="0" applyProtection="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3" fontId="232"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32"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87" fillId="135"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59"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52"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7" fontId="294" fillId="0" borderId="0" applyNumberFormat="0" applyFill="0" applyBorder="0" applyAlignment="0" applyProtection="0"/>
    <xf numFmtId="295" fontId="294" fillId="0" borderId="0" applyNumberFormat="0" applyFill="0" applyBorder="0" applyAlignment="0" applyProtection="0"/>
    <xf numFmtId="3" fontId="208" fillId="0" borderId="133">
      <alignment vertical="center"/>
    </xf>
    <xf numFmtId="0" fontId="10" fillId="0" borderId="0"/>
    <xf numFmtId="0" fontId="176" fillId="111"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8" fillId="0" borderId="0"/>
    <xf numFmtId="0" fontId="10" fillId="0" borderId="0"/>
    <xf numFmtId="38" fontId="295" fillId="0" borderId="0">
      <alignment horizontal="center"/>
    </xf>
    <xf numFmtId="0" fontId="10" fillId="0" borderId="0"/>
    <xf numFmtId="0" fontId="296" fillId="45" borderId="12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165" fontId="297"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9"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1" applyProtection="0">
      <alignment horizontal="right" vertical="center"/>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300" fillId="0" borderId="0"/>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301" fillId="0" borderId="0"/>
    <xf numFmtId="341" fontId="159" fillId="0" borderId="0"/>
    <xf numFmtId="342" fontId="159" fillId="0" borderId="0"/>
    <xf numFmtId="0" fontId="209" fillId="0" borderId="27"/>
    <xf numFmtId="0" fontId="302"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2">
      <alignment horizontal="right"/>
    </xf>
    <xf numFmtId="0" fontId="305" fillId="141" borderId="0"/>
    <xf numFmtId="0" fontId="303" fillId="69" borderId="172">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7" fillId="0" borderId="0">
      <alignment horizontal="right"/>
    </xf>
    <xf numFmtId="0" fontId="230" fillId="0" borderId="0"/>
    <xf numFmtId="164" fontId="200" fillId="142" borderId="0" applyNumberFormat="0" applyFont="0"/>
    <xf numFmtId="0" fontId="159" fillId="143" borderId="0" applyNumberFormat="0" applyFont="0" applyBorder="0" applyAlignment="0" applyProtection="0"/>
    <xf numFmtId="346" fontId="307" fillId="0" borderId="0" applyFont="0" applyFill="0" applyBorder="0" applyAlignment="0" applyProtection="0"/>
    <xf numFmtId="1" fontId="2" fillId="0" borderId="0"/>
    <xf numFmtId="347" fontId="2" fillId="69" borderId="124">
      <alignment horizontal="center"/>
    </xf>
    <xf numFmtId="0" fontId="10" fillId="0" borderId="0"/>
    <xf numFmtId="347" fontId="2" fillId="69" borderId="124">
      <alignment horizontal="center"/>
    </xf>
    <xf numFmtId="0" fontId="2" fillId="0" borderId="0" applyNumberFormat="0" applyFont="0" applyFill="0" applyBorder="0" applyAlignment="0" applyProtection="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8" fillId="0" borderId="133">
      <alignment vertical="center"/>
    </xf>
    <xf numFmtId="0" fontId="2" fillId="0" borderId="0" applyNumberFormat="0" applyFont="0" applyFill="0" applyBorder="0" applyAlignment="0" applyProtection="0"/>
    <xf numFmtId="0" fontId="10" fillId="0" borderId="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 fillId="69" borderId="124" applyFont="0">
      <alignment horizontal="right"/>
    </xf>
    <xf numFmtId="0" fontId="10" fillId="0" borderId="0"/>
    <xf numFmtId="3" fontId="2" fillId="69" borderId="124"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87" fontId="2" fillId="69" borderId="124" applyFont="0">
      <alignment horizontal="right"/>
    </xf>
    <xf numFmtId="0" fontId="10" fillId="0" borderId="0"/>
    <xf numFmtId="187" fontId="2" fillId="69" borderId="124" applyFont="0">
      <alignment horizontal="right"/>
    </xf>
    <xf numFmtId="0" fontId="2" fillId="0" borderId="0" applyNumberFormat="0" applyFont="0" applyFill="0" applyBorder="0" applyAlignment="0" applyProtection="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2" fillId="69" borderId="124" applyFont="0">
      <alignment horizontal="right"/>
    </xf>
    <xf numFmtId="0" fontId="10" fillId="0" borderId="0"/>
    <xf numFmtId="260" fontId="2" fillId="69" borderId="124" applyFont="0">
      <alignment horizontal="right"/>
    </xf>
    <xf numFmtId="0" fontId="2" fillId="0" borderId="0" applyNumberFormat="0" applyFont="0" applyFill="0" applyBorder="0" applyAlignment="0" applyProtection="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69" borderId="124" applyFont="0">
      <alignment horizontal="right"/>
    </xf>
    <xf numFmtId="0" fontId="10" fillId="0" borderId="0"/>
    <xf numFmtId="10" fontId="2" fillId="69" borderId="124" applyFont="0">
      <alignment horizontal="right"/>
    </xf>
    <xf numFmtId="0" fontId="2" fillId="0" borderId="0" applyNumberFormat="0" applyFont="0" applyFill="0" applyBorder="0" applyAlignment="0" applyProtection="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69" borderId="124" applyFont="0">
      <alignment horizontal="right"/>
    </xf>
    <xf numFmtId="0" fontId="10" fillId="0" borderId="0"/>
    <xf numFmtId="9" fontId="2" fillId="69" borderId="124" applyFont="0">
      <alignment horizontal="right"/>
    </xf>
    <xf numFmtId="0" fontId="2" fillId="0" borderId="0" applyNumberFormat="0" applyFont="0" applyFill="0" applyBorder="0" applyAlignment="0" applyProtection="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48" fontId="2" fillId="69" borderId="124" applyFont="0">
      <alignment horizontal="center" wrapText="1"/>
    </xf>
    <xf numFmtId="0" fontId="10" fillId="0" borderId="0"/>
    <xf numFmtId="348" fontId="2" fillId="69" borderId="124" applyFont="0">
      <alignment horizontal="center" wrapText="1"/>
    </xf>
    <xf numFmtId="0" fontId="2" fillId="0" borderId="0" applyNumberFormat="0" applyFont="0" applyFill="0" applyBorder="0" applyAlignment="0" applyProtection="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65" fontId="308"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3" applyNumberFormat="0" applyBorder="0">
      <alignment horizontal="centerContinuous"/>
    </xf>
    <xf numFmtId="0" fontId="309" fillId="105" borderId="173" applyNumberFormat="0" applyBorder="0">
      <alignment horizontal="centerContinuous"/>
    </xf>
    <xf numFmtId="0" fontId="309" fillId="105" borderId="173" applyNumberFormat="0" applyBorder="0">
      <alignment horizontal="centerContinuous"/>
    </xf>
    <xf numFmtId="0" fontId="309" fillId="105" borderId="173"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45" fillId="0" borderId="0" applyNumberFormat="0"/>
    <xf numFmtId="0" fontId="10" fillId="0" borderId="0"/>
    <xf numFmtId="165"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6" applyBorder="0"/>
    <xf numFmtId="3" fontId="2" fillId="68" borderId="126" applyBorder="0"/>
    <xf numFmtId="3" fontId="2" fillId="68" borderId="126" applyBorder="0"/>
    <xf numFmtId="3" fontId="2" fillId="68" borderId="126" applyBorder="0"/>
    <xf numFmtId="3" fontId="2" fillId="68" borderId="126" applyBorder="0"/>
    <xf numFmtId="0" fontId="10" fillId="0" borderId="0"/>
    <xf numFmtId="221"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1" fillId="0" borderId="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0" fillId="68" borderId="0">
      <alignment horizontal="center"/>
    </xf>
    <xf numFmtId="0" fontId="2" fillId="0" borderId="0" applyNumberFormat="0" applyFont="0" applyFill="0" applyBorder="0" applyAlignment="0" applyProtection="0"/>
    <xf numFmtId="0" fontId="10" fillId="0" borderId="0"/>
    <xf numFmtId="236"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4" applyNumberFormat="0" applyFont="0" applyFill="0" applyBorder="0" applyAlignment="0">
      <protection hidden="1"/>
    </xf>
    <xf numFmtId="0" fontId="10" fillId="0" borderId="0"/>
    <xf numFmtId="0" fontId="159" fillId="0" borderId="124" applyNumberFormat="0" applyFont="0" applyFill="0" applyBorder="0" applyAlignment="0">
      <protection hidden="1"/>
    </xf>
    <xf numFmtId="0" fontId="10" fillId="0" borderId="0"/>
    <xf numFmtId="0" fontId="159" fillId="0" borderId="124" applyNumberFormat="0" applyFont="0" applyFill="0" applyBorder="0" applyAlignment="0">
      <protection hidden="1"/>
    </xf>
    <xf numFmtId="0" fontId="159" fillId="0" borderId="124" applyNumberFormat="0" applyFont="0" applyFill="0" applyBorder="0" applyAlignment="0">
      <protection hidden="1"/>
    </xf>
    <xf numFmtId="0" fontId="159" fillId="0" borderId="124" applyNumberFormat="0" applyFont="0" applyFill="0" applyBorder="0" applyAlignment="0">
      <protection hidden="1"/>
    </xf>
    <xf numFmtId="0" fontId="159" fillId="0" borderId="124" applyNumberFormat="0" applyFont="0" applyFill="0" applyBorder="0" applyAlignment="0">
      <protection hidden="1"/>
    </xf>
    <xf numFmtId="3" fontId="208" fillId="0" borderId="133">
      <alignment vertical="center"/>
    </xf>
    <xf numFmtId="0" fontId="2" fillId="0" borderId="0" applyNumberFormat="0" applyFont="0" applyFill="0" applyBorder="0" applyAlignment="0" applyProtection="0"/>
    <xf numFmtId="0" fontId="10" fillId="0" borderId="0"/>
    <xf numFmtId="0" fontId="159" fillId="0" borderId="124" applyNumberFormat="0" applyFont="0" applyFill="0" applyBorder="0" applyAlignment="0">
      <protection hidden="1"/>
    </xf>
    <xf numFmtId="0" fontId="159" fillId="0" borderId="124" applyNumberFormat="0" applyFont="0" applyFill="0" applyBorder="0" applyAlignment="0">
      <protection hidden="1"/>
    </xf>
    <xf numFmtId="0" fontId="159" fillId="0" borderId="124" applyNumberFormat="0" applyFont="0" applyFill="0" applyBorder="0" applyAlignment="0">
      <protection hidden="1"/>
    </xf>
    <xf numFmtId="0" fontId="159" fillId="0" borderId="124" applyNumberFormat="0" applyFont="0" applyFill="0" applyBorder="0" applyAlignment="0">
      <protection hidden="1"/>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 fontId="2" fillId="144" borderId="124" applyFont="0">
      <alignment horizontal="right"/>
    </xf>
    <xf numFmtId="0" fontId="10" fillId="0" borderId="0"/>
    <xf numFmtId="1" fontId="2" fillId="144" borderId="124" applyFont="0">
      <alignment horizontal="right"/>
    </xf>
    <xf numFmtId="0" fontId="2" fillId="0" borderId="0" applyNumberFormat="0" applyFont="0" applyFill="0" applyBorder="0" applyAlignment="0" applyProtection="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04" fontId="2" fillId="144" borderId="124" applyFont="0"/>
    <xf numFmtId="0" fontId="10" fillId="0" borderId="0"/>
    <xf numFmtId="304" fontId="2" fillId="144" borderId="124" applyFont="0"/>
    <xf numFmtId="0" fontId="2" fillId="0" borderId="0" applyNumberFormat="0" applyFont="0" applyFill="0" applyBorder="0" applyAlignment="0" applyProtection="0"/>
    <xf numFmtId="304" fontId="2" fillId="144" borderId="124" applyFont="0"/>
    <xf numFmtId="304" fontId="2" fillId="144" borderId="124" applyFont="0"/>
    <xf numFmtId="304" fontId="2" fillId="144" borderId="124" applyFont="0"/>
    <xf numFmtId="304" fontId="2" fillId="144" borderId="124" applyFont="0"/>
    <xf numFmtId="3" fontId="208" fillId="0" borderId="133">
      <alignment vertical="center"/>
    </xf>
    <xf numFmtId="0" fontId="2" fillId="0" borderId="0" applyNumberFormat="0" applyFont="0" applyFill="0" applyBorder="0" applyAlignment="0" applyProtection="0"/>
    <xf numFmtId="0" fontId="10" fillId="0" borderId="0"/>
    <xf numFmtId="304" fontId="2" fillId="144" borderId="124" applyFont="0"/>
    <xf numFmtId="304" fontId="2" fillId="144" borderId="124" applyFont="0"/>
    <xf numFmtId="304" fontId="2" fillId="144" borderId="124" applyFont="0"/>
    <xf numFmtId="304" fontId="2" fillId="144" borderId="124"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144" borderId="124" applyFont="0">
      <alignment horizontal="right"/>
    </xf>
    <xf numFmtId="0" fontId="10" fillId="0" borderId="0"/>
    <xf numFmtId="9" fontId="2" fillId="144" borderId="124" applyFont="0">
      <alignment horizontal="right"/>
    </xf>
    <xf numFmtId="0" fontId="2" fillId="0" borderId="0" applyNumberFormat="0" applyFont="0" applyFill="0" applyBorder="0" applyAlignment="0" applyProtection="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1" fontId="2" fillId="144" borderId="124" applyFont="0">
      <alignment horizontal="right"/>
    </xf>
    <xf numFmtId="0" fontId="10" fillId="0" borderId="0"/>
    <xf numFmtId="331" fontId="2" fillId="144" borderId="124" applyFont="0">
      <alignment horizontal="right"/>
    </xf>
    <xf numFmtId="0" fontId="2" fillId="0" borderId="0" applyNumberFormat="0" applyFont="0" applyFill="0" applyBorder="0" applyAlignment="0" applyProtection="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144" borderId="124" applyFont="0">
      <alignment horizontal="right"/>
    </xf>
    <xf numFmtId="0" fontId="10" fillId="0" borderId="0"/>
    <xf numFmtId="10" fontId="2" fillId="144" borderId="124" applyFont="0">
      <alignment horizontal="right"/>
    </xf>
    <xf numFmtId="0" fontId="2" fillId="0" borderId="0" applyNumberFormat="0" applyFont="0" applyFill="0" applyBorder="0" applyAlignment="0" applyProtection="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144" borderId="124" applyFont="0">
      <alignment horizontal="center" wrapText="1"/>
    </xf>
    <xf numFmtId="0" fontId="10" fillId="0" borderId="0"/>
    <xf numFmtId="0" fontId="2" fillId="144" borderId="124" applyFont="0">
      <alignment horizontal="center" wrapText="1"/>
    </xf>
    <xf numFmtId="0" fontId="2" fillId="0" borderId="0" applyNumberFormat="0" applyFont="0" applyFill="0" applyBorder="0" applyAlignment="0" applyProtection="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144" borderId="124" applyFont="0"/>
    <xf numFmtId="0" fontId="10" fillId="0" borderId="0"/>
    <xf numFmtId="0" fontId="10" fillId="0" borderId="0"/>
    <xf numFmtId="3" fontId="208" fillId="0" borderId="133">
      <alignment vertical="center"/>
    </xf>
    <xf numFmtId="0" fontId="10" fillId="0" borderId="0"/>
    <xf numFmtId="0" fontId="10" fillId="0" borderId="0"/>
    <xf numFmtId="49" fontId="2" fillId="144" borderId="124" applyFont="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304" fontId="2" fillId="145" borderId="124" applyFont="0"/>
    <xf numFmtId="0" fontId="10" fillId="0" borderId="0"/>
    <xf numFmtId="304" fontId="2" fillId="145" borderId="124" applyFont="0"/>
    <xf numFmtId="0" fontId="2" fillId="0" borderId="0" applyNumberFormat="0" applyFont="0" applyFill="0" applyBorder="0" applyAlignment="0" applyProtection="0"/>
    <xf numFmtId="304" fontId="2" fillId="145" borderId="124" applyFont="0"/>
    <xf numFmtId="304" fontId="2" fillId="145" borderId="124" applyFont="0"/>
    <xf numFmtId="304" fontId="2" fillId="145" borderId="124" applyFont="0"/>
    <xf numFmtId="304" fontId="2" fillId="145" borderId="124" applyFont="0"/>
    <xf numFmtId="3" fontId="208" fillId="0" borderId="133">
      <alignment vertical="center"/>
    </xf>
    <xf numFmtId="0" fontId="2" fillId="0" borderId="0" applyNumberFormat="0" applyFont="0" applyFill="0" applyBorder="0" applyAlignment="0" applyProtection="0"/>
    <xf numFmtId="0" fontId="10" fillId="0" borderId="0"/>
    <xf numFmtId="304" fontId="2" fillId="145" borderId="124" applyFont="0"/>
    <xf numFmtId="304" fontId="2" fillId="145" borderId="124" applyFont="0"/>
    <xf numFmtId="304" fontId="2" fillId="145" borderId="124" applyFont="0"/>
    <xf numFmtId="304" fontId="2" fillId="145" borderId="124"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145" borderId="124" applyFont="0">
      <alignment horizontal="right"/>
    </xf>
    <xf numFmtId="0" fontId="10" fillId="0" borderId="0"/>
    <xf numFmtId="9" fontId="2" fillId="145" borderId="124" applyFont="0">
      <alignment horizontal="right"/>
    </xf>
    <xf numFmtId="0" fontId="2" fillId="0" borderId="0" applyNumberFormat="0" applyFont="0" applyFill="0" applyBorder="0" applyAlignment="0" applyProtection="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04" fontId="2" fillId="93" borderId="124" applyFont="0">
      <alignment horizontal="right"/>
    </xf>
    <xf numFmtId="0" fontId="10" fillId="0" borderId="0"/>
    <xf numFmtId="304" fontId="2" fillId="93" borderId="124" applyFont="0">
      <alignment horizontal="right"/>
    </xf>
    <xf numFmtId="0" fontId="2" fillId="0" borderId="0" applyNumberFormat="0" applyFont="0" applyFill="0" applyBorder="0" applyAlignment="0" applyProtection="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 fontId="2" fillId="93" borderId="124" applyFont="0">
      <alignment horizontal="right"/>
    </xf>
    <xf numFmtId="0" fontId="10" fillId="0" borderId="0"/>
    <xf numFmtId="1" fontId="2" fillId="93" borderId="124" applyFont="0">
      <alignment horizontal="right"/>
    </xf>
    <xf numFmtId="0" fontId="2" fillId="0" borderId="0" applyNumberFormat="0" applyFont="0" applyFill="0" applyBorder="0" applyAlignment="0" applyProtection="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04" fontId="2" fillId="93" borderId="124" applyFont="0"/>
    <xf numFmtId="0" fontId="10" fillId="0" borderId="0"/>
    <xf numFmtId="304" fontId="2" fillId="93" borderId="124" applyFont="0"/>
    <xf numFmtId="0" fontId="2" fillId="0" borderId="0" applyNumberFormat="0" applyFont="0" applyFill="0" applyBorder="0" applyAlignment="0" applyProtection="0"/>
    <xf numFmtId="304" fontId="2" fillId="93" borderId="124" applyFont="0"/>
    <xf numFmtId="304" fontId="2" fillId="93" borderId="124" applyFont="0"/>
    <xf numFmtId="304" fontId="2" fillId="93" borderId="124" applyFont="0"/>
    <xf numFmtId="304" fontId="2" fillId="93" borderId="124" applyFont="0"/>
    <xf numFmtId="3" fontId="208" fillId="0" borderId="133">
      <alignment vertical="center"/>
    </xf>
    <xf numFmtId="0" fontId="2" fillId="0" borderId="0" applyNumberFormat="0" applyFont="0" applyFill="0" applyBorder="0" applyAlignment="0" applyProtection="0"/>
    <xf numFmtId="0" fontId="10" fillId="0" borderId="0"/>
    <xf numFmtId="304" fontId="2" fillId="93" borderId="124" applyFont="0"/>
    <xf numFmtId="304" fontId="2" fillId="93" borderId="124" applyFont="0"/>
    <xf numFmtId="304" fontId="2" fillId="93" borderId="124" applyFont="0"/>
    <xf numFmtId="304" fontId="2" fillId="93" borderId="124"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2" fillId="93" borderId="124" applyFont="0"/>
    <xf numFmtId="0" fontId="10" fillId="0" borderId="0"/>
    <xf numFmtId="260" fontId="2" fillId="93" borderId="124" applyFont="0"/>
    <xf numFmtId="0" fontId="2" fillId="0" borderId="0" applyNumberFormat="0" applyFont="0" applyFill="0" applyBorder="0" applyAlignment="0" applyProtection="0"/>
    <xf numFmtId="260" fontId="2" fillId="93" borderId="124" applyFont="0"/>
    <xf numFmtId="260" fontId="2" fillId="93" borderId="124" applyFont="0"/>
    <xf numFmtId="260" fontId="2" fillId="93" borderId="124" applyFont="0"/>
    <xf numFmtId="260" fontId="2" fillId="93" borderId="124" applyFont="0"/>
    <xf numFmtId="3" fontId="208" fillId="0" borderId="133">
      <alignment vertical="center"/>
    </xf>
    <xf numFmtId="0" fontId="2" fillId="0" borderId="0" applyNumberFormat="0" applyFont="0" applyFill="0" applyBorder="0" applyAlignment="0" applyProtection="0"/>
    <xf numFmtId="0" fontId="10" fillId="0" borderId="0"/>
    <xf numFmtId="260" fontId="2" fillId="93" borderId="124" applyFont="0"/>
    <xf numFmtId="260" fontId="2" fillId="93" borderId="124" applyFont="0"/>
    <xf numFmtId="260" fontId="2" fillId="93" borderId="124" applyFont="0"/>
    <xf numFmtId="260" fontId="2" fillId="93" borderId="124"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93" borderId="124" applyFont="0">
      <alignment horizontal="right"/>
    </xf>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93" borderId="124" applyFont="0">
      <alignment horizontal="right"/>
    </xf>
    <xf numFmtId="0" fontId="10" fillId="0" borderId="0"/>
    <xf numFmtId="9" fontId="2" fillId="93" borderId="124" applyFont="0">
      <alignment horizontal="right"/>
    </xf>
    <xf numFmtId="0" fontId="2" fillId="0" borderId="0" applyNumberFormat="0" applyFont="0" applyFill="0" applyBorder="0" applyAlignment="0" applyProtection="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1" fontId="2" fillId="93" borderId="124" applyFont="0">
      <alignment horizontal="right"/>
    </xf>
    <xf numFmtId="0" fontId="10" fillId="0" borderId="0"/>
    <xf numFmtId="331" fontId="2" fillId="93" borderId="124" applyFont="0">
      <alignment horizontal="right"/>
    </xf>
    <xf numFmtId="0" fontId="2" fillId="0" borderId="0" applyNumberFormat="0" applyFont="0" applyFill="0" applyBorder="0" applyAlignment="0" applyProtection="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93" borderId="127"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93" borderId="124" applyFont="0">
      <alignment horizontal="center" wrapText="1"/>
      <protection locked="0"/>
    </xf>
    <xf numFmtId="0" fontId="10" fillId="0" borderId="0"/>
    <xf numFmtId="0" fontId="2" fillId="93" borderId="124" applyFont="0">
      <alignment horizontal="center" wrapText="1"/>
      <protection locked="0"/>
    </xf>
    <xf numFmtId="0" fontId="2" fillId="0" borderId="0" applyNumberFormat="0" applyFont="0" applyFill="0" applyBorder="0" applyAlignment="0" applyProtection="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93" borderId="124" applyFont="0"/>
    <xf numFmtId="0" fontId="10" fillId="0" borderId="0"/>
    <xf numFmtId="0" fontId="10" fillId="0" borderId="0"/>
    <xf numFmtId="3" fontId="208" fillId="0" borderId="133">
      <alignment vertical="center"/>
    </xf>
    <xf numFmtId="0" fontId="10" fillId="0" borderId="0"/>
    <xf numFmtId="0" fontId="10" fillId="0" borderId="0"/>
    <xf numFmtId="49" fontId="2" fillId="93" borderId="124" applyFont="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315" fillId="0" borderId="174" applyNumberFormat="0" applyAlignment="0" applyProtection="0"/>
    <xf numFmtId="0" fontId="316"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6"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6" applyNumberFormat="0" applyProtection="0">
      <alignment horizontal="left" vertical="top"/>
    </xf>
    <xf numFmtId="0" fontId="319" fillId="0" borderId="126" applyNumberFormat="0" applyProtection="0">
      <alignment horizontal="left" vertical="top"/>
    </xf>
    <xf numFmtId="0" fontId="2" fillId="0" borderId="0" applyNumberFormat="0" applyFont="0" applyFill="0" applyBorder="0" applyAlignment="0" applyProtection="0"/>
    <xf numFmtId="0" fontId="319" fillId="0" borderId="126" applyNumberFormat="0" applyProtection="0">
      <alignment horizontal="right" vertical="top"/>
    </xf>
    <xf numFmtId="0" fontId="319" fillId="0" borderId="126" applyNumberFormat="0" applyProtection="0">
      <alignment horizontal="right" vertical="top"/>
    </xf>
    <xf numFmtId="0" fontId="319" fillId="0" borderId="126" applyNumberFormat="0" applyProtection="0">
      <alignment horizontal="right" vertical="top"/>
    </xf>
    <xf numFmtId="0" fontId="319" fillId="0" borderId="126" applyNumberFormat="0" applyProtection="0">
      <alignment horizontal="right" vertical="top"/>
    </xf>
    <xf numFmtId="0" fontId="319" fillId="0" borderId="126"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20" fillId="0" borderId="0" applyNumberFormat="0" applyFill="0" applyBorder="0" applyProtection="0">
      <alignment horizontal="right" vertical="top"/>
    </xf>
    <xf numFmtId="0" fontId="316" fillId="0" borderId="126" applyNumberFormat="0" applyFill="0" applyAlignment="0" applyProtection="0"/>
    <xf numFmtId="0" fontId="316" fillId="0" borderId="126" applyNumberFormat="0" applyFill="0" applyAlignment="0" applyProtection="0"/>
    <xf numFmtId="0" fontId="316" fillId="0" borderId="126" applyNumberFormat="0" applyFill="0" applyAlignment="0" applyProtection="0"/>
    <xf numFmtId="0" fontId="316" fillId="0" borderId="126" applyNumberFormat="0" applyFill="0" applyAlignment="0" applyProtection="0"/>
    <xf numFmtId="0" fontId="316" fillId="0" borderId="126" applyNumberFormat="0" applyFill="0" applyAlignment="0" applyProtection="0"/>
    <xf numFmtId="0" fontId="315" fillId="0" borderId="104" applyNumberFormat="0" applyFont="0" applyFill="0" applyAlignment="0" applyProtection="0">
      <alignment horizontal="left" vertical="top"/>
    </xf>
    <xf numFmtId="0" fontId="315" fillId="0" borderId="104" applyNumberFormat="0" applyFont="0" applyFill="0" applyAlignment="0" applyProtection="0">
      <alignment horizontal="left" vertical="top"/>
    </xf>
    <xf numFmtId="0" fontId="315" fillId="0" borderId="104" applyNumberFormat="0" applyFont="0" applyFill="0" applyAlignment="0" applyProtection="0">
      <alignment horizontal="left" vertical="top"/>
    </xf>
    <xf numFmtId="0" fontId="315" fillId="0" borderId="104" applyNumberFormat="0" applyFont="0" applyFill="0" applyAlignment="0" applyProtection="0">
      <alignment horizontal="left" vertical="top"/>
    </xf>
    <xf numFmtId="0" fontId="315" fillId="0" borderId="104" applyNumberFormat="0" applyFont="0" applyFill="0" applyAlignment="0" applyProtection="0">
      <alignment horizontal="left" vertical="top"/>
    </xf>
    <xf numFmtId="0" fontId="316" fillId="0" borderId="108" applyNumberFormat="0" applyFill="0" applyAlignment="0" applyProtection="0">
      <alignment vertical="top"/>
    </xf>
    <xf numFmtId="0" fontId="316" fillId="0" borderId="108" applyNumberFormat="0" applyFill="0" applyAlignment="0" applyProtection="0">
      <alignment vertical="top"/>
    </xf>
    <xf numFmtId="349"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77" fontId="321"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lignment horizontal="centerContinuous"/>
    </xf>
    <xf numFmtId="0" fontId="10" fillId="0" borderId="0"/>
    <xf numFmtId="0" fontId="10" fillId="0" borderId="0"/>
    <xf numFmtId="3" fontId="208" fillId="0" borderId="133">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8"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51" fontId="327" fillId="0" borderId="0">
      <protection locked="0"/>
    </xf>
    <xf numFmtId="351"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103"/>
    <xf numFmtId="0" fontId="10" fillId="0" borderId="0"/>
    <xf numFmtId="0" fontId="330" fillId="0" borderId="103"/>
    <xf numFmtId="0" fontId="10" fillId="0" borderId="0"/>
    <xf numFmtId="0" fontId="330" fillId="0" borderId="103"/>
    <xf numFmtId="0" fontId="10" fillId="0" borderId="0"/>
    <xf numFmtId="0" fontId="330" fillId="0" borderId="103"/>
    <xf numFmtId="0" fontId="330" fillId="0" borderId="103"/>
    <xf numFmtId="246" fontId="252" fillId="0" borderId="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08"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200" fillId="0" borderId="180">
      <alignment horizontal="right"/>
    </xf>
    <xf numFmtId="0" fontId="271"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81" applyProtection="0">
      <alignment horizontal="center"/>
    </xf>
    <xf numFmtId="0" fontId="271" fillId="0" borderId="181" applyProtection="0">
      <alignment horizontal="center"/>
    </xf>
    <xf numFmtId="0" fontId="271" fillId="0" borderId="181" applyProtection="0">
      <alignment horizontal="center"/>
    </xf>
    <xf numFmtId="0" fontId="271" fillId="0" borderId="181" applyProtection="0">
      <alignment horizont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3" fillId="69" borderId="0">
      <alignment horizontal="center"/>
    </xf>
    <xf numFmtId="0" fontId="103" fillId="69" borderId="0">
      <alignment horizontal="center"/>
    </xf>
    <xf numFmtId="3" fontId="208" fillId="0" borderId="133">
      <alignment vertical="center"/>
    </xf>
    <xf numFmtId="0" fontId="331" fillId="104" borderId="0" applyNumberFormat="0" applyBorder="0"/>
    <xf numFmtId="0" fontId="184" fillId="0" borderId="182" applyNumberFormat="0" applyFont="0" applyFill="0" applyAlignment="0"/>
    <xf numFmtId="0" fontId="332" fillId="0" borderId="12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78" fillId="0" borderId="63" applyNumberFormat="0" applyBorder="0">
      <protection locked="0"/>
    </xf>
    <xf numFmtId="37" fontId="333" fillId="111" borderId="0"/>
    <xf numFmtId="37" fontId="159" fillId="150" borderId="124" applyNumberFormat="0" applyAlignment="0" applyProtection="0"/>
    <xf numFmtId="0" fontId="2" fillId="0" borderId="0" applyNumberFormat="0" applyFont="0" applyFill="0" applyBorder="0" applyAlignment="0" applyProtection="0"/>
    <xf numFmtId="37" fontId="159" fillId="150" borderId="124" applyNumberFormat="0" applyAlignment="0" applyProtection="0"/>
    <xf numFmtId="37" fontId="159" fillId="150" borderId="124" applyNumberFormat="0" applyAlignment="0" applyProtection="0"/>
    <xf numFmtId="37" fontId="159" fillId="150" borderId="124" applyNumberFormat="0" applyAlignment="0" applyProtection="0"/>
    <xf numFmtId="37" fontId="159" fillId="150" borderId="124" applyNumberFormat="0" applyAlignment="0" applyProtection="0"/>
    <xf numFmtId="3" fontId="208" fillId="0" borderId="133">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1"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08">
      <alignment horizontal="center"/>
    </xf>
    <xf numFmtId="43" fontId="2" fillId="0" borderId="0" applyNumberFormat="0" applyFont="0" applyBorder="0" applyAlignment="0">
      <protection locked="0"/>
    </xf>
    <xf numFmtId="2" fontId="333" fillId="111" borderId="0" applyNumberFormat="0" applyFill="0" applyBorder="0" applyAlignment="0" applyProtection="0"/>
    <xf numFmtId="352"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4"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38" fontId="2" fillId="0" borderId="0"/>
    <xf numFmtId="2" fontId="232" fillId="69" borderId="124"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165" fontId="338"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354" fontId="2" fillId="0" borderId="0" applyFont="0" applyFill="0" applyBorder="0" applyAlignment="0" applyProtection="0"/>
    <xf numFmtId="355" fontId="253"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0"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3">
      <alignment vertical="center"/>
    </xf>
    <xf numFmtId="0" fontId="308" fillId="0" borderId="0" applyProtection="0">
      <alignment horizontal="center"/>
    </xf>
    <xf numFmtId="0" fontId="10" fillId="0" borderId="0"/>
    <xf numFmtId="3" fontId="208" fillId="0" borderId="133">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3">
      <alignment vertical="center"/>
    </xf>
    <xf numFmtId="0" fontId="45" fillId="0" borderId="0" applyNumberFormat="0" applyFill="0" applyBorder="0" applyProtection="0">
      <alignment horizontal="left"/>
    </xf>
    <xf numFmtId="331"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57" fontId="103" fillId="0" borderId="0"/>
    <xf numFmtId="357" fontId="103" fillId="0" borderId="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45" fillId="0" borderId="183" applyNumberFormat="0"/>
    <xf numFmtId="14" fontId="159" fillId="0" borderId="0" applyFont="0" applyFill="0" applyBorder="0" applyProtection="0"/>
    <xf numFmtId="16" fontId="159" fillId="0" borderId="0" applyFont="0" applyFill="0" applyBorder="0" applyProtection="0"/>
    <xf numFmtId="3" fontId="208" fillId="0" borderId="133">
      <alignment vertical="center"/>
    </xf>
    <xf numFmtId="358" fontId="342"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08" fontId="344" fillId="0" borderId="0" applyFont="0" applyFill="0" applyBorder="0" applyAlignment="0" applyProtection="0"/>
    <xf numFmtId="209" fontId="344" fillId="0" borderId="0" applyFont="0" applyFill="0" applyBorder="0" applyAlignment="0" applyProtection="0"/>
    <xf numFmtId="207" fontId="344" fillId="0" borderId="0" applyFont="0" applyFill="0" applyBorder="0" applyAlignment="0" applyProtection="0"/>
    <xf numFmtId="210"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5"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6" fillId="69" borderId="189" applyNumberFormat="0" applyFill="0" applyBorder="0" applyAlignment="0" applyProtection="0">
      <alignment horizontal="left"/>
    </xf>
    <xf numFmtId="0" fontId="1" fillId="0" borderId="0"/>
    <xf numFmtId="0" fontId="173" fillId="0" borderId="194"/>
    <xf numFmtId="244" fontId="175"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247"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247" fontId="178" fillId="107" borderId="190" applyNumberFormat="0" applyFill="0" applyBorder="0" applyAlignment="0" applyProtection="0"/>
    <xf numFmtId="0"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247" fontId="178" fillId="107" borderId="190" applyNumberFormat="0" applyFill="0" applyBorder="0" applyAlignment="0" applyProtection="0"/>
    <xf numFmtId="0" fontId="178" fillId="107" borderId="190" applyNumberFormat="0" applyFill="0" applyBorder="0" applyAlignment="0" applyProtection="0"/>
    <xf numFmtId="0" fontId="182" fillId="108" borderId="196" applyNumberFormat="0" applyAlignment="0" applyProtection="0"/>
    <xf numFmtId="0" fontId="182" fillId="108" borderId="196" applyNumberFormat="0" applyAlignment="0" applyProtection="0"/>
    <xf numFmtId="252" fontId="103" fillId="0" borderId="196" applyNumberFormat="0" applyFont="0" applyFill="0" applyAlignment="0">
      <alignment vertical="center"/>
    </xf>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252" fontId="103" fillId="0" borderId="196" applyNumberFormat="0" applyFont="0" applyFill="0" applyAlignment="0">
      <alignment vertical="center"/>
    </xf>
    <xf numFmtId="0" fontId="103" fillId="0" borderId="196" applyNumberFormat="0" applyFont="0" applyFill="0"/>
    <xf numFmtId="252" fontId="103" fillId="0" borderId="196" applyNumberFormat="0" applyFont="0" applyFill="0" applyAlignment="0">
      <alignment vertical="center"/>
    </xf>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200" fillId="0" borderId="185" applyNumberFormat="0" applyFont="0" applyFill="0" applyAlignment="0" applyProtection="0"/>
    <xf numFmtId="0" fontId="148" fillId="0" borderId="189" applyNumberFormat="0" applyFont="0" applyFill="0" applyAlignment="0" applyProtection="0"/>
    <xf numFmtId="0" fontId="148" fillId="0" borderId="189" applyNumberFormat="0" applyFont="0" applyFill="0" applyAlignment="0" applyProtection="0"/>
    <xf numFmtId="0" fontId="148" fillId="0" borderId="189"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3" fontId="45" fillId="41" borderId="189">
      <protection hidden="1"/>
    </xf>
    <xf numFmtId="0" fontId="203" fillId="0" borderId="189" applyBorder="0"/>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vertical="center"/>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201" fontId="208"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9" fillId="0" borderId="197" applyNumberFormat="0" applyFill="0" applyBorder="0" applyAlignment="0" applyProtection="0">
      <alignment horizontal="center"/>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1" fillId="0" borderId="0" applyFont="0" applyFill="0" applyBorder="0" applyAlignment="0" applyProtection="0">
      <alignment horizontal="righ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0" fontId="231" fillId="120" borderId="190" applyNumberFormat="0" applyBorder="0" applyAlignment="0">
      <alignment horizontal="center"/>
      <protection locked="0"/>
    </xf>
    <xf numFmtId="0" fontId="231" fillId="120" borderId="190" applyNumberFormat="0" applyBorder="0" applyAlignment="0">
      <alignment horizontal="center"/>
      <protection locked="0"/>
    </xf>
    <xf numFmtId="3" fontId="232" fillId="121" borderId="197" applyNumberFormat="0" applyBorder="0" applyAlignment="0" applyProtection="0">
      <protection hidden="1"/>
    </xf>
    <xf numFmtId="281"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2" fontId="232" fillId="129" borderId="195" applyNumberFormat="0" applyBorder="0" applyAlignment="0" applyProtection="0">
      <alignment horizontal="center"/>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17" fontId="159" fillId="0" borderId="195" applyBorder="0"/>
    <xf numFmtId="253" fontId="227"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2" fillId="107" borderId="190" applyNumberFormat="0" applyBorder="0" applyAlignment="0">
      <protection locked="0"/>
    </xf>
    <xf numFmtId="3" fontId="208" fillId="0" borderId="133">
      <alignment vertical="center"/>
    </xf>
    <xf numFmtId="37" fontId="200" fillId="0" borderId="0" applyNumberFormat="0" applyFill="0" applyAlignment="0"/>
    <xf numFmtId="0" fontId="282" fillId="104" borderId="191">
      <alignment horizontal="center" vertical="top" wrapText="1"/>
    </xf>
    <xf numFmtId="0" fontId="282" fillId="104" borderId="191">
      <alignment horizontal="center" vertical="top" wrapText="1"/>
    </xf>
    <xf numFmtId="0" fontId="282" fillId="104" borderId="191">
      <alignment horizontal="center" vertical="top" wrapText="1"/>
    </xf>
    <xf numFmtId="0" fontId="282"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82" fillId="132" borderId="191">
      <alignment horizontal="center" vertical="top"/>
    </xf>
    <xf numFmtId="0" fontId="282"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3" fillId="70" borderId="197"/>
    <xf numFmtId="0" fontId="283"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2" fillId="132" borderId="191">
      <alignment horizontal="center" vertical="top" wrapText="1"/>
    </xf>
    <xf numFmtId="0" fontId="282" fillId="132" borderId="191">
      <alignment horizontal="center" vertical="top" wrapText="1"/>
    </xf>
    <xf numFmtId="0" fontId="282" fillId="132" borderId="191">
      <alignment horizontal="center" vertical="top" wrapText="1"/>
    </xf>
    <xf numFmtId="0" fontId="282"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2" fillId="132" borderId="192">
      <alignment horizontal="center" vertical="center"/>
    </xf>
    <xf numFmtId="0" fontId="282" fillId="132" borderId="192">
      <alignment horizontal="center" vertical="center"/>
    </xf>
    <xf numFmtId="0" fontId="282" fillId="132" borderId="191">
      <alignment horizontal="center" vertical="center"/>
    </xf>
    <xf numFmtId="0" fontId="282" fillId="132" borderId="191">
      <alignment horizontal="center" vertical="center"/>
    </xf>
    <xf numFmtId="0" fontId="282" fillId="132" borderId="191">
      <alignment horizontal="center" vertical="center"/>
    </xf>
    <xf numFmtId="0" fontId="282" fillId="132" borderId="191">
      <alignment horizontal="center" vertical="center"/>
    </xf>
    <xf numFmtId="0" fontId="282" fillId="104" borderId="186">
      <alignment horizontal="center" vertical="center"/>
    </xf>
    <xf numFmtId="0" fontId="282" fillId="104" borderId="186">
      <alignment horizontal="center" vertical="center"/>
    </xf>
    <xf numFmtId="0" fontId="282" fillId="104" borderId="186">
      <alignment horizontal="center" vertical="center"/>
    </xf>
    <xf numFmtId="0" fontId="282" fillId="104" borderId="186">
      <alignment horizontal="center" vertical="center"/>
    </xf>
    <xf numFmtId="0" fontId="282" fillId="104" borderId="192">
      <alignment horizontal="center" vertical="center"/>
    </xf>
    <xf numFmtId="0" fontId="282" fillId="104" borderId="192">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5"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3" fontId="232" fillId="134" borderId="195" applyNumberFormat="0" applyBorder="0" applyAlignment="0" applyProtection="0">
      <alignment horizontal="center"/>
      <protection hidden="1"/>
    </xf>
    <xf numFmtId="3" fontId="286" fillId="57" borderId="190" applyNumberFormat="0" applyBorder="0" applyAlignment="0" applyProtection="0">
      <protection hidden="1"/>
    </xf>
    <xf numFmtId="3" fontId="287"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59"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6"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2" fillId="0" borderId="195" applyNumberFormat="0" applyFill="0" applyBorder="0" applyAlignment="0" applyProtection="0">
      <alignment horizontal="center"/>
      <protection locked="0"/>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19" fillId="0" borderId="192" applyNumberFormat="0" applyProtection="0">
      <alignment horizontal="left" vertical="top"/>
    </xf>
    <xf numFmtId="0" fontId="319" fillId="0" borderId="192" applyNumberFormat="0" applyProtection="0">
      <alignment horizontal="left" vertical="top"/>
    </xf>
    <xf numFmtId="0" fontId="319" fillId="0" borderId="192" applyNumberFormat="0" applyProtection="0">
      <alignment horizontal="lef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4" fillId="0" borderId="189" applyFill="0" applyBorder="0" applyProtection="0">
      <alignment horizontal="left" vertical="top"/>
    </xf>
    <xf numFmtId="0" fontId="184" fillId="131" borderId="201" applyNumberFormat="0" applyFont="0">
      <alignment horizontal="center" vertical="center"/>
    </xf>
    <xf numFmtId="350" fontId="45" fillId="68" borderId="197" applyNumberFormat="0" applyBorder="0" applyAlignment="0">
      <alignment horizontal="right"/>
    </xf>
    <xf numFmtId="0" fontId="330" fillId="0" borderId="187"/>
    <xf numFmtId="0" fontId="330" fillId="0" borderId="187"/>
    <xf numFmtId="0" fontId="330" fillId="0" borderId="187"/>
    <xf numFmtId="0" fontId="330" fillId="0" borderId="187"/>
    <xf numFmtId="0" fontId="330"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332" fillId="0" borderId="197" applyNumberFormat="0" applyFill="0" applyBorder="0" applyAlignment="0" applyProtection="0">
      <alignment horizontal="center"/>
      <protection locked="0"/>
    </xf>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2" fillId="69" borderId="190" applyBorder="0" applyAlignment="0"/>
    <xf numFmtId="165" fontId="338" fillId="69" borderId="189">
      <alignment horizontal="center"/>
    </xf>
    <xf numFmtId="0" fontId="345" fillId="0" borderId="0" applyNumberFormat="0" applyFill="0" applyBorder="0" applyAlignment="0" applyProtection="0"/>
    <xf numFmtId="0" fontId="1" fillId="0" borderId="0"/>
    <xf numFmtId="0" fontId="1" fillId="0" borderId="0"/>
  </cellStyleXfs>
  <cellXfs count="823">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1" fontId="84" fillId="0" borderId="3" xfId="0" applyNumberFormat="1" applyFont="1" applyBorder="1" applyAlignment="1" applyProtection="1">
      <alignment vertical="center" wrapText="1"/>
      <protection locked="0"/>
    </xf>
    <xf numFmtId="191" fontId="84" fillId="0" borderId="19" xfId="0" applyNumberFormat="1" applyFont="1" applyBorder="1" applyAlignment="1" applyProtection="1">
      <alignment vertical="center" wrapText="1"/>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1"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Alignment="1">
      <alignment horizontal="center"/>
    </xf>
    <xf numFmtId="167" fontId="84" fillId="0" borderId="58" xfId="0" applyNumberFormat="1" applyFont="1" applyBorder="1" applyAlignment="1">
      <alignment horizontal="center"/>
    </xf>
    <xf numFmtId="167" fontId="84" fillId="0" borderId="61" xfId="0" applyNumberFormat="1" applyFont="1" applyBorder="1" applyAlignment="1">
      <alignment horizontal="center"/>
    </xf>
    <xf numFmtId="167" fontId="84" fillId="0" borderId="62"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1" fontId="84" fillId="0" borderId="18" xfId="0" applyNumberFormat="1" applyFont="1" applyBorder="1"/>
    <xf numFmtId="191" fontId="84" fillId="0" borderId="19" xfId="0" applyNumberFormat="1" applyFont="1" applyBorder="1"/>
    <xf numFmtId="191" fontId="84" fillId="35" borderId="52" xfId="0" applyNumberFormat="1" applyFont="1" applyFill="1" applyBorder="1"/>
    <xf numFmtId="0" fontId="45" fillId="3" borderId="23" xfId="16" applyFont="1" applyFill="1" applyBorder="1" applyProtection="1">
      <protection locked="0"/>
    </xf>
    <xf numFmtId="191" fontId="84" fillId="35" borderId="21" xfId="0" applyNumberFormat="1" applyFont="1" applyFill="1" applyBorder="1"/>
    <xf numFmtId="191" fontId="84" fillId="35" borderId="23" xfId="0" applyNumberFormat="1" applyFont="1" applyFill="1" applyBorder="1"/>
    <xf numFmtId="191" fontId="84" fillId="35" borderId="53" xfId="0" applyNumberFormat="1" applyFont="1" applyFill="1" applyBorder="1"/>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1"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1"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2" fillId="0" borderId="0" xfId="11" applyFont="1"/>
    <xf numFmtId="0" fontId="93"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5" fillId="0" borderId="0" xfId="0" applyFont="1"/>
    <xf numFmtId="0" fontId="3" fillId="0" borderId="63" xfId="0" applyFont="1" applyBorder="1"/>
    <xf numFmtId="191"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2" xfId="0" applyNumberFormat="1" applyFont="1" applyFill="1" applyBorder="1"/>
    <xf numFmtId="0" fontId="84" fillId="0" borderId="68" xfId="0" applyFont="1" applyBorder="1" applyAlignment="1">
      <alignment vertical="center" wrapText="1"/>
    </xf>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4" fillId="0" borderId="0" xfId="0" applyFont="1" applyAlignment="1">
      <alignment wrapText="1"/>
    </xf>
    <xf numFmtId="0" fontId="2" fillId="0" borderId="0" xfId="0" applyFont="1" applyAlignment="1">
      <alignment wrapText="1"/>
    </xf>
    <xf numFmtId="0" fontId="97" fillId="3" borderId="78" xfId="0" applyFont="1" applyFill="1" applyBorder="1" applyAlignment="1">
      <alignment horizontal="left"/>
    </xf>
    <xf numFmtId="0" fontId="97"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85" xfId="0" applyFont="1" applyBorder="1" applyAlignment="1">
      <alignment vertical="center"/>
    </xf>
    <xf numFmtId="0" fontId="3" fillId="0" borderId="64"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3" fillId="0" borderId="86" xfId="0" applyFont="1" applyBorder="1" applyAlignment="1">
      <alignment vertical="center"/>
    </xf>
    <xf numFmtId="0" fontId="3" fillId="0" borderId="81"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69"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69" fontId="9" fillId="36" borderId="24" xfId="20" applyBorder="1"/>
    <xf numFmtId="169" fontId="9" fillId="36" borderId="89" xfId="20" applyBorder="1"/>
    <xf numFmtId="169" fontId="9" fillId="36" borderId="25" xfId="20" applyBorder="1"/>
    <xf numFmtId="0" fontId="3" fillId="0" borderId="91" xfId="0" applyFont="1" applyBorder="1" applyAlignment="1">
      <alignment horizontal="center" vertical="center"/>
    </xf>
    <xf numFmtId="0" fontId="3" fillId="0" borderId="92" xfId="0" applyFont="1" applyBorder="1" applyAlignment="1">
      <alignment vertical="center"/>
    </xf>
    <xf numFmtId="169"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8"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8" fillId="0" borderId="0" xfId="0" applyFont="1" applyAlignment="1">
      <alignment horizontal="left" vertical="center"/>
    </xf>
    <xf numFmtId="49" fontId="99" fillId="0" borderId="21" xfId="5" applyNumberFormat="1" applyFont="1" applyBorder="1" applyAlignment="1" applyProtection="1">
      <alignment horizontal="left" vertical="center"/>
      <protection locked="0"/>
    </xf>
    <xf numFmtId="0" fontId="100"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1" fillId="35" borderId="81"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3" fontId="101"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8" fillId="0" borderId="96" xfId="0" applyFont="1" applyBorder="1" applyAlignment="1">
      <alignment horizontal="left" vertical="center" wrapText="1"/>
    </xf>
    <xf numFmtId="10" fontId="94" fillId="0" borderId="96" xfId="20950" applyNumberFormat="1" applyFont="1" applyFill="1" applyBorder="1" applyAlignment="1">
      <alignment horizontal="left" vertical="center" wrapText="1"/>
    </xf>
    <xf numFmtId="1" fontId="3" fillId="0" borderId="81" xfId="0" applyNumberFormat="1" applyFont="1" applyBorder="1" applyAlignment="1">
      <alignment horizontal="right" vertical="center" wrapText="1"/>
    </xf>
    <xf numFmtId="10" fontId="3"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left" vertical="center" wrapText="1"/>
    </xf>
    <xf numFmtId="10" fontId="98" fillId="0" borderId="96" xfId="20950" applyNumberFormat="1" applyFont="1" applyFill="1" applyBorder="1" applyAlignment="1">
      <alignment horizontal="left" vertical="center" wrapText="1"/>
    </xf>
    <xf numFmtId="10" fontId="4" fillId="35"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center" vertical="center" wrapText="1"/>
    </xf>
    <xf numFmtId="10" fontId="100" fillId="0" borderId="22" xfId="20950" applyNumberFormat="1" applyFont="1" applyFill="1" applyBorder="1" applyAlignment="1" applyProtection="1">
      <alignment horizontal="left" vertical="center"/>
    </xf>
    <xf numFmtId="0" fontId="4" fillId="35" borderId="96" xfId="0" applyFont="1" applyFill="1" applyBorder="1" applyAlignment="1">
      <alignment horizontal="left" vertical="center" wrapText="1"/>
    </xf>
    <xf numFmtId="0" fontId="3" fillId="0" borderId="96" xfId="0" applyFont="1" applyBorder="1" applyAlignment="1">
      <alignment horizontal="left" vertical="center" wrapText="1"/>
    </xf>
    <xf numFmtId="10" fontId="4" fillId="35" borderId="81" xfId="0" applyNumberFormat="1" applyFont="1" applyFill="1" applyBorder="1" applyAlignment="1">
      <alignment horizontal="left" vertical="center" wrapText="1"/>
    </xf>
    <xf numFmtId="10" fontId="4" fillId="35" borderId="81" xfId="20950" applyNumberFormat="1" applyFont="1" applyFill="1" applyBorder="1" applyAlignment="1">
      <alignment horizontal="left" vertical="center" wrapText="1"/>
    </xf>
    <xf numFmtId="0" fontId="4" fillId="35" borderId="81" xfId="0" applyFont="1" applyFill="1" applyBorder="1" applyAlignment="1">
      <alignment horizontal="center" vertical="center" wrapText="1"/>
    </xf>
    <xf numFmtId="1" fontId="3" fillId="0" borderId="23" xfId="0" applyNumberFormat="1" applyFont="1" applyBorder="1" applyAlignment="1">
      <alignment horizontal="right" vertical="center" wrapText="1"/>
    </xf>
    <xf numFmtId="0" fontId="4" fillId="35" borderId="82" xfId="0" applyFont="1" applyFill="1" applyBorder="1" applyAlignment="1">
      <alignment vertical="center" wrapText="1"/>
    </xf>
    <xf numFmtId="0" fontId="4" fillId="35" borderId="95"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6" xfId="0" applyFont="1" applyBorder="1"/>
    <xf numFmtId="0" fontId="6" fillId="0" borderId="96" xfId="17" applyFill="1" applyBorder="1" applyAlignment="1" applyProtection="1">
      <alignment horizontal="left" vertical="center"/>
    </xf>
    <xf numFmtId="0" fontId="6" fillId="0" borderId="96" xfId="17" applyBorder="1" applyAlignment="1" applyProtection="1"/>
    <xf numFmtId="0" fontId="6" fillId="0" borderId="96" xfId="17" applyFill="1" applyBorder="1" applyAlignment="1" applyProtection="1">
      <alignment horizontal="left" vertical="center" wrapText="1"/>
    </xf>
    <xf numFmtId="0" fontId="6" fillId="0" borderId="96"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0" fontId="45" fillId="0" borderId="19" xfId="0" applyFont="1" applyBorder="1" applyAlignment="1">
      <alignment horizontal="center" vertical="center" wrapText="1"/>
    </xf>
    <xf numFmtId="3" fontId="101" fillId="35" borderId="96" xfId="0" applyNumberFormat="1" applyFont="1" applyFill="1" applyBorder="1" applyAlignment="1">
      <alignment vertical="center" wrapText="1"/>
    </xf>
    <xf numFmtId="3" fontId="101" fillId="35" borderId="97" xfId="0" applyNumberFormat="1" applyFont="1" applyFill="1" applyBorder="1" applyAlignment="1">
      <alignment vertical="center" wrapText="1"/>
    </xf>
    <xf numFmtId="3" fontId="101" fillId="35" borderId="24" xfId="0" applyNumberFormat="1" applyFont="1" applyFill="1" applyBorder="1" applyAlignment="1">
      <alignment vertical="center" wrapText="1"/>
    </xf>
    <xf numFmtId="3" fontId="101" fillId="35" borderId="84" xfId="0" applyNumberFormat="1" applyFont="1" applyFill="1" applyBorder="1" applyAlignment="1">
      <alignment vertical="center" wrapText="1"/>
    </xf>
    <xf numFmtId="3" fontId="101"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3"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99" xfId="0" applyFont="1" applyFill="1" applyBorder="1" applyAlignment="1">
      <alignment wrapText="1"/>
    </xf>
    <xf numFmtId="0" fontId="3" fillId="3" borderId="100" xfId="0" applyFont="1" applyFill="1" applyBorder="1"/>
    <xf numFmtId="0" fontId="4" fillId="3" borderId="75" xfId="0" applyFont="1" applyFill="1" applyBorder="1" applyAlignment="1">
      <alignment horizontal="center" wrapText="1"/>
    </xf>
    <xf numFmtId="0" fontId="3" fillId="0" borderId="96"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3" xfId="0" applyFont="1" applyFill="1" applyBorder="1" applyAlignment="1">
      <alignment horizontal="center" vertical="center" wrapText="1"/>
    </xf>
    <xf numFmtId="0" fontId="3" fillId="0" borderId="18" xfId="0" applyFont="1" applyBorder="1"/>
    <xf numFmtId="0" fontId="3" fillId="0" borderId="96" xfId="0" applyFont="1" applyBorder="1" applyAlignment="1">
      <alignment wrapText="1"/>
    </xf>
    <xf numFmtId="164" fontId="3" fillId="0" borderId="96" xfId="7" applyNumberFormat="1" applyFont="1" applyBorder="1"/>
    <xf numFmtId="164" fontId="3" fillId="0" borderId="81" xfId="7" applyNumberFormat="1" applyFont="1" applyBorder="1"/>
    <xf numFmtId="0" fontId="97" fillId="0" borderId="96" xfId="0" applyFont="1" applyBorder="1" applyAlignment="1">
      <alignment horizontal="left" wrapText="1" indent="2"/>
    </xf>
    <xf numFmtId="169" fontId="9" fillId="36" borderId="96" xfId="20" applyBorder="1"/>
    <xf numFmtId="164" fontId="3" fillId="0" borderId="96" xfId="7" applyNumberFormat="1" applyFont="1" applyBorder="1" applyAlignment="1">
      <alignment vertical="center"/>
    </xf>
    <xf numFmtId="0" fontId="4" fillId="0" borderId="18" xfId="0" applyFont="1" applyBorder="1"/>
    <xf numFmtId="0" fontId="4" fillId="0" borderId="96" xfId="0" applyFont="1" applyBorder="1" applyAlignment="1">
      <alignment wrapText="1"/>
    </xf>
    <xf numFmtId="164" fontId="4" fillId="0" borderId="81" xfId="7" applyNumberFormat="1" applyFont="1" applyBorder="1"/>
    <xf numFmtId="0" fontId="107" fillId="3" borderId="63" xfId="0" applyFont="1" applyFill="1" applyBorder="1" applyAlignment="1">
      <alignment horizontal="left"/>
    </xf>
    <xf numFmtId="0" fontId="107"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3" xfId="7" applyNumberFormat="1" applyFont="1" applyFill="1" applyBorder="1"/>
    <xf numFmtId="164" fontId="3" fillId="0" borderId="96" xfId="7" applyNumberFormat="1" applyFont="1" applyFill="1" applyBorder="1"/>
    <xf numFmtId="164" fontId="3" fillId="0" borderId="96" xfId="7" applyNumberFormat="1" applyFont="1" applyFill="1" applyBorder="1" applyAlignment="1">
      <alignment vertical="center"/>
    </xf>
    <xf numFmtId="0" fontId="97" fillId="0" borderId="9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3"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4" xfId="0" applyFont="1" applyBorder="1" applyAlignment="1">
      <alignment vertical="center" wrapText="1"/>
    </xf>
    <xf numFmtId="191" fontId="2" fillId="2" borderId="94" xfId="0" applyNumberFormat="1" applyFont="1" applyFill="1" applyBorder="1" applyAlignment="1" applyProtection="1">
      <alignment vertical="center"/>
      <protection locked="0"/>
    </xf>
    <xf numFmtId="191" fontId="87" fillId="2" borderId="94" xfId="0" applyNumberFormat="1" applyFont="1" applyFill="1" applyBorder="1" applyAlignment="1" applyProtection="1">
      <alignment vertical="center"/>
      <protection locked="0"/>
    </xf>
    <xf numFmtId="191" fontId="87" fillId="2" borderId="90" xfId="0" applyNumberFormat="1" applyFont="1" applyFill="1" applyBorder="1" applyAlignment="1" applyProtection="1">
      <alignment vertical="center"/>
      <protection locked="0"/>
    </xf>
    <xf numFmtId="0" fontId="108" fillId="0" borderId="0" xfId="11" applyFont="1"/>
    <xf numFmtId="0" fontId="110" fillId="0" borderId="0" xfId="11" applyFont="1"/>
    <xf numFmtId="0" fontId="109" fillId="0" borderId="0" xfId="0" applyFont="1"/>
    <xf numFmtId="0" fontId="111" fillId="0" borderId="68" xfId="0" applyFont="1" applyBorder="1" applyAlignment="1">
      <alignment horizontal="left" vertical="center" wrapText="1"/>
    </xf>
    <xf numFmtId="0" fontId="6" fillId="0" borderId="111" xfId="17" applyBorder="1" applyAlignment="1" applyProtection="1"/>
    <xf numFmtId="0" fontId="109" fillId="0" borderId="0" xfId="0" applyFont="1" applyAlignment="1">
      <alignment horizontal="left" vertical="top" wrapText="1"/>
    </xf>
    <xf numFmtId="191" fontId="2" fillId="3" borderId="81" xfId="2" applyNumberFormat="1" applyFont="1" applyFill="1" applyBorder="1" applyAlignment="1" applyProtection="1">
      <alignment vertical="top" wrapText="1"/>
      <protection locked="0"/>
    </xf>
    <xf numFmtId="0" fontId="0" fillId="0" borderId="111" xfId="0" applyBorder="1" applyAlignment="1">
      <alignment horizontal="center"/>
    </xf>
    <xf numFmtId="0" fontId="120" fillId="3" borderId="111" xfId="20954" applyFont="1" applyFill="1" applyBorder="1" applyAlignment="1">
      <alignment horizontal="left" vertical="center" wrapText="1"/>
    </xf>
    <xf numFmtId="0" fontId="121" fillId="0" borderId="111" xfId="20954" applyFont="1" applyBorder="1" applyAlignment="1">
      <alignment horizontal="left" vertical="center" wrapText="1" indent="1"/>
    </xf>
    <xf numFmtId="0" fontId="122" fillId="3" borderId="121" xfId="0" applyFont="1" applyFill="1" applyBorder="1" applyAlignment="1">
      <alignment horizontal="left" vertical="center" wrapText="1"/>
    </xf>
    <xf numFmtId="0" fontId="121" fillId="3" borderId="111" xfId="20954" applyFont="1" applyFill="1" applyBorder="1" applyAlignment="1">
      <alignment horizontal="left" vertical="center" wrapText="1" indent="1"/>
    </xf>
    <xf numFmtId="0" fontId="120" fillId="0" borderId="121" xfId="0" applyFont="1" applyBorder="1" applyAlignment="1">
      <alignment horizontal="left" vertical="center" wrapText="1"/>
    </xf>
    <xf numFmtId="0" fontId="122" fillId="0" borderId="121" xfId="0" applyFont="1" applyBorder="1" applyAlignment="1">
      <alignment horizontal="left" vertical="center" wrapText="1"/>
    </xf>
    <xf numFmtId="0" fontId="122" fillId="0" borderId="121" xfId="0" applyFont="1" applyBorder="1" applyAlignment="1">
      <alignment vertical="center" wrapText="1"/>
    </xf>
    <xf numFmtId="0" fontId="123" fillId="0" borderId="121" xfId="0" applyFont="1" applyBorder="1" applyAlignment="1">
      <alignment horizontal="left" vertical="center" wrapText="1" indent="1"/>
    </xf>
    <xf numFmtId="0" fontId="123" fillId="3" borderId="121" xfId="0" applyFont="1" applyFill="1" applyBorder="1" applyAlignment="1">
      <alignment horizontal="left" vertical="center" wrapText="1" indent="1"/>
    </xf>
    <xf numFmtId="0" fontId="122" fillId="3" borderId="122" xfId="0" applyFont="1" applyFill="1" applyBorder="1" applyAlignment="1">
      <alignment horizontal="left" vertical="center" wrapText="1"/>
    </xf>
    <xf numFmtId="0" fontId="123" fillId="0" borderId="111" xfId="20954" applyFont="1" applyBorder="1" applyAlignment="1">
      <alignment horizontal="left" vertical="center" wrapText="1" indent="1"/>
    </xf>
    <xf numFmtId="0" fontId="122" fillId="0" borderId="111" xfId="0" applyFont="1" applyBorder="1" applyAlignment="1">
      <alignment horizontal="left" vertical="center" wrapText="1"/>
    </xf>
    <xf numFmtId="0" fontId="124" fillId="0" borderId="111" xfId="20954" applyFont="1" applyBorder="1" applyAlignment="1">
      <alignment horizontal="center" vertical="center" wrapText="1"/>
    </xf>
    <xf numFmtId="0" fontId="122" fillId="3" borderId="123" xfId="0" applyFont="1" applyFill="1" applyBorder="1" applyAlignment="1">
      <alignment horizontal="left" vertical="center" wrapText="1"/>
    </xf>
    <xf numFmtId="0" fontId="0" fillId="0" borderId="124" xfId="0" applyBorder="1" applyAlignment="1">
      <alignment horizontal="center"/>
    </xf>
    <xf numFmtId="0" fontId="121" fillId="3" borderId="124" xfId="20954" applyFont="1" applyFill="1" applyBorder="1" applyAlignment="1">
      <alignment horizontal="left" vertical="center" wrapText="1" indent="1"/>
    </xf>
    <xf numFmtId="0" fontId="121" fillId="3" borderId="121" xfId="0" applyFont="1" applyFill="1" applyBorder="1" applyAlignment="1">
      <alignment horizontal="left" vertical="center" wrapText="1" indent="1"/>
    </xf>
    <xf numFmtId="0" fontId="121" fillId="0" borderId="124" xfId="20954" applyFont="1" applyBorder="1" applyAlignment="1">
      <alignment horizontal="left" vertical="center" wrapText="1" indent="1"/>
    </xf>
    <xf numFmtId="0" fontId="122" fillId="0" borderId="124" xfId="20954" applyFont="1" applyBorder="1" applyAlignment="1">
      <alignment horizontal="left" vertical="center" wrapText="1"/>
    </xf>
    <xf numFmtId="0" fontId="122" fillId="0" borderId="124" xfId="0" applyFont="1" applyBorder="1" applyAlignment="1">
      <alignment vertical="center" wrapText="1"/>
    </xf>
    <xf numFmtId="0" fontId="124" fillId="0" borderId="124" xfId="20954" applyFont="1" applyBorder="1" applyAlignment="1">
      <alignment horizontal="center" vertical="center" wrapText="1"/>
    </xf>
    <xf numFmtId="0" fontId="122" fillId="3" borderId="124" xfId="20954" applyFont="1" applyFill="1" applyBorder="1" applyAlignment="1">
      <alignment horizontal="left" vertical="center" wrapText="1"/>
    </xf>
    <xf numFmtId="0" fontId="122" fillId="0" borderId="124" xfId="0" applyFont="1" applyBorder="1" applyAlignment="1">
      <alignment horizontal="left" vertical="center" wrapText="1"/>
    </xf>
    <xf numFmtId="0" fontId="2" fillId="0" borderId="124" xfId="0" applyFont="1" applyBorder="1" applyAlignment="1">
      <alignment horizontal="center" vertical="center" wrapText="1"/>
    </xf>
    <xf numFmtId="0" fontId="0" fillId="0" borderId="124" xfId="0" applyBorder="1" applyAlignment="1">
      <alignment horizontal="center" vertical="center"/>
    </xf>
    <xf numFmtId="0" fontId="2" fillId="0" borderId="127" xfId="0" applyFont="1" applyBorder="1" applyAlignment="1">
      <alignment horizontal="left" vertical="center" wrapText="1" indent="4"/>
    </xf>
    <xf numFmtId="0" fontId="45" fillId="0" borderId="127" xfId="0" applyFont="1" applyBorder="1" applyAlignment="1">
      <alignment vertical="center" wrapText="1"/>
    </xf>
    <xf numFmtId="0" fontId="2" fillId="0" borderId="124" xfId="0" applyFont="1" applyBorder="1" applyAlignment="1" applyProtection="1">
      <alignment horizontal="left" vertical="center" indent="11"/>
      <protection locked="0"/>
    </xf>
    <xf numFmtId="0" fontId="46" fillId="0" borderId="124" xfId="0" applyFont="1" applyBorder="1" applyAlignment="1" applyProtection="1">
      <alignment horizontal="left" vertical="center" indent="17"/>
      <protection locked="0"/>
    </xf>
    <xf numFmtId="0" fontId="2" fillId="0" borderId="127" xfId="0" applyFont="1" applyBorder="1" applyAlignment="1">
      <alignment horizontal="left" vertical="center" wrapText="1"/>
    </xf>
    <xf numFmtId="191" fontId="92" fillId="0" borderId="0" xfId="0" applyNumberFormat="1" applyFont="1" applyAlignment="1">
      <alignment horizontal="right"/>
    </xf>
    <xf numFmtId="43" fontId="84" fillId="0" borderId="124" xfId="7" applyFont="1" applyFill="1" applyBorder="1" applyAlignment="1">
      <alignment horizontal="center" vertical="center"/>
    </xf>
    <xf numFmtId="0" fontId="121" fillId="3" borderId="122" xfId="0" applyFont="1" applyFill="1" applyBorder="1" applyAlignment="1">
      <alignment horizontal="left" vertical="center" wrapText="1" indent="1"/>
    </xf>
    <xf numFmtId="0" fontId="121" fillId="3" borderId="124" xfId="0" applyFont="1" applyFill="1" applyBorder="1" applyAlignment="1">
      <alignment horizontal="left" vertical="center" wrapText="1" indent="1"/>
    </xf>
    <xf numFmtId="167" fontId="84" fillId="0" borderId="124" xfId="0" applyNumberFormat="1" applyFont="1" applyBorder="1" applyAlignment="1">
      <alignment horizontal="center"/>
    </xf>
    <xf numFmtId="0" fontId="84" fillId="0" borderId="124" xfId="0" applyFont="1" applyBorder="1"/>
    <xf numFmtId="0" fontId="121" fillId="0" borderId="124" xfId="0" applyFont="1" applyBorder="1" applyAlignment="1">
      <alignment horizontal="left" vertical="center" wrapText="1" indent="1"/>
    </xf>
    <xf numFmtId="0" fontId="122" fillId="3" borderId="124" xfId="0" applyFont="1" applyFill="1" applyBorder="1" applyAlignment="1">
      <alignment horizontal="left" vertical="center" wrapText="1"/>
    </xf>
    <xf numFmtId="0" fontId="123" fillId="3" borderId="124" xfId="0" applyFont="1" applyFill="1" applyBorder="1" applyAlignment="1">
      <alignment horizontal="left" vertical="center" wrapText="1" indent="1"/>
    </xf>
    <xf numFmtId="0" fontId="125" fillId="0" borderId="124" xfId="0" applyFont="1" applyBorder="1" applyAlignment="1">
      <alignment horizontal="justify"/>
    </xf>
    <xf numFmtId="167" fontId="86" fillId="0" borderId="124" xfId="0" applyNumberFormat="1" applyFont="1" applyBorder="1" applyAlignment="1">
      <alignment horizontal="center"/>
    </xf>
    <xf numFmtId="167" fontId="86" fillId="0" borderId="56" xfId="0" applyNumberFormat="1" applyFont="1" applyBorder="1" applyAlignment="1">
      <alignment horizontal="center"/>
    </xf>
    <xf numFmtId="167" fontId="88" fillId="0" borderId="58" xfId="0" applyNumberFormat="1" applyFont="1" applyBorder="1" applyAlignment="1">
      <alignment horizontal="center"/>
    </xf>
    <xf numFmtId="167" fontId="46" fillId="0" borderId="58" xfId="0" applyNumberFormat="1" applyFont="1" applyBorder="1" applyAlignment="1">
      <alignment horizontal="center"/>
    </xf>
    <xf numFmtId="0" fontId="84" fillId="0" borderId="124" xfId="0" applyFont="1" applyBorder="1" applyAlignment="1">
      <alignment horizontal="center"/>
    </xf>
    <xf numFmtId="0" fontId="112" fillId="0" borderId="124" xfId="0" applyFont="1" applyBorder="1"/>
    <xf numFmtId="49" fontId="114" fillId="0" borderId="124" xfId="5" applyNumberFormat="1" applyFont="1" applyBorder="1" applyAlignment="1" applyProtection="1">
      <alignment horizontal="right" vertical="center"/>
      <protection locked="0"/>
    </xf>
    <xf numFmtId="0" fontId="113" fillId="3" borderId="124" xfId="13" applyFont="1" applyFill="1" applyBorder="1" applyAlignment="1" applyProtection="1">
      <alignment horizontal="left" vertical="center" wrapText="1"/>
      <protection locked="0"/>
    </xf>
    <xf numFmtId="49" fontId="113" fillId="3" borderId="124" xfId="5" applyNumberFormat="1" applyFont="1" applyFill="1" applyBorder="1" applyAlignment="1" applyProtection="1">
      <alignment horizontal="right" vertical="center"/>
      <protection locked="0"/>
    </xf>
    <xf numFmtId="0" fontId="113" fillId="0" borderId="124" xfId="13" applyFont="1" applyBorder="1" applyAlignment="1" applyProtection="1">
      <alignment horizontal="left" vertical="center" wrapText="1"/>
      <protection locked="0"/>
    </xf>
    <xf numFmtId="49" fontId="113" fillId="0" borderId="124" xfId="5" applyNumberFormat="1" applyFont="1" applyBorder="1" applyAlignment="1" applyProtection="1">
      <alignment horizontal="right" vertical="center"/>
      <protection locked="0"/>
    </xf>
    <xf numFmtId="0" fontId="115" fillId="0" borderId="124" xfId="13" applyFont="1" applyBorder="1" applyAlignment="1" applyProtection="1">
      <alignment horizontal="left" vertical="center" wrapText="1"/>
      <protection locked="0"/>
    </xf>
    <xf numFmtId="0" fontId="112" fillId="0" borderId="124" xfId="0" applyFont="1" applyBorder="1" applyAlignment="1">
      <alignment horizontal="center" vertical="center" wrapText="1"/>
    </xf>
    <xf numFmtId="14" fontId="109" fillId="0" borderId="0" xfId="0" applyNumberFormat="1" applyFont="1"/>
    <xf numFmtId="43" fontId="94" fillId="0" borderId="0" xfId="7" applyFont="1"/>
    <xf numFmtId="0" fontId="109" fillId="0" borderId="0" xfId="0" applyFont="1" applyAlignment="1">
      <alignment wrapText="1"/>
    </xf>
    <xf numFmtId="0" fontId="108" fillId="0" borderId="124" xfId="0" applyFont="1" applyBorder="1"/>
    <xf numFmtId="0" fontId="108" fillId="0" borderId="124" xfId="0" applyFont="1" applyBorder="1" applyAlignment="1">
      <alignment horizontal="left" indent="8"/>
    </xf>
    <xf numFmtId="0" fontId="108" fillId="0" borderId="124" xfId="0" applyFont="1" applyBorder="1" applyAlignment="1">
      <alignment wrapText="1"/>
    </xf>
    <xf numFmtId="0" fontId="112" fillId="0" borderId="0" xfId="0" applyFont="1"/>
    <xf numFmtId="0" fontId="111" fillId="0" borderId="124" xfId="0" applyFont="1" applyBorder="1"/>
    <xf numFmtId="49" fontId="114" fillId="0" borderId="124" xfId="5" applyNumberFormat="1" applyFont="1" applyBorder="1" applyAlignment="1" applyProtection="1">
      <alignment horizontal="right" vertical="center" wrapText="1"/>
      <protection locked="0"/>
    </xf>
    <xf numFmtId="49" fontId="113" fillId="3" borderId="124" xfId="5" applyNumberFormat="1" applyFont="1" applyFill="1" applyBorder="1" applyAlignment="1" applyProtection="1">
      <alignment horizontal="right" vertical="center" wrapText="1"/>
      <protection locked="0"/>
    </xf>
    <xf numFmtId="49" fontId="113" fillId="0" borderId="124" xfId="5" applyNumberFormat="1" applyFont="1" applyBorder="1" applyAlignment="1" applyProtection="1">
      <alignment horizontal="right" vertical="center" wrapText="1"/>
      <protection locked="0"/>
    </xf>
    <xf numFmtId="0" fontId="108" fillId="0" borderId="124" xfId="0" applyFont="1" applyBorder="1" applyAlignment="1">
      <alignment horizontal="center" vertical="center" wrapText="1"/>
    </xf>
    <xf numFmtId="0" fontId="108" fillId="0" borderId="128" xfId="0" applyFont="1" applyBorder="1" applyAlignment="1">
      <alignment horizontal="center" vertical="center" wrapText="1"/>
    </xf>
    <xf numFmtId="0" fontId="108" fillId="0" borderId="124"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Alignment="1">
      <alignment horizontal="left"/>
    </xf>
    <xf numFmtId="0" fontId="108" fillId="0" borderId="124" xfId="0" applyFont="1" applyBorder="1" applyAlignment="1">
      <alignment horizontal="left" vertical="center" wrapText="1"/>
    </xf>
    <xf numFmtId="0" fontId="111" fillId="0" borderId="124" xfId="0" applyFont="1" applyBorder="1" applyAlignment="1">
      <alignment horizontal="left" wrapText="1" indent="1"/>
    </xf>
    <xf numFmtId="0" fontId="111" fillId="0" borderId="124" xfId="0" applyFont="1" applyBorder="1" applyAlignment="1">
      <alignment horizontal="left" vertical="center" indent="1"/>
    </xf>
    <xf numFmtId="0" fontId="109" fillId="0" borderId="124" xfId="0" applyFont="1" applyBorder="1"/>
    <xf numFmtId="0" fontId="108" fillId="0" borderId="124" xfId="0" applyFont="1" applyBorder="1" applyAlignment="1">
      <alignment horizontal="left" wrapText="1" indent="1"/>
    </xf>
    <xf numFmtId="0" fontId="108" fillId="0" borderId="124" xfId="0" applyFont="1" applyBorder="1" applyAlignment="1">
      <alignment horizontal="left" indent="1"/>
    </xf>
    <xf numFmtId="0" fontId="108" fillId="0" borderId="124" xfId="0" applyFont="1" applyBorder="1" applyAlignment="1">
      <alignment horizontal="left" wrapText="1" indent="4"/>
    </xf>
    <xf numFmtId="0" fontId="108" fillId="0" borderId="124" xfId="0" applyFont="1" applyBorder="1" applyAlignment="1">
      <alignment horizontal="left" indent="3"/>
    </xf>
    <xf numFmtId="0" fontId="111" fillId="0" borderId="124" xfId="0" applyFont="1" applyBorder="1" applyAlignment="1">
      <alignment horizontal="left" indent="1"/>
    </xf>
    <xf numFmtId="0" fontId="109" fillId="77" borderId="124" xfId="0" applyFont="1" applyFill="1" applyBorder="1"/>
    <xf numFmtId="0" fontId="112" fillId="0" borderId="7" xfId="0" applyFont="1" applyBorder="1"/>
    <xf numFmtId="0" fontId="109" fillId="0" borderId="124" xfId="0" applyFont="1" applyBorder="1" applyAlignment="1">
      <alignment horizontal="left" wrapText="1" indent="2"/>
    </xf>
    <xf numFmtId="0" fontId="109" fillId="0" borderId="124" xfId="0" applyFont="1" applyBorder="1" applyAlignment="1">
      <alignment horizontal="left" wrapText="1"/>
    </xf>
    <xf numFmtId="0" fontId="108" fillId="0" borderId="124" xfId="0" applyFont="1" applyBorder="1" applyAlignment="1">
      <alignment horizontal="center"/>
    </xf>
    <xf numFmtId="0" fontId="108" fillId="0" borderId="0" xfId="0" applyFont="1" applyAlignment="1">
      <alignment horizontal="center" vertical="center"/>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Alignment="1">
      <alignment horizontal="center" vertical="center" wrapText="1"/>
    </xf>
    <xf numFmtId="0" fontId="108" fillId="0" borderId="103" xfId="0" applyFont="1" applyBorder="1" applyAlignment="1">
      <alignment horizontal="center" vertical="center" wrapText="1"/>
    </xf>
    <xf numFmtId="0" fontId="108" fillId="0" borderId="127" xfId="0" applyFont="1" applyBorder="1" applyAlignment="1">
      <alignment horizontal="center" vertical="center" wrapText="1"/>
    </xf>
    <xf numFmtId="0" fontId="108" fillId="0" borderId="104" xfId="0" applyFont="1" applyBorder="1" applyAlignment="1">
      <alignment horizontal="center" vertical="center" wrapText="1"/>
    </xf>
    <xf numFmtId="49" fontId="108" fillId="0" borderId="23" xfId="0" applyNumberFormat="1" applyFont="1" applyBorder="1" applyAlignment="1">
      <alignment horizontal="left" wrapText="1" indent="1"/>
    </xf>
    <xf numFmtId="0" fontId="108" fillId="0" borderId="21" xfId="0" applyFont="1" applyBorder="1" applyAlignment="1">
      <alignment horizontal="left" wrapText="1" indent="1"/>
    </xf>
    <xf numFmtId="49" fontId="108" fillId="0" borderId="81" xfId="0" applyNumberFormat="1" applyFont="1" applyBorder="1" applyAlignment="1">
      <alignment horizontal="left" wrapText="1" indent="1"/>
    </xf>
    <xf numFmtId="0" fontId="108" fillId="0" borderId="18" xfId="0" applyFont="1" applyBorder="1" applyAlignment="1">
      <alignment horizontal="left" wrapText="1" indent="1"/>
    </xf>
    <xf numFmtId="49" fontId="108" fillId="0" borderId="18" xfId="0" applyNumberFormat="1" applyFont="1" applyBorder="1" applyAlignment="1">
      <alignment horizontal="left" wrapText="1" indent="3"/>
    </xf>
    <xf numFmtId="49" fontId="108" fillId="0" borderId="81" xfId="0" applyNumberFormat="1" applyFont="1" applyBorder="1" applyAlignment="1">
      <alignment horizontal="left" wrapText="1" indent="3"/>
    </xf>
    <xf numFmtId="49" fontId="108" fillId="0" borderId="18" xfId="0" applyNumberFormat="1" applyFont="1" applyBorder="1" applyAlignment="1">
      <alignment horizontal="left" wrapText="1" indent="2"/>
    </xf>
    <xf numFmtId="49" fontId="108" fillId="0" borderId="81" xfId="0" applyNumberFormat="1" applyFont="1" applyBorder="1" applyAlignment="1">
      <alignment horizontal="left" wrapText="1" indent="2"/>
    </xf>
    <xf numFmtId="49" fontId="108" fillId="0" borderId="81" xfId="0" applyNumberFormat="1" applyFont="1" applyBorder="1" applyAlignment="1">
      <alignment horizontal="left" vertical="top" wrapText="1" indent="2"/>
    </xf>
    <xf numFmtId="49" fontId="108" fillId="0" borderId="81" xfId="0" applyNumberFormat="1" applyFont="1" applyBorder="1" applyAlignment="1">
      <alignment horizontal="left" indent="1"/>
    </xf>
    <xf numFmtId="0" fontId="108" fillId="0" borderId="18" xfId="0" applyFont="1" applyBorder="1" applyAlignment="1">
      <alignment horizontal="left" indent="1"/>
    </xf>
    <xf numFmtId="49" fontId="108" fillId="0" borderId="18" xfId="0" applyNumberFormat="1" applyFont="1" applyBorder="1" applyAlignment="1">
      <alignment horizontal="left" indent="1"/>
    </xf>
    <xf numFmtId="49" fontId="108" fillId="0" borderId="18" xfId="0" applyNumberFormat="1" applyFont="1" applyBorder="1" applyAlignment="1">
      <alignment horizontal="left" indent="3"/>
    </xf>
    <xf numFmtId="49" fontId="108" fillId="0" borderId="81" xfId="0" applyNumberFormat="1" applyFont="1" applyBorder="1" applyAlignment="1">
      <alignment horizontal="left" indent="3"/>
    </xf>
    <xf numFmtId="0" fontId="108" fillId="0" borderId="18" xfId="0" applyFont="1" applyBorder="1" applyAlignment="1">
      <alignment horizontal="left" indent="2"/>
    </xf>
    <xf numFmtId="0" fontId="108" fillId="0" borderId="81" xfId="0" applyFont="1" applyBorder="1" applyAlignment="1">
      <alignment horizontal="left" indent="2"/>
    </xf>
    <xf numFmtId="0" fontId="108" fillId="0" borderId="81" xfId="0" applyFont="1" applyBorder="1" applyAlignment="1">
      <alignment horizontal="left" indent="1"/>
    </xf>
    <xf numFmtId="0" fontId="111" fillId="0" borderId="64" xfId="0" applyFont="1" applyBorder="1"/>
    <xf numFmtId="0" fontId="108" fillId="0" borderId="67" xfId="0" applyFont="1" applyBorder="1"/>
    <xf numFmtId="0" fontId="108" fillId="0" borderId="75" xfId="0" applyFont="1" applyBorder="1" applyAlignment="1">
      <alignment horizontal="center" vertical="center" wrapText="1"/>
    </xf>
    <xf numFmtId="0" fontId="108" fillId="0" borderId="81" xfId="0" applyFont="1" applyBorder="1" applyAlignment="1">
      <alignment horizontal="center" vertical="center" wrapText="1"/>
    </xf>
    <xf numFmtId="0" fontId="108" fillId="0" borderId="0" xfId="0" applyFont="1" applyAlignment="1">
      <alignment horizontal="left"/>
    </xf>
    <xf numFmtId="0" fontId="111" fillId="0" borderId="124" xfId="0" applyFont="1" applyBorder="1" applyAlignment="1">
      <alignment horizontal="left" vertical="center" wrapText="1"/>
    </xf>
    <xf numFmtId="0" fontId="113" fillId="0" borderId="0" xfId="0" applyFont="1"/>
    <xf numFmtId="0" fontId="92" fillId="0" borderId="0" xfId="0" applyFont="1" applyAlignment="1">
      <alignment wrapText="1"/>
    </xf>
    <xf numFmtId="0" fontId="111" fillId="0" borderId="124"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19" xfId="0" applyFont="1" applyBorder="1" applyAlignment="1">
      <alignment horizontal="left" vertical="center" wrapText="1" indent="1" readingOrder="1"/>
    </xf>
    <xf numFmtId="0" fontId="129" fillId="0" borderId="124" xfId="0" applyFont="1" applyBorder="1" applyAlignment="1">
      <alignment horizontal="left" indent="3"/>
    </xf>
    <xf numFmtId="0" fontId="111" fillId="0" borderId="124" xfId="0" applyFont="1" applyBorder="1" applyAlignment="1">
      <alignment vertical="center" wrapText="1" readingOrder="1"/>
    </xf>
    <xf numFmtId="0" fontId="129" fillId="0" borderId="124" xfId="0" applyFont="1" applyBorder="1" applyAlignment="1">
      <alignment horizontal="left" indent="2"/>
    </xf>
    <xf numFmtId="0" fontId="108" fillId="0" borderId="120" xfId="0" applyFont="1" applyBorder="1" applyAlignment="1">
      <alignment vertical="center" wrapText="1" readingOrder="1"/>
    </xf>
    <xf numFmtId="0" fontId="129" fillId="0" borderId="128" xfId="0" applyFont="1" applyBorder="1" applyAlignment="1">
      <alignment horizontal="left" indent="2"/>
    </xf>
    <xf numFmtId="0" fontId="108" fillId="0" borderId="119" xfId="0" applyFont="1" applyBorder="1" applyAlignment="1">
      <alignment vertical="center" wrapText="1" readingOrder="1"/>
    </xf>
    <xf numFmtId="0" fontId="108" fillId="0" borderId="118" xfId="0" applyFont="1" applyBorder="1" applyAlignment="1">
      <alignment vertical="center" wrapText="1" readingOrder="1"/>
    </xf>
    <xf numFmtId="0" fontId="129" fillId="0" borderId="7" xfId="0" applyFont="1" applyBorder="1"/>
    <xf numFmtId="167" fontId="130" fillId="79" borderId="57" xfId="0" applyNumberFormat="1" applyFont="1" applyFill="1" applyBorder="1" applyAlignment="1">
      <alignment horizontal="center"/>
    </xf>
    <xf numFmtId="0" fontId="94" fillId="0" borderId="0" xfId="11" applyFont="1"/>
    <xf numFmtId="0" fontId="94" fillId="0" borderId="0" xfId="0" applyFont="1"/>
    <xf numFmtId="14" fontId="3" fillId="0" borderId="0" xfId="0" applyNumberFormat="1" applyFont="1"/>
    <xf numFmtId="0" fontId="131" fillId="0" borderId="0" xfId="11" applyFont="1"/>
    <xf numFmtId="0" fontId="132" fillId="0" borderId="0" xfId="0" applyFont="1"/>
    <xf numFmtId="0" fontId="133" fillId="80" borderId="16" xfId="0" applyFont="1" applyFill="1" applyBorder="1" applyAlignment="1">
      <alignment horizontal="center" vertical="center"/>
    </xf>
    <xf numFmtId="0" fontId="133" fillId="80" borderId="17" xfId="0" applyFont="1" applyFill="1" applyBorder="1" applyAlignment="1">
      <alignment horizontal="center" vertical="center"/>
    </xf>
    <xf numFmtId="0" fontId="133" fillId="81" borderId="124" xfId="0" applyFont="1" applyFill="1" applyBorder="1" applyAlignment="1">
      <alignment horizontal="left" vertical="center"/>
    </xf>
    <xf numFmtId="192" fontId="133" fillId="81" borderId="81" xfId="7" applyNumberFormat="1" applyFont="1" applyFill="1" applyBorder="1" applyAlignment="1">
      <alignment horizontal="left" vertical="center"/>
    </xf>
    <xf numFmtId="49" fontId="135" fillId="0" borderId="124" xfId="0" applyNumberFormat="1" applyFont="1" applyBorder="1" applyAlignment="1">
      <alignment horizontal="left" vertical="center"/>
    </xf>
    <xf numFmtId="192" fontId="135" fillId="0" borderId="81" xfId="7" applyNumberFormat="1" applyFont="1" applyFill="1" applyBorder="1" applyAlignment="1">
      <alignment horizontal="left" vertical="center"/>
    </xf>
    <xf numFmtId="0" fontId="135" fillId="0" borderId="124" xfId="0" applyFont="1" applyBorder="1" applyAlignment="1">
      <alignment horizontal="left" vertical="center"/>
    </xf>
    <xf numFmtId="0" fontId="133" fillId="0" borderId="124" xfId="0" applyFont="1" applyBorder="1" applyAlignment="1">
      <alignment horizontal="left" vertical="center"/>
    </xf>
    <xf numFmtId="10" fontId="94" fillId="0" borderId="81" xfId="0" applyNumberFormat="1" applyFont="1" applyBorder="1" applyAlignment="1">
      <alignment horizontal="right" vertical="center" wrapText="1"/>
    </xf>
    <xf numFmtId="0" fontId="137" fillId="82" borderId="22" xfId="0" applyFont="1" applyFill="1" applyBorder="1" applyAlignment="1">
      <alignment horizontal="left" vertical="center"/>
    </xf>
    <xf numFmtId="10" fontId="131" fillId="83" borderId="23"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4" borderId="124" xfId="0" applyFont="1" applyFill="1" applyBorder="1" applyAlignment="1">
      <alignment horizontal="center" vertical="center" wrapText="1"/>
    </xf>
    <xf numFmtId="0" fontId="4" fillId="83" borderId="124" xfId="0" applyFont="1" applyFill="1" applyBorder="1" applyAlignment="1">
      <alignment vertical="center" wrapText="1"/>
    </xf>
    <xf numFmtId="192" fontId="4" fillId="83" borderId="124" xfId="7" applyNumberFormat="1" applyFont="1" applyFill="1" applyBorder="1" applyAlignment="1">
      <alignment vertical="center"/>
    </xf>
    <xf numFmtId="192" fontId="4" fillId="83" borderId="81" xfId="7" applyNumberFormat="1" applyFont="1" applyFill="1" applyBorder="1" applyAlignment="1">
      <alignment vertical="center"/>
    </xf>
    <xf numFmtId="0" fontId="135" fillId="81" borderId="124" xfId="0" applyFont="1" applyFill="1" applyBorder="1" applyAlignment="1">
      <alignment horizontal="left" vertical="center" wrapText="1" indent="3"/>
    </xf>
    <xf numFmtId="192" fontId="4" fillId="35" borderId="124" xfId="7" applyNumberFormat="1" applyFont="1" applyFill="1" applyBorder="1" applyAlignment="1">
      <alignment vertical="center"/>
    </xf>
    <xf numFmtId="0" fontId="141" fillId="81" borderId="124" xfId="0" applyFont="1" applyFill="1" applyBorder="1" applyAlignment="1">
      <alignment horizontal="left" vertical="center" wrapText="1" indent="5"/>
    </xf>
    <xf numFmtId="0" fontId="142" fillId="80" borderId="124" xfId="0" applyFont="1" applyFill="1" applyBorder="1" applyAlignment="1">
      <alignment horizontal="left" vertical="center" wrapText="1" indent="1"/>
    </xf>
    <xf numFmtId="192" fontId="142" fillId="80" borderId="124" xfId="7" applyNumberFormat="1" applyFont="1" applyFill="1" applyBorder="1" applyAlignment="1">
      <alignment vertical="center"/>
    </xf>
    <xf numFmtId="192" fontId="142" fillId="82" borderId="81" xfId="7" applyNumberFormat="1" applyFont="1" applyFill="1" applyBorder="1" applyAlignment="1">
      <alignment vertical="center"/>
    </xf>
    <xf numFmtId="192" fontId="143" fillId="81" borderId="124" xfId="7" applyNumberFormat="1" applyFont="1" applyFill="1" applyBorder="1" applyAlignment="1">
      <alignment vertical="center"/>
    </xf>
    <xf numFmtId="192" fontId="143" fillId="82" borderId="81" xfId="7" applyNumberFormat="1" applyFont="1" applyFill="1" applyBorder="1" applyAlignment="1">
      <alignment vertical="center"/>
    </xf>
    <xf numFmtId="192" fontId="143" fillId="81" borderId="22" xfId="7" applyNumberFormat="1" applyFont="1" applyFill="1" applyBorder="1" applyAlignment="1">
      <alignment vertical="center"/>
    </xf>
    <xf numFmtId="192" fontId="143" fillId="82" borderId="23" xfId="7" applyNumberFormat="1" applyFont="1" applyFill="1" applyBorder="1" applyAlignment="1">
      <alignment vertical="center"/>
    </xf>
    <xf numFmtId="169" fontId="9" fillId="36" borderId="93" xfId="20" applyBorder="1"/>
    <xf numFmtId="0" fontId="92" fillId="0" borderId="184" xfId="0" applyFont="1" applyBorder="1" applyAlignment="1">
      <alignment horizontal="center" vertical="center" wrapText="1"/>
    </xf>
    <xf numFmtId="0" fontId="92" fillId="0" borderId="0" xfId="0" applyFont="1"/>
    <xf numFmtId="0" fontId="347" fillId="0" borderId="0" xfId="0" applyFont="1"/>
    <xf numFmtId="14" fontId="92" fillId="0" borderId="0" xfId="0" applyNumberFormat="1" applyFont="1"/>
    <xf numFmtId="0" fontId="92" fillId="0" borderId="111" xfId="0" applyFont="1" applyBorder="1" applyAlignment="1">
      <alignment horizontal="center" vertical="center" wrapText="1"/>
    </xf>
    <xf numFmtId="0" fontId="348" fillId="0" borderId="111" xfId="0" applyFont="1" applyBorder="1" applyAlignment="1">
      <alignment horizontal="center" vertical="center"/>
    </xf>
    <xf numFmtId="0" fontId="347" fillId="0" borderId="111" xfId="0" applyFont="1" applyBorder="1" applyAlignment="1">
      <alignment horizontal="center"/>
    </xf>
    <xf numFmtId="0" fontId="349" fillId="0" borderId="111" xfId="20954" applyFont="1" applyBorder="1" applyAlignment="1">
      <alignment horizontal="center" vertical="center" wrapText="1"/>
    </xf>
    <xf numFmtId="0" fontId="347" fillId="0" borderId="124" xfId="0" applyFont="1" applyBorder="1" applyAlignment="1">
      <alignment horizontal="center"/>
    </xf>
    <xf numFmtId="0" fontId="349" fillId="0" borderId="124" xfId="0" applyFont="1" applyBorder="1" applyAlignment="1">
      <alignment vertical="center" wrapText="1"/>
    </xf>
    <xf numFmtId="0" fontId="349" fillId="0" borderId="124" xfId="20954" applyFont="1" applyBorder="1" applyAlignment="1">
      <alignment horizontal="center" vertical="center" wrapText="1"/>
    </xf>
    <xf numFmtId="0" fontId="351" fillId="0" borderId="0" xfId="0" applyFont="1" applyAlignment="1">
      <alignment horizontal="justify"/>
    </xf>
    <xf numFmtId="0" fontId="349" fillId="0" borderId="124" xfId="0" applyFont="1" applyBorder="1" applyAlignment="1">
      <alignment horizontal="left" vertical="center" wrapText="1"/>
    </xf>
    <xf numFmtId="0" fontId="347" fillId="0" borderId="0" xfId="0" applyFont="1" applyAlignment="1">
      <alignment horizontal="center"/>
    </xf>
    <xf numFmtId="0" fontId="347" fillId="0" borderId="0" xfId="0" applyFont="1" applyAlignment="1">
      <alignment horizontal="left" vertical="center"/>
    </xf>
    <xf numFmtId="191" fontId="2" fillId="0" borderId="124" xfId="0" applyNumberFormat="1" applyFont="1" applyBorder="1" applyAlignment="1">
      <alignment horizontal="right"/>
    </xf>
    <xf numFmtId="191" fontId="2" fillId="35" borderId="124" xfId="0" applyNumberFormat="1" applyFont="1" applyFill="1" applyBorder="1" applyAlignment="1">
      <alignment horizontal="right"/>
    </xf>
    <xf numFmtId="191" fontId="2" fillId="35" borderId="81" xfId="0" applyNumberFormat="1" applyFont="1" applyFill="1" applyBorder="1" applyAlignment="1">
      <alignment horizontal="right"/>
    </xf>
    <xf numFmtId="0" fontId="86" fillId="0" borderId="124" xfId="0" applyFont="1" applyBorder="1" applyAlignment="1">
      <alignment vertical="center"/>
    </xf>
    <xf numFmtId="0" fontId="45" fillId="0" borderId="124" xfId="0" applyFont="1" applyBorder="1" applyAlignment="1">
      <alignment vertical="center" wrapText="1"/>
    </xf>
    <xf numFmtId="191" fontId="92" fillId="35" borderId="190" xfId="0" applyNumberFormat="1" applyFont="1" applyFill="1" applyBorder="1" applyAlignment="1">
      <alignment horizontal="right"/>
    </xf>
    <xf numFmtId="0" fontId="349" fillId="0" borderId="190" xfId="20954" applyFont="1" applyBorder="1" applyAlignment="1">
      <alignment horizontal="left" vertical="center" wrapText="1"/>
    </xf>
    <xf numFmtId="191" fontId="92" fillId="0" borderId="190" xfId="0" applyNumberFormat="1" applyFont="1" applyBorder="1" applyAlignment="1">
      <alignment horizontal="right"/>
    </xf>
    <xf numFmtId="0" fontId="6" fillId="0" borderId="190" xfId="17" applyFill="1" applyBorder="1" applyAlignment="1" applyProtection="1"/>
    <xf numFmtId="49" fontId="84" fillId="0" borderId="190" xfId="0" applyNumberFormat="1" applyFont="1" applyBorder="1" applyAlignment="1">
      <alignment horizontal="right"/>
    </xf>
    <xf numFmtId="0" fontId="84" fillId="0" borderId="190" xfId="0" applyFont="1" applyBorder="1"/>
    <xf numFmtId="0" fontId="352" fillId="3" borderId="0" xfId="37364" applyFont="1" applyFill="1" applyAlignment="1" applyProtection="1">
      <alignment vertical="center"/>
      <protection locked="0"/>
    </xf>
    <xf numFmtId="0" fontId="129" fillId="3" borderId="190" xfId="5" applyFont="1" applyFill="1" applyBorder="1" applyAlignment="1" applyProtection="1">
      <alignment vertical="center" wrapText="1"/>
      <protection locked="0"/>
    </xf>
    <xf numFmtId="0" fontId="129" fillId="0" borderId="190" xfId="37365" applyFont="1" applyBorder="1" applyAlignment="1" applyProtection="1">
      <alignment horizontal="center" vertical="center" wrapText="1"/>
      <protection locked="0"/>
    </xf>
    <xf numFmtId="3" fontId="129" fillId="3" borderId="190" xfId="1" applyNumberFormat="1" applyFont="1" applyFill="1" applyBorder="1" applyAlignment="1" applyProtection="1">
      <alignment horizontal="center" vertical="center" wrapText="1"/>
      <protection locked="0"/>
    </xf>
    <xf numFmtId="9" fontId="129" fillId="3" borderId="190" xfId="15" applyNumberFormat="1" applyFont="1" applyFill="1" applyBorder="1" applyAlignment="1" applyProtection="1">
      <alignment horizontal="center" vertical="center" wrapText="1"/>
      <protection locked="0"/>
    </xf>
    <xf numFmtId="0" fontId="129" fillId="3" borderId="190" xfId="37365" applyFont="1" applyFill="1" applyBorder="1" applyAlignment="1" applyProtection="1">
      <alignment horizontal="center" vertical="center" wrapText="1"/>
      <protection locked="0"/>
    </xf>
    <xf numFmtId="0" fontId="352" fillId="3" borderId="190" xfId="37365" applyFont="1" applyFill="1" applyBorder="1" applyProtection="1">
      <protection locked="0"/>
    </xf>
    <xf numFmtId="3" fontId="129" fillId="151" borderId="190" xfId="5" applyNumberFormat="1" applyFont="1" applyFill="1" applyBorder="1"/>
    <xf numFmtId="0" fontId="353" fillId="3" borderId="190" xfId="37365" applyFont="1" applyFill="1" applyBorder="1" applyAlignment="1" applyProtection="1">
      <alignment horizontal="right"/>
      <protection locked="0"/>
    </xf>
    <xf numFmtId="359" fontId="129" fillId="151" borderId="190" xfId="5" applyNumberFormat="1" applyFont="1" applyFill="1" applyBorder="1" applyProtection="1">
      <protection locked="0"/>
    </xf>
    <xf numFmtId="164" fontId="129" fillId="151" borderId="190" xfId="1" applyNumberFormat="1" applyFont="1" applyFill="1" applyBorder="1" applyAlignment="1" applyProtection="1"/>
    <xf numFmtId="0" fontId="129" fillId="3" borderId="190" xfId="37365" applyFont="1" applyFill="1" applyBorder="1" applyAlignment="1" applyProtection="1">
      <alignment horizontal="left" vertical="center"/>
      <protection locked="0"/>
    </xf>
    <xf numFmtId="3" fontId="129" fillId="3" borderId="190" xfId="5" applyNumberFormat="1" applyFont="1" applyFill="1" applyBorder="1" applyProtection="1">
      <protection locked="0"/>
    </xf>
    <xf numFmtId="0" fontId="129" fillId="3" borderId="190" xfId="5" applyFont="1" applyFill="1" applyBorder="1" applyProtection="1">
      <protection locked="0"/>
    </xf>
    <xf numFmtId="0" fontId="354" fillId="3" borderId="190" xfId="37365" applyFont="1" applyFill="1" applyBorder="1" applyAlignment="1" applyProtection="1">
      <alignment horizontal="right"/>
      <protection locked="0"/>
    </xf>
    <xf numFmtId="0" fontId="129" fillId="0" borderId="190" xfId="37365" applyFont="1" applyBorder="1" applyAlignment="1" applyProtection="1">
      <alignment horizontal="left" vertical="center"/>
      <protection locked="0"/>
    </xf>
    <xf numFmtId="0" fontId="352" fillId="3" borderId="190" xfId="16" applyFont="1" applyFill="1" applyBorder="1" applyProtection="1">
      <protection locked="0"/>
    </xf>
    <xf numFmtId="3" fontId="352" fillId="75" borderId="190" xfId="16" applyNumberFormat="1" applyFont="1" applyFill="1" applyBorder="1"/>
    <xf numFmtId="0" fontId="357" fillId="0" borderId="0" xfId="37364" applyFont="1" applyAlignment="1" applyProtection="1">
      <alignment vertical="center"/>
      <protection locked="0"/>
    </xf>
    <xf numFmtId="0" fontId="129" fillId="0" borderId="190" xfId="37365" applyFont="1" applyBorder="1" applyAlignment="1" applyProtection="1">
      <alignment horizontal="center" vertical="top" wrapText="1"/>
      <protection locked="0"/>
    </xf>
    <xf numFmtId="0" fontId="352" fillId="3" borderId="190" xfId="37365" applyFont="1" applyFill="1" applyBorder="1" applyAlignment="1" applyProtection="1">
      <alignment wrapText="1"/>
      <protection locked="0"/>
    </xf>
    <xf numFmtId="3" fontId="129" fillId="0" borderId="190" xfId="5" applyNumberFormat="1" applyFont="1" applyBorder="1"/>
    <xf numFmtId="0" fontId="118" fillId="75" borderId="97" xfId="20952" applyFont="1" applyFill="1" applyBorder="1">
      <alignment vertical="center"/>
    </xf>
    <xf numFmtId="0" fontId="118" fillId="75" borderId="98" xfId="20952" applyFont="1" applyFill="1" applyBorder="1">
      <alignment vertical="center"/>
    </xf>
    <xf numFmtId="0" fontId="118" fillId="75" borderId="95" xfId="20952" applyFont="1" applyFill="1" applyBorder="1">
      <alignment vertical="center"/>
    </xf>
    <xf numFmtId="164" fontId="118" fillId="75" borderId="95" xfId="7" applyNumberFormat="1" applyFont="1" applyFill="1" applyBorder="1" applyAlignment="1">
      <alignment horizontal="right" vertical="center"/>
    </xf>
    <xf numFmtId="0" fontId="118" fillId="76" borderId="98" xfId="20952" applyFont="1" applyFill="1" applyBorder="1">
      <alignment vertical="center"/>
    </xf>
    <xf numFmtId="0" fontId="118" fillId="3" borderId="98" xfId="20952" applyFont="1" applyFill="1" applyBorder="1">
      <alignment vertical="center"/>
    </xf>
    <xf numFmtId="0" fontId="92" fillId="69" borderId="94" xfId="20952" applyFont="1" applyFill="1" applyBorder="1" applyAlignment="1">
      <alignment horizontal="center" vertical="center"/>
    </xf>
    <xf numFmtId="0" fontId="92" fillId="69" borderId="95" xfId="20952" applyFont="1" applyFill="1" applyBorder="1" applyAlignment="1">
      <alignment horizontal="left" vertical="center" wrapText="1"/>
    </xf>
    <xf numFmtId="164" fontId="92" fillId="0" borderId="96" xfId="7" applyNumberFormat="1" applyFont="1" applyFill="1" applyBorder="1" applyAlignment="1" applyProtection="1">
      <alignment horizontal="right" vertical="center"/>
      <protection locked="0"/>
    </xf>
    <xf numFmtId="0" fontId="118" fillId="76" borderId="96" xfId="20952" applyFont="1" applyFill="1" applyBorder="1" applyAlignment="1">
      <alignment horizontal="center" vertical="center"/>
    </xf>
    <xf numFmtId="0" fontId="118" fillId="76" borderId="98" xfId="20952" applyFont="1" applyFill="1" applyBorder="1" applyAlignment="1">
      <alignment vertical="top" wrapText="1"/>
    </xf>
    <xf numFmtId="0" fontId="92" fillId="69" borderId="98" xfId="20952" applyFont="1" applyFill="1" applyBorder="1" applyAlignment="1">
      <alignment vertical="center" wrapText="1"/>
    </xf>
    <xf numFmtId="0" fontId="92" fillId="69" borderId="95" xfId="20952" applyFont="1" applyFill="1" applyBorder="1" applyAlignment="1">
      <alignment horizontal="left" vertical="center"/>
    </xf>
    <xf numFmtId="0" fontId="92" fillId="3" borderId="94" xfId="20952" applyFont="1" applyFill="1" applyBorder="1" applyAlignment="1">
      <alignment horizontal="center" vertical="center"/>
    </xf>
    <xf numFmtId="164" fontId="92" fillId="76" borderId="96" xfId="7" applyNumberFormat="1" applyFont="1" applyFill="1" applyBorder="1" applyAlignment="1" applyProtection="1">
      <alignment horizontal="right" vertical="center"/>
      <protection locked="0"/>
    </xf>
    <xf numFmtId="164" fontId="92" fillId="3" borderId="96" xfId="7" applyNumberFormat="1" applyFont="1" applyFill="1" applyBorder="1" applyAlignment="1" applyProtection="1">
      <alignment horizontal="right" vertical="center"/>
      <protection locked="0"/>
    </xf>
    <xf numFmtId="0" fontId="92" fillId="69" borderId="96" xfId="20952" applyFont="1" applyFill="1" applyBorder="1" applyAlignment="1">
      <alignment horizontal="center" vertical="center"/>
    </xf>
    <xf numFmtId="0" fontId="347" fillId="0" borderId="0" xfId="0" applyFont="1" applyAlignment="1">
      <alignment wrapText="1"/>
    </xf>
    <xf numFmtId="0" fontId="104" fillId="69" borderId="197" xfId="20952" applyFont="1" applyFill="1" applyBorder="1" applyAlignment="1" applyProtection="1">
      <alignment horizontal="center" vertical="center"/>
      <protection locked="0"/>
    </xf>
    <xf numFmtId="0" fontId="105" fillId="76" borderId="190" xfId="20952" applyFont="1" applyFill="1" applyBorder="1" applyAlignment="1" applyProtection="1">
      <alignment horizontal="center" vertical="center"/>
      <protection locked="0"/>
    </xf>
    <xf numFmtId="10" fontId="3" fillId="0" borderId="190" xfId="20950" applyNumberFormat="1" applyFont="1" applyFill="1" applyBorder="1" applyAlignment="1" applyProtection="1">
      <alignment horizontal="right" vertical="center" wrapText="1"/>
      <protection locked="0"/>
    </xf>
    <xf numFmtId="10" fontId="92" fillId="2" borderId="190" xfId="20950" applyNumberFormat="1" applyFont="1" applyFill="1" applyBorder="1" applyAlignment="1" applyProtection="1">
      <alignment vertical="center"/>
      <protection locked="0"/>
    </xf>
    <xf numFmtId="191" fontId="94" fillId="0" borderId="190" xfId="0" applyNumberFormat="1" applyFont="1" applyBorder="1" applyAlignment="1" applyProtection="1">
      <alignment vertical="center" wrapText="1"/>
      <protection locked="0"/>
    </xf>
    <xf numFmtId="164" fontId="347" fillId="0" borderId="124" xfId="7" applyNumberFormat="1" applyFont="1" applyBorder="1"/>
    <xf numFmtId="164" fontId="347" fillId="35" borderId="124" xfId="7" applyNumberFormat="1" applyFont="1" applyFill="1" applyBorder="1"/>
    <xf numFmtId="164" fontId="0" fillId="0" borderId="190" xfId="7" applyNumberFormat="1" applyFont="1" applyBorder="1"/>
    <xf numFmtId="164" fontId="347" fillId="0" borderId="111" xfId="7" applyNumberFormat="1" applyFont="1" applyBorder="1"/>
    <xf numFmtId="164" fontId="347" fillId="35" borderId="111" xfId="7" applyNumberFormat="1" applyFont="1" applyFill="1" applyBorder="1"/>
    <xf numFmtId="164" fontId="347" fillId="0" borderId="111" xfId="7" applyNumberFormat="1" applyFont="1" applyBorder="1" applyAlignment="1">
      <alignment vertical="center"/>
    </xf>
    <xf numFmtId="164" fontId="347" fillId="35" borderId="111" xfId="7" applyNumberFormat="1" applyFont="1" applyFill="1" applyBorder="1" applyAlignment="1">
      <alignment vertical="center"/>
    </xf>
    <xf numFmtId="164" fontId="347" fillId="0" borderId="0" xfId="0" applyNumberFormat="1" applyFont="1"/>
    <xf numFmtId="0" fontId="122" fillId="0" borderId="204" xfId="0" applyFont="1" applyBorder="1" applyAlignment="1">
      <alignment horizontal="justify" vertical="center" wrapText="1"/>
    </xf>
    <xf numFmtId="0" fontId="121" fillId="0" borderId="204" xfId="0" applyFont="1" applyBorder="1" applyAlignment="1">
      <alignment horizontal="left" vertical="center" wrapText="1" indent="1"/>
    </xf>
    <xf numFmtId="0" fontId="120" fillId="0" borderId="204" xfId="0" applyFont="1" applyBorder="1" applyAlignment="1">
      <alignment horizontal="justify" vertical="center" wrapText="1"/>
    </xf>
    <xf numFmtId="0" fontId="122" fillId="3" borderId="204" xfId="0" applyFont="1" applyFill="1" applyBorder="1" applyAlignment="1">
      <alignment horizontal="justify" vertical="center" wrapText="1"/>
    </xf>
    <xf numFmtId="0" fontId="123" fillId="0" borderId="204" xfId="0" applyFont="1" applyBorder="1" applyAlignment="1">
      <alignment horizontal="left" vertical="center" wrapText="1" indent="1"/>
    </xf>
    <xf numFmtId="0" fontId="122" fillId="0" borderId="204" xfId="0" applyFont="1" applyBorder="1" applyAlignment="1">
      <alignment horizontal="left" vertical="center" wrapText="1"/>
    </xf>
    <xf numFmtId="0" fontId="120" fillId="0" borderId="204" xfId="0" applyFont="1" applyBorder="1" applyAlignment="1">
      <alignment vertical="center" wrapText="1"/>
    </xf>
    <xf numFmtId="0" fontId="121" fillId="0" borderId="204" xfId="0" applyFont="1" applyBorder="1" applyAlignment="1">
      <alignment horizontal="left" vertical="center" wrapText="1"/>
    </xf>
    <xf numFmtId="0" fontId="122" fillId="0" borderId="204" xfId="0" applyFont="1" applyBorder="1" applyAlignment="1">
      <alignment vertical="center" wrapText="1"/>
    </xf>
    <xf numFmtId="0" fontId="122" fillId="3" borderId="204" xfId="0" applyFont="1" applyFill="1" applyBorder="1" applyAlignment="1">
      <alignment vertical="center" wrapText="1"/>
    </xf>
    <xf numFmtId="164" fontId="0" fillId="0" borderId="124" xfId="7" applyNumberFormat="1" applyFont="1" applyBorder="1"/>
    <xf numFmtId="164" fontId="0" fillId="0" borderId="0" xfId="0" applyNumberFormat="1"/>
    <xf numFmtId="164" fontId="0" fillId="35" borderId="124" xfId="7" applyNumberFormat="1" applyFont="1" applyFill="1" applyBorder="1"/>
    <xf numFmtId="164" fontId="0" fillId="35" borderId="190" xfId="7" applyNumberFormat="1" applyFont="1" applyFill="1" applyBorder="1"/>
    <xf numFmtId="164" fontId="359" fillId="0" borderId="0" xfId="0" applyNumberFormat="1" applyFont="1"/>
    <xf numFmtId="164" fontId="101" fillId="0" borderId="96" xfId="7" applyNumberFormat="1" applyFont="1" applyBorder="1" applyAlignment="1">
      <alignment vertical="center" wrapText="1"/>
    </xf>
    <xf numFmtId="164" fontId="101" fillId="0" borderId="97" xfId="7" applyNumberFormat="1" applyFont="1" applyBorder="1" applyAlignment="1">
      <alignment vertical="center" wrapText="1"/>
    </xf>
    <xf numFmtId="164" fontId="101" fillId="0" borderId="84" xfId="7" applyNumberFormat="1" applyFont="1" applyBorder="1" applyAlignment="1">
      <alignment vertical="center" wrapText="1"/>
    </xf>
    <xf numFmtId="43" fontId="89" fillId="0" borderId="0" xfId="7" applyFont="1"/>
    <xf numFmtId="191" fontId="85" fillId="0" borderId="0" xfId="0" applyNumberFormat="1" applyFont="1"/>
    <xf numFmtId="43" fontId="85" fillId="0" borderId="0" xfId="7" applyFont="1"/>
    <xf numFmtId="164" fontId="85" fillId="0" borderId="0" xfId="7" applyNumberFormat="1" applyFont="1"/>
    <xf numFmtId="10" fontId="3" fillId="0" borderId="205" xfId="20950" applyNumberFormat="1" applyFont="1" applyBorder="1"/>
    <xf numFmtId="0" fontId="2" fillId="0" borderId="87" xfId="0" applyFont="1" applyBorder="1" applyAlignment="1">
      <alignment vertical="center"/>
    </xf>
    <xf numFmtId="0" fontId="2" fillId="0" borderId="187" xfId="0" applyFont="1" applyBorder="1" applyAlignment="1">
      <alignment wrapText="1"/>
    </xf>
    <xf numFmtId="10" fontId="3" fillId="0" borderId="206" xfId="20950" applyNumberFormat="1" applyFont="1" applyBorder="1"/>
    <xf numFmtId="164" fontId="84" fillId="0" borderId="80" xfId="7" applyNumberFormat="1" applyFont="1" applyFill="1" applyBorder="1" applyAlignment="1">
      <alignment horizontal="center" vertical="center"/>
    </xf>
    <xf numFmtId="164" fontId="84" fillId="0" borderId="124" xfId="7" applyNumberFormat="1" applyFont="1" applyFill="1" applyBorder="1" applyAlignment="1">
      <alignment horizontal="center" vertical="center"/>
    </xf>
    <xf numFmtId="164" fontId="3" fillId="0" borderId="207" xfId="7" applyNumberFormat="1" applyFont="1" applyFill="1" applyBorder="1" applyAlignment="1">
      <alignment vertical="center" wrapText="1"/>
    </xf>
    <xf numFmtId="43" fontId="85" fillId="0" borderId="0" xfId="0" applyNumberFormat="1" applyFont="1"/>
    <xf numFmtId="191" fontId="84" fillId="0" borderId="0" xfId="0" applyNumberFormat="1" applyFont="1"/>
    <xf numFmtId="43" fontId="84" fillId="0" borderId="0" xfId="7" applyFont="1"/>
    <xf numFmtId="10" fontId="3" fillId="0" borderId="0" xfId="0" applyNumberFormat="1" applyFont="1" applyAlignment="1">
      <alignment horizontal="left" vertical="center"/>
    </xf>
    <xf numFmtId="43" fontId="3" fillId="0" borderId="0" xfId="7" applyFont="1"/>
    <xf numFmtId="43" fontId="92" fillId="0" borderId="0" xfId="7" applyFont="1"/>
    <xf numFmtId="43" fontId="3" fillId="0" borderId="0" xfId="7" applyFont="1" applyAlignment="1">
      <alignment horizontal="center" vertical="center"/>
    </xf>
    <xf numFmtId="43" fontId="3" fillId="0" borderId="0" xfId="7" applyFont="1" applyAlignment="1">
      <alignment horizontal="left" vertical="center"/>
    </xf>
    <xf numFmtId="164" fontId="86" fillId="0" borderId="31" xfId="7" applyNumberFormat="1" applyFont="1" applyBorder="1" applyAlignment="1">
      <alignment vertical="center"/>
    </xf>
    <xf numFmtId="164" fontId="84" fillId="0" borderId="11" xfId="7" applyNumberFormat="1" applyFont="1" applyBorder="1" applyAlignment="1">
      <alignment vertical="center"/>
    </xf>
    <xf numFmtId="164" fontId="86" fillId="0" borderId="11" xfId="7" applyNumberFormat="1" applyFont="1" applyBorder="1" applyAlignment="1">
      <alignment vertical="center"/>
    </xf>
    <xf numFmtId="164" fontId="88" fillId="0" borderId="11" xfId="7" applyNumberFormat="1" applyFont="1" applyBorder="1" applyAlignment="1">
      <alignment vertical="center"/>
    </xf>
    <xf numFmtId="164" fontId="84" fillId="0" borderId="12" xfId="7" applyNumberFormat="1" applyFont="1" applyBorder="1" applyAlignment="1">
      <alignment vertical="center"/>
    </xf>
    <xf numFmtId="164" fontId="86" fillId="0" borderId="13" xfId="7" applyNumberFormat="1" applyFont="1" applyBorder="1" applyAlignment="1">
      <alignment vertical="center"/>
    </xf>
    <xf numFmtId="164" fontId="86" fillId="0" borderId="14" xfId="7" applyNumberFormat="1" applyFont="1" applyBorder="1" applyAlignment="1">
      <alignment vertical="center"/>
    </xf>
    <xf numFmtId="164" fontId="86" fillId="0" borderId="12" xfId="7" applyNumberFormat="1" applyFont="1" applyBorder="1" applyAlignment="1">
      <alignment vertical="center"/>
    </xf>
    <xf numFmtId="164" fontId="88" fillId="0" borderId="12" xfId="7" applyNumberFormat="1" applyFont="1" applyBorder="1" applyAlignment="1">
      <alignment vertical="center"/>
    </xf>
    <xf numFmtId="164" fontId="84" fillId="0" borderId="124" xfId="7" applyNumberFormat="1" applyFont="1" applyBorder="1" applyAlignment="1">
      <alignment vertical="center"/>
    </xf>
    <xf numFmtId="164" fontId="86" fillId="0" borderId="124" xfId="7" applyNumberFormat="1" applyFont="1" applyBorder="1" applyAlignment="1">
      <alignment vertical="center"/>
    </xf>
    <xf numFmtId="164" fontId="84" fillId="0" borderId="124" xfId="7" applyNumberFormat="1" applyFont="1" applyBorder="1" applyAlignment="1"/>
    <xf numFmtId="164" fontId="86" fillId="0" borderId="124" xfId="7" applyNumberFormat="1" applyFont="1" applyBorder="1" applyAlignment="1"/>
    <xf numFmtId="191" fontId="3" fillId="0" borderId="0" xfId="0" applyNumberFormat="1" applyFont="1"/>
    <xf numFmtId="164" fontId="4" fillId="0" borderId="204" xfId="7" applyNumberFormat="1" applyFont="1" applyBorder="1" applyAlignment="1">
      <alignment vertical="center"/>
    </xf>
    <xf numFmtId="0" fontId="3" fillId="0" borderId="203" xfId="0" applyFont="1" applyBorder="1" applyAlignment="1">
      <alignment vertical="center"/>
    </xf>
    <xf numFmtId="164" fontId="3" fillId="0" borderId="208" xfId="7" applyNumberFormat="1" applyFont="1" applyBorder="1" applyAlignment="1">
      <alignment vertical="center"/>
    </xf>
    <xf numFmtId="164" fontId="3" fillId="0" borderId="209" xfId="7" applyNumberFormat="1" applyFont="1" applyBorder="1" applyAlignment="1">
      <alignment vertical="center"/>
    </xf>
    <xf numFmtId="164" fontId="3" fillId="0" borderId="187" xfId="7" applyNumberFormat="1" applyFont="1" applyBorder="1" applyAlignment="1">
      <alignment vertical="center"/>
    </xf>
    <xf numFmtId="164" fontId="3" fillId="0" borderId="90" xfId="7" applyNumberFormat="1" applyFont="1" applyBorder="1" applyAlignment="1">
      <alignment vertical="center"/>
    </xf>
    <xf numFmtId="165" fontId="3" fillId="0" borderId="210" xfId="20950" applyNumberFormat="1" applyFont="1" applyBorder="1" applyAlignment="1">
      <alignment vertical="center"/>
    </xf>
    <xf numFmtId="3" fontId="84" fillId="0" borderId="0" xfId="0" applyNumberFormat="1" applyFont="1"/>
    <xf numFmtId="10" fontId="103" fillId="76" borderId="190" xfId="20950" applyNumberFormat="1" applyFont="1" applyFill="1" applyBorder="1" applyAlignment="1" applyProtection="1">
      <alignment horizontal="right" vertical="center"/>
    </xf>
    <xf numFmtId="3" fontId="0" fillId="0" borderId="0" xfId="0" applyNumberFormat="1"/>
    <xf numFmtId="164" fontId="109" fillId="0" borderId="124" xfId="7" applyNumberFormat="1" applyFont="1" applyBorder="1"/>
    <xf numFmtId="164" fontId="112" fillId="0" borderId="124" xfId="7" applyNumberFormat="1" applyFont="1" applyBorder="1"/>
    <xf numFmtId="164" fontId="109" fillId="0" borderId="0" xfId="0" applyNumberFormat="1" applyFont="1"/>
    <xf numFmtId="164" fontId="108" fillId="0" borderId="124" xfId="7" applyNumberFormat="1" applyFont="1" applyBorder="1"/>
    <xf numFmtId="164" fontId="108" fillId="35" borderId="124" xfId="7" applyNumberFormat="1" applyFont="1" applyFill="1" applyBorder="1"/>
    <xf numFmtId="164" fontId="111" fillId="0" borderId="124" xfId="7" applyNumberFormat="1" applyFont="1" applyBorder="1"/>
    <xf numFmtId="43" fontId="111" fillId="0" borderId="190" xfId="7" applyFont="1" applyBorder="1"/>
    <xf numFmtId="0" fontId="108" fillId="0" borderId="190" xfId="0" applyFont="1" applyBorder="1" applyAlignment="1">
      <alignment horizontal="left" indent="1"/>
    </xf>
    <xf numFmtId="0" fontId="108" fillId="0" borderId="190" xfId="0" applyFont="1" applyBorder="1"/>
    <xf numFmtId="43" fontId="108" fillId="0" borderId="190" xfId="7" applyFont="1" applyBorder="1"/>
    <xf numFmtId="43" fontId="108" fillId="0" borderId="190" xfId="7" applyFont="1" applyFill="1" applyBorder="1" applyAlignment="1">
      <alignment horizontal="left" indent="1"/>
    </xf>
    <xf numFmtId="43" fontId="108" fillId="0" borderId="190" xfId="7" applyFont="1" applyFill="1" applyBorder="1"/>
    <xf numFmtId="43" fontId="108" fillId="0" borderId="190" xfId="7" applyFont="1" applyBorder="1" applyAlignment="1">
      <alignment horizontal="left" indent="1"/>
    </xf>
    <xf numFmtId="43" fontId="111" fillId="151" borderId="190" xfId="7" applyFont="1" applyFill="1" applyBorder="1"/>
    <xf numFmtId="43" fontId="108" fillId="0" borderId="0" xfId="0" applyNumberFormat="1" applyFont="1"/>
    <xf numFmtId="164" fontId="111" fillId="0" borderId="67" xfId="7" applyNumberFormat="1" applyFont="1" applyBorder="1"/>
    <xf numFmtId="164" fontId="108" fillId="0" borderId="190" xfId="7" applyNumberFormat="1" applyFont="1" applyBorder="1"/>
    <xf numFmtId="164" fontId="108" fillId="0" borderId="81" xfId="7" applyNumberFormat="1" applyFont="1" applyBorder="1"/>
    <xf numFmtId="164" fontId="108" fillId="0" borderId="184" xfId="7" applyNumberFormat="1" applyFont="1" applyBorder="1" applyAlignment="1">
      <alignment horizontal="left" indent="1"/>
    </xf>
    <xf numFmtId="164" fontId="108" fillId="0" borderId="184" xfId="7" applyNumberFormat="1" applyFont="1" applyBorder="1" applyAlignment="1">
      <alignment horizontal="left" indent="2"/>
    </xf>
    <xf numFmtId="164" fontId="108" fillId="0" borderId="184" xfId="7" applyNumberFormat="1" applyFont="1" applyBorder="1" applyAlignment="1">
      <alignment horizontal="left" indent="3"/>
    </xf>
    <xf numFmtId="164" fontId="108" fillId="78" borderId="184" xfId="7" applyNumberFormat="1" applyFont="1" applyFill="1" applyBorder="1"/>
    <xf numFmtId="164" fontId="108" fillId="78" borderId="190" xfId="7" applyNumberFormat="1" applyFont="1" applyFill="1" applyBorder="1"/>
    <xf numFmtId="164" fontId="108" fillId="78" borderId="81" xfId="7" applyNumberFormat="1" applyFont="1" applyFill="1" applyBorder="1"/>
    <xf numFmtId="164" fontId="108" fillId="0" borderId="184" xfId="7" applyNumberFormat="1" applyFont="1" applyBorder="1" applyAlignment="1">
      <alignment horizontal="left" vertical="top" wrapText="1" indent="2"/>
    </xf>
    <xf numFmtId="164" fontId="108" fillId="0" borderId="184" xfId="7" applyNumberFormat="1" applyFont="1" applyBorder="1" applyAlignment="1">
      <alignment horizontal="left" wrapText="1" indent="3"/>
    </xf>
    <xf numFmtId="164" fontId="108" fillId="0" borderId="184" xfId="7" applyNumberFormat="1" applyFont="1" applyBorder="1" applyAlignment="1">
      <alignment horizontal="left" wrapText="1" indent="2"/>
    </xf>
    <xf numFmtId="164" fontId="108" fillId="0" borderId="184" xfId="7" applyNumberFormat="1" applyFont="1" applyBorder="1" applyAlignment="1">
      <alignment horizontal="left" wrapText="1" indent="1"/>
    </xf>
    <xf numFmtId="164" fontId="108" fillId="0" borderId="211" xfId="7" applyNumberFormat="1" applyFont="1" applyBorder="1" applyAlignment="1">
      <alignment horizontal="left" wrapText="1" indent="1"/>
    </xf>
    <xf numFmtId="164" fontId="108" fillId="0" borderId="203" xfId="7" applyNumberFormat="1" applyFont="1" applyBorder="1"/>
    <xf numFmtId="164" fontId="108" fillId="0" borderId="212" xfId="7" applyNumberFormat="1" applyFont="1" applyBorder="1"/>
    <xf numFmtId="164" fontId="108" fillId="0" borderId="0" xfId="0" applyNumberFormat="1" applyFont="1"/>
    <xf numFmtId="164" fontId="108" fillId="0" borderId="190" xfId="7" applyNumberFormat="1" applyFont="1" applyBorder="1" applyAlignment="1">
      <alignment horizontal="left" vertical="center" wrapText="1"/>
    </xf>
    <xf numFmtId="164" fontId="108" fillId="0" borderId="190" xfId="7" applyNumberFormat="1" applyFont="1" applyBorder="1" applyAlignment="1">
      <alignment horizontal="center" vertical="center" textRotation="90" wrapText="1"/>
    </xf>
    <xf numFmtId="164" fontId="108" fillId="0" borderId="190" xfId="7" applyNumberFormat="1" applyFont="1" applyBorder="1" applyAlignment="1">
      <alignment horizontal="center" vertical="center" wrapText="1"/>
    </xf>
    <xf numFmtId="164" fontId="108" fillId="0" borderId="190" xfId="7" applyNumberFormat="1" applyFont="1" applyBorder="1" applyAlignment="1">
      <alignment horizontal="center" vertical="center"/>
    </xf>
    <xf numFmtId="43" fontId="111" fillId="0" borderId="190" xfId="7" applyFont="1" applyBorder="1" applyAlignment="1">
      <alignment horizontal="left" vertical="center" wrapText="1"/>
    </xf>
    <xf numFmtId="43" fontId="113" fillId="0" borderId="0" xfId="7" applyFont="1"/>
    <xf numFmtId="43" fontId="113" fillId="0" borderId="190" xfId="7" applyFont="1" applyBorder="1"/>
    <xf numFmtId="0" fontId="113" fillId="0" borderId="190" xfId="0" applyFont="1" applyBorder="1"/>
    <xf numFmtId="10" fontId="113" fillId="0" borderId="190" xfId="20950" applyNumberFormat="1" applyFont="1" applyBorder="1"/>
    <xf numFmtId="43" fontId="113" fillId="0" borderId="197" xfId="7" applyFont="1" applyBorder="1"/>
    <xf numFmtId="0" fontId="113" fillId="0" borderId="197" xfId="0" applyFont="1" applyBorder="1"/>
    <xf numFmtId="10" fontId="113" fillId="0" borderId="197" xfId="20950" applyNumberFormat="1" applyFont="1" applyBorder="1"/>
    <xf numFmtId="43" fontId="129" fillId="0" borderId="0" xfId="0" applyNumberFormat="1" applyFont="1"/>
    <xf numFmtId="0" fontId="349" fillId="0" borderId="190" xfId="0" applyFont="1" applyBorder="1" applyAlignment="1">
      <alignment horizontal="left" vertical="center" wrapText="1"/>
    </xf>
    <xf numFmtId="0" fontId="92" fillId="3" borderId="190" xfId="0" applyFont="1" applyFill="1" applyBorder="1" applyAlignment="1">
      <alignment horizontal="left" vertical="center" wrapText="1" indent="1"/>
    </xf>
    <xf numFmtId="0" fontId="349" fillId="3" borderId="190" xfId="20954" applyFont="1" applyFill="1" applyBorder="1" applyAlignment="1">
      <alignment horizontal="left" vertical="center" wrapText="1"/>
    </xf>
    <xf numFmtId="0" fontId="350" fillId="3" borderId="190" xfId="0" applyFont="1" applyFill="1" applyBorder="1" applyAlignment="1">
      <alignment horizontal="left" vertical="center" wrapText="1" indent="1"/>
    </xf>
    <xf numFmtId="0" fontId="92" fillId="0" borderId="190" xfId="0" applyFont="1" applyBorder="1" applyAlignment="1">
      <alignment horizontal="left" vertical="center" wrapText="1" indent="1"/>
    </xf>
    <xf numFmtId="0" fontId="349" fillId="3" borderId="190" xfId="0" applyFont="1" applyFill="1" applyBorder="1" applyAlignment="1">
      <alignment horizontal="left" vertical="center" wrapText="1"/>
    </xf>
    <xf numFmtId="0" fontId="92" fillId="3" borderId="190" xfId="20954" applyFont="1" applyFill="1" applyBorder="1" applyAlignment="1">
      <alignment horizontal="left" vertical="center" wrapText="1" indent="1"/>
    </xf>
    <xf numFmtId="0" fontId="92" fillId="0" borderId="190" xfId="20954" applyFont="1" applyBorder="1" applyAlignment="1">
      <alignment horizontal="left" vertical="center" wrapText="1" indent="1"/>
    </xf>
    <xf numFmtId="0" fontId="118" fillId="3" borderId="190" xfId="20954" applyFont="1" applyFill="1" applyBorder="1" applyAlignment="1">
      <alignment horizontal="left" vertical="center" wrapText="1"/>
    </xf>
    <xf numFmtId="0" fontId="118" fillId="0" borderId="190" xfId="0" applyFont="1" applyBorder="1" applyAlignment="1">
      <alignment horizontal="left" vertical="center" wrapText="1"/>
    </xf>
    <xf numFmtId="0" fontId="349" fillId="0" borderId="190" xfId="0" applyFont="1" applyBorder="1" applyAlignment="1">
      <alignment vertical="center" wrapText="1"/>
    </xf>
    <xf numFmtId="0" fontId="350" fillId="0" borderId="190" xfId="0" applyFont="1" applyBorder="1" applyAlignment="1">
      <alignment horizontal="left" vertical="center" wrapText="1" indent="1"/>
    </xf>
    <xf numFmtId="0" fontId="350" fillId="0" borderId="190" xfId="20954" applyFont="1" applyBorder="1" applyAlignment="1">
      <alignment horizontal="left" vertical="center" wrapText="1" indent="1"/>
    </xf>
    <xf numFmtId="10" fontId="85" fillId="0" borderId="0" xfId="0" applyNumberFormat="1" applyFont="1"/>
    <xf numFmtId="192" fontId="0" fillId="0" borderId="0" xfId="0" applyNumberFormat="1"/>
    <xf numFmtId="191" fontId="347" fillId="0" borderId="0" xfId="0" applyNumberFormat="1" applyFont="1"/>
    <xf numFmtId="0" fontId="346" fillId="0" borderId="0" xfId="0" applyFont="1"/>
    <xf numFmtId="192" fontId="346" fillId="0" borderId="0" xfId="0" applyNumberFormat="1" applyFont="1"/>
    <xf numFmtId="43" fontId="346" fillId="0" borderId="0" xfId="7" applyFont="1" applyFill="1"/>
    <xf numFmtId="164" fontId="113" fillId="0" borderId="124" xfId="7" applyNumberFormat="1" applyFont="1" applyBorder="1"/>
    <xf numFmtId="2" fontId="113" fillId="0" borderId="190" xfId="20950" applyNumberFormat="1" applyFont="1" applyBorder="1"/>
    <xf numFmtId="2" fontId="113" fillId="0" borderId="197" xfId="20950" applyNumberFormat="1" applyFont="1" applyBorder="1"/>
    <xf numFmtId="2" fontId="113" fillId="0" borderId="190" xfId="0" applyNumberFormat="1" applyFont="1" applyBorder="1"/>
    <xf numFmtId="0" fontId="91" fillId="0" borderId="66" xfId="0" applyFont="1" applyBorder="1" applyAlignment="1">
      <alignment horizontal="left" wrapText="1"/>
    </xf>
    <xf numFmtId="0" fontId="91" fillId="0" borderId="65" xfId="0" applyFont="1" applyBorder="1" applyAlignment="1">
      <alignment horizontal="left" wrapText="1"/>
    </xf>
    <xf numFmtId="0" fontId="91" fillId="0" borderId="130" xfId="0" applyFont="1" applyBorder="1" applyAlignment="1">
      <alignment horizontal="center" vertical="center"/>
    </xf>
    <xf numFmtId="0" fontId="91" fillId="0" borderId="30" xfId="0" applyFont="1" applyBorder="1" applyAlignment="1">
      <alignment horizontal="center" vertical="center"/>
    </xf>
    <xf numFmtId="0" fontId="91" fillId="0" borderId="131" xfId="0" applyFont="1" applyBorder="1" applyAlignment="1">
      <alignment horizontal="center" vertical="center"/>
    </xf>
    <xf numFmtId="164" fontId="347" fillId="0" borderId="125" xfId="7" applyNumberFormat="1" applyFont="1" applyBorder="1" applyAlignment="1">
      <alignment horizontal="center"/>
    </xf>
    <xf numFmtId="164" fontId="347" fillId="0" borderId="126" xfId="7" applyNumberFormat="1" applyFont="1" applyBorder="1" applyAlignment="1">
      <alignment horizontal="center"/>
    </xf>
    <xf numFmtId="164" fontId="347" fillId="0" borderId="127" xfId="7" applyNumberFormat="1" applyFont="1" applyBorder="1" applyAlignment="1">
      <alignment horizontal="center"/>
    </xf>
    <xf numFmtId="0" fontId="347" fillId="0" borderId="111" xfId="0" applyFont="1" applyBorder="1" applyAlignment="1">
      <alignment horizontal="center" vertical="center"/>
    </xf>
    <xf numFmtId="0" fontId="348" fillId="0" borderId="112" xfId="0" applyFont="1" applyBorder="1" applyAlignment="1">
      <alignment horizontal="center" vertical="center"/>
    </xf>
    <xf numFmtId="0" fontId="348" fillId="0" borderId="7" xfId="0" applyFont="1" applyBorder="1" applyAlignment="1">
      <alignment horizontal="center" vertical="center"/>
    </xf>
    <xf numFmtId="0" fontId="118" fillId="0" borderId="16" xfId="0" applyFont="1" applyBorder="1" applyAlignment="1">
      <alignment horizontal="center" vertical="center"/>
    </xf>
    <xf numFmtId="0" fontId="118" fillId="0" borderId="17" xfId="0" applyFont="1" applyBorder="1" applyAlignment="1">
      <alignment horizontal="center" vertical="center"/>
    </xf>
    <xf numFmtId="0" fontId="347" fillId="0" borderId="113" xfId="0" applyFont="1" applyBorder="1" applyAlignment="1">
      <alignment horizontal="center"/>
    </xf>
    <xf numFmtId="0" fontId="347" fillId="0" borderId="114" xfId="0" applyFont="1" applyBorder="1" applyAlignment="1">
      <alignment horizontal="center"/>
    </xf>
    <xf numFmtId="0" fontId="347" fillId="0" borderId="115" xfId="0" applyFont="1" applyBorder="1" applyAlignment="1">
      <alignment horizontal="center"/>
    </xf>
    <xf numFmtId="164" fontId="347" fillId="0" borderId="113" xfId="7" applyNumberFormat="1" applyFont="1" applyBorder="1" applyAlignment="1">
      <alignment horizontal="center"/>
    </xf>
    <xf numFmtId="164" fontId="347" fillId="0" borderId="114" xfId="7" applyNumberFormat="1" applyFont="1" applyBorder="1" applyAlignment="1">
      <alignment horizontal="center"/>
    </xf>
    <xf numFmtId="164" fontId="347" fillId="0" borderId="115"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7" fillId="0" borderId="128"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24" xfId="0" applyFont="1" applyBorder="1" applyAlignment="1">
      <alignment horizontal="center" vertical="center"/>
    </xf>
    <xf numFmtId="0" fontId="84" fillId="0" borderId="124"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4"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71" xfId="13" applyFont="1" applyFill="1" applyBorder="1" applyAlignment="1" applyProtection="1">
      <alignment horizontal="center" vertical="center" wrapText="1"/>
      <protection locked="0"/>
    </xf>
    <xf numFmtId="0" fontId="96"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7" fillId="0" borderId="54" xfId="0" applyFont="1" applyBorder="1" applyAlignment="1">
      <alignment horizontal="left" vertical="center"/>
    </xf>
    <xf numFmtId="0" fontId="97"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1" fillId="0" borderId="101" xfId="0" applyFont="1" applyBorder="1" applyAlignment="1">
      <alignment horizontal="left" vertical="center" wrapText="1"/>
    </xf>
    <xf numFmtId="0" fontId="111" fillId="0" borderId="102" xfId="0" applyFont="1" applyBorder="1" applyAlignment="1">
      <alignment horizontal="left" vertical="center" wrapText="1"/>
    </xf>
    <xf numFmtId="0" fontId="111" fillId="0" borderId="106" xfId="0" applyFont="1" applyBorder="1" applyAlignment="1">
      <alignment horizontal="left" vertical="center" wrapText="1"/>
    </xf>
    <xf numFmtId="0" fontId="111" fillId="0" borderId="107" xfId="0" applyFont="1" applyBorder="1" applyAlignment="1">
      <alignment horizontal="left" vertical="center" wrapText="1"/>
    </xf>
    <xf numFmtId="0" fontId="111" fillId="0" borderId="109" xfId="0" applyFont="1" applyBorder="1" applyAlignment="1">
      <alignment horizontal="left" vertical="center" wrapText="1"/>
    </xf>
    <xf numFmtId="0" fontId="111" fillId="0" borderId="110" xfId="0" applyFont="1" applyBorder="1" applyAlignment="1">
      <alignment horizontal="left" vertical="center" wrapText="1"/>
    </xf>
    <xf numFmtId="0" fontId="112" fillId="0" borderId="103" xfId="0" applyFont="1" applyBorder="1" applyAlignment="1">
      <alignment horizontal="center" vertical="center" wrapText="1"/>
    </xf>
    <xf numFmtId="0" fontId="112" fillId="0" borderId="104" xfId="0" applyFont="1" applyBorder="1" applyAlignment="1">
      <alignment horizontal="center" vertical="center" wrapText="1"/>
    </xf>
    <xf numFmtId="0" fontId="112" fillId="0" borderId="105" xfId="0" applyFont="1" applyBorder="1" applyAlignment="1">
      <alignment horizontal="center" vertical="center" wrapText="1"/>
    </xf>
    <xf numFmtId="0" fontId="112" fillId="0" borderId="85" xfId="0" applyFont="1" applyBorder="1" applyAlignment="1">
      <alignment horizontal="center" vertical="center" wrapText="1"/>
    </xf>
    <xf numFmtId="0" fontId="112" fillId="0" borderId="108" xfId="0" applyFont="1" applyBorder="1" applyAlignment="1">
      <alignment horizontal="center" vertical="center" wrapText="1"/>
    </xf>
    <xf numFmtId="0" fontId="112" fillId="0" borderId="75" xfId="0" applyFont="1" applyBorder="1" applyAlignment="1">
      <alignment horizontal="center" vertical="center" wrapText="1"/>
    </xf>
    <xf numFmtId="0" fontId="108" fillId="0" borderId="128"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4" xfId="0" applyFont="1" applyBorder="1" applyAlignment="1">
      <alignment horizontal="center" vertical="center" wrapText="1"/>
    </xf>
    <xf numFmtId="0" fontId="116" fillId="0" borderId="124" xfId="0" applyFont="1" applyBorder="1" applyAlignment="1">
      <alignment horizontal="center" vertical="center"/>
    </xf>
    <xf numFmtId="0" fontId="116" fillId="0" borderId="103" xfId="0" applyFont="1" applyBorder="1" applyAlignment="1">
      <alignment horizontal="center" vertical="center"/>
    </xf>
    <xf numFmtId="0" fontId="116" fillId="0" borderId="105"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2" fillId="0" borderId="124" xfId="0" applyFont="1" applyBorder="1" applyAlignment="1">
      <alignment horizontal="center" vertical="center" wrapText="1"/>
    </xf>
    <xf numFmtId="0" fontId="108" fillId="0" borderId="127" xfId="0" applyFont="1" applyBorder="1" applyAlignment="1">
      <alignment horizontal="center" vertical="center" wrapText="1"/>
    </xf>
    <xf numFmtId="0" fontId="111" fillId="0" borderId="103" xfId="0" applyFont="1" applyBorder="1" applyAlignment="1">
      <alignment horizontal="center" vertical="center" wrapText="1"/>
    </xf>
    <xf numFmtId="0" fontId="111" fillId="0" borderId="105" xfId="0" applyFont="1" applyBorder="1" applyAlignment="1">
      <alignment horizontal="center" vertical="center" wrapText="1"/>
    </xf>
    <xf numFmtId="0" fontId="111" fillId="0" borderId="70" xfId="0" applyFont="1" applyBorder="1" applyAlignment="1">
      <alignment horizontal="center" vertical="center" wrapText="1"/>
    </xf>
    <xf numFmtId="0" fontId="111" fillId="0" borderId="68" xfId="0" applyFont="1" applyBorder="1" applyAlignment="1">
      <alignment horizontal="center" vertical="center" wrapText="1"/>
    </xf>
    <xf numFmtId="0" fontId="111" fillId="0" borderId="85" xfId="0" applyFont="1" applyBorder="1" applyAlignment="1">
      <alignment horizontal="center" vertical="center" wrapText="1"/>
    </xf>
    <xf numFmtId="0" fontId="111" fillId="0" borderId="75" xfId="0" applyFont="1" applyBorder="1" applyAlignment="1">
      <alignment horizontal="center" vertical="center" wrapText="1"/>
    </xf>
    <xf numFmtId="0" fontId="108" fillId="0" borderId="125" xfId="0" applyFont="1" applyBorder="1" applyAlignment="1">
      <alignment horizontal="center" vertical="center" wrapText="1"/>
    </xf>
    <xf numFmtId="0" fontId="108" fillId="0" borderId="126" xfId="0" applyFont="1" applyBorder="1" applyAlignment="1">
      <alignment horizontal="center" vertical="center" wrapText="1"/>
    </xf>
    <xf numFmtId="0" fontId="111" fillId="0" borderId="76" xfId="0" applyFont="1" applyBorder="1" applyAlignment="1">
      <alignment horizontal="center" vertical="center" wrapText="1"/>
    </xf>
    <xf numFmtId="0" fontId="111" fillId="0" borderId="7" xfId="0" applyFont="1" applyBorder="1" applyAlignment="1">
      <alignment horizontal="center" vertical="center" wrapText="1"/>
    </xf>
    <xf numFmtId="0" fontId="108" fillId="0" borderId="76" xfId="0" applyFont="1" applyBorder="1" applyAlignment="1">
      <alignment horizontal="center" vertical="center" wrapText="1"/>
    </xf>
    <xf numFmtId="0" fontId="108" fillId="0" borderId="75" xfId="0" applyFont="1" applyBorder="1" applyAlignment="1">
      <alignment horizontal="center" vertical="center" wrapText="1"/>
    </xf>
    <xf numFmtId="0" fontId="111" fillId="0" borderId="54" xfId="0" applyFont="1" applyBorder="1" applyAlignment="1">
      <alignment horizontal="left" vertical="top" wrapText="1"/>
    </xf>
    <xf numFmtId="0" fontId="111" fillId="0" borderId="77" xfId="0" applyFont="1" applyBorder="1" applyAlignment="1">
      <alignment horizontal="left" vertical="top" wrapText="1"/>
    </xf>
    <xf numFmtId="0" fontId="111" fillId="0" borderId="63" xfId="0" applyFont="1" applyBorder="1" applyAlignment="1">
      <alignment horizontal="left" vertical="top" wrapText="1"/>
    </xf>
    <xf numFmtId="0" fontId="111" fillId="0" borderId="93" xfId="0" applyFont="1" applyBorder="1" applyAlignment="1">
      <alignment horizontal="left" vertical="top" wrapText="1"/>
    </xf>
    <xf numFmtId="0" fontId="111" fillId="0" borderId="100" xfId="0" applyFont="1" applyBorder="1" applyAlignment="1">
      <alignment horizontal="left" vertical="top" wrapText="1"/>
    </xf>
    <xf numFmtId="0" fontId="111" fillId="0" borderId="129" xfId="0" applyFont="1" applyBorder="1" applyAlignment="1">
      <alignment horizontal="left" vertical="top" wrapText="1"/>
    </xf>
    <xf numFmtId="0" fontId="111" fillId="0" borderId="87" xfId="0" applyFont="1" applyBorder="1" applyAlignment="1">
      <alignment horizontal="center" vertical="center" wrapText="1"/>
    </xf>
    <xf numFmtId="0" fontId="111" fillId="0" borderId="67" xfId="0" applyFont="1" applyBorder="1" applyAlignment="1">
      <alignment horizontal="center" vertical="center" wrapText="1"/>
    </xf>
    <xf numFmtId="0" fontId="108" fillId="0" borderId="64" xfId="0" applyFont="1" applyBorder="1" applyAlignment="1">
      <alignment horizontal="center" vertical="center" wrapText="1"/>
    </xf>
    <xf numFmtId="0" fontId="108" fillId="0" borderId="69" xfId="0" applyFont="1" applyBorder="1" applyAlignment="1">
      <alignment horizontal="center" vertical="center" wrapText="1"/>
    </xf>
    <xf numFmtId="0" fontId="108" fillId="0" borderId="27" xfId="0" applyFont="1" applyBorder="1" applyAlignment="1">
      <alignment horizontal="center" vertical="center" wrapText="1"/>
    </xf>
    <xf numFmtId="0" fontId="108" fillId="0" borderId="28" xfId="0" applyFont="1" applyBorder="1" applyAlignment="1">
      <alignment horizontal="center" vertical="center" wrapText="1"/>
    </xf>
    <xf numFmtId="0" fontId="108" fillId="0" borderId="103" xfId="0" applyFont="1" applyBorder="1" applyAlignment="1">
      <alignment horizontal="center" vertical="top" wrapText="1"/>
    </xf>
    <xf numFmtId="0" fontId="108" fillId="0" borderId="104" xfId="0" applyFont="1" applyBorder="1" applyAlignment="1">
      <alignment horizontal="center" vertical="top" wrapText="1"/>
    </xf>
    <xf numFmtId="0" fontId="108" fillId="0" borderId="126" xfId="0" applyFont="1" applyBorder="1" applyAlignment="1">
      <alignment horizontal="center" vertical="top" wrapText="1"/>
    </xf>
    <xf numFmtId="0" fontId="108" fillId="0" borderId="127" xfId="0" applyFont="1" applyBorder="1" applyAlignment="1">
      <alignment horizontal="center" vertical="top" wrapText="1"/>
    </xf>
    <xf numFmtId="0" fontId="128" fillId="0" borderId="116" xfId="0" applyFont="1" applyBorder="1" applyAlignment="1">
      <alignment horizontal="left" vertical="top" wrapText="1"/>
    </xf>
    <xf numFmtId="0" fontId="128" fillId="0" borderId="117" xfId="0" applyFont="1" applyBorder="1" applyAlignment="1">
      <alignment horizontal="left" vertical="top" wrapText="1"/>
    </xf>
    <xf numFmtId="0" fontId="114" fillId="0" borderId="103" xfId="0" applyFont="1" applyBorder="1" applyAlignment="1">
      <alignment horizontal="center" vertical="center"/>
    </xf>
    <xf numFmtId="0" fontId="114" fillId="0" borderId="105" xfId="0" applyFont="1" applyBorder="1" applyAlignment="1">
      <alignment horizontal="center" vertical="center"/>
    </xf>
    <xf numFmtId="0" fontId="114" fillId="0" borderId="85" xfId="0" applyFont="1" applyBorder="1" applyAlignment="1">
      <alignment horizontal="center" vertical="center"/>
    </xf>
    <xf numFmtId="0" fontId="114" fillId="0" borderId="75" xfId="0" applyFont="1" applyBorder="1" applyAlignment="1">
      <alignment horizontal="center" vertical="center"/>
    </xf>
    <xf numFmtId="0" fontId="113" fillId="0" borderId="124" xfId="0" applyFont="1" applyBorder="1" applyAlignment="1">
      <alignment horizontal="center" vertical="center" wrapText="1"/>
    </xf>
    <xf numFmtId="0" fontId="113" fillId="0" borderId="128"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1" sqref="C21"/>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104"/>
      <c r="B1" s="110" t="s">
        <v>209</v>
      </c>
      <c r="C1" s="104"/>
    </row>
    <row r="2" spans="1:3">
      <c r="A2" s="111">
        <v>1</v>
      </c>
      <c r="B2" s="228" t="s">
        <v>210</v>
      </c>
      <c r="C2" s="42" t="s">
        <v>752</v>
      </c>
    </row>
    <row r="3" spans="1:3">
      <c r="A3" s="111">
        <v>2</v>
      </c>
      <c r="B3" s="229" t="s">
        <v>206</v>
      </c>
      <c r="C3" s="42" t="s">
        <v>753</v>
      </c>
    </row>
    <row r="4" spans="1:3">
      <c r="A4" s="111">
        <v>3</v>
      </c>
      <c r="B4" s="230" t="s">
        <v>211</v>
      </c>
      <c r="C4" s="42" t="s">
        <v>754</v>
      </c>
    </row>
    <row r="5" spans="1:3">
      <c r="A5" s="112">
        <v>4</v>
      </c>
      <c r="B5" s="231" t="s">
        <v>207</v>
      </c>
      <c r="C5" s="42" t="s">
        <v>755</v>
      </c>
    </row>
    <row r="6" spans="1:3" s="113" customFormat="1" ht="45.75" customHeight="1">
      <c r="A6" s="695" t="s">
        <v>283</v>
      </c>
      <c r="B6" s="696"/>
      <c r="C6" s="696"/>
    </row>
    <row r="7" spans="1:3">
      <c r="A7" s="114" t="s">
        <v>29</v>
      </c>
      <c r="B7" s="110" t="s">
        <v>208</v>
      </c>
    </row>
    <row r="8" spans="1:3">
      <c r="A8" s="104">
        <v>1</v>
      </c>
      <c r="B8" s="143" t="s">
        <v>20</v>
      </c>
    </row>
    <row r="9" spans="1:3">
      <c r="A9" s="104">
        <v>2</v>
      </c>
      <c r="B9" s="144" t="s">
        <v>21</v>
      </c>
    </row>
    <row r="10" spans="1:3">
      <c r="A10" s="104">
        <v>3</v>
      </c>
      <c r="B10" s="144" t="s">
        <v>22</v>
      </c>
    </row>
    <row r="11" spans="1:3">
      <c r="A11" s="104">
        <v>4</v>
      </c>
      <c r="B11" s="144" t="s">
        <v>23</v>
      </c>
    </row>
    <row r="12" spans="1:3">
      <c r="A12" s="104">
        <v>5</v>
      </c>
      <c r="B12" s="144" t="s">
        <v>24</v>
      </c>
    </row>
    <row r="13" spans="1:3">
      <c r="A13" s="104">
        <v>6</v>
      </c>
      <c r="B13" s="145" t="s">
        <v>218</v>
      </c>
    </row>
    <row r="14" spans="1:3">
      <c r="A14" s="104">
        <v>7</v>
      </c>
      <c r="B14" s="144" t="s">
        <v>212</v>
      </c>
    </row>
    <row r="15" spans="1:3">
      <c r="A15" s="104">
        <v>8</v>
      </c>
      <c r="B15" s="144" t="s">
        <v>213</v>
      </c>
    </row>
    <row r="16" spans="1:3">
      <c r="A16" s="104">
        <v>9</v>
      </c>
      <c r="B16" s="144" t="s">
        <v>25</v>
      </c>
    </row>
    <row r="17" spans="1:2">
      <c r="A17" s="227" t="s">
        <v>282</v>
      </c>
      <c r="B17" s="226" t="s">
        <v>269</v>
      </c>
    </row>
    <row r="18" spans="1:2">
      <c r="A18" s="227" t="s">
        <v>711</v>
      </c>
      <c r="B18" s="510" t="s">
        <v>713</v>
      </c>
    </row>
    <row r="19" spans="1:2">
      <c r="A19" s="511" t="s">
        <v>712</v>
      </c>
      <c r="B19" s="510" t="s">
        <v>714</v>
      </c>
    </row>
    <row r="20" spans="1:2">
      <c r="A20" s="104">
        <v>10</v>
      </c>
      <c r="B20" s="144" t="s">
        <v>26</v>
      </c>
    </row>
    <row r="21" spans="1:2">
      <c r="A21" s="104">
        <v>11</v>
      </c>
      <c r="B21" s="145" t="s">
        <v>214</v>
      </c>
    </row>
    <row r="22" spans="1:2">
      <c r="A22" s="104">
        <v>12</v>
      </c>
      <c r="B22" s="145" t="s">
        <v>27</v>
      </c>
    </row>
    <row r="23" spans="1:2">
      <c r="A23" s="252">
        <v>13</v>
      </c>
      <c r="B23" s="253" t="s">
        <v>215</v>
      </c>
    </row>
    <row r="24" spans="1:2">
      <c r="A24" s="252">
        <v>14</v>
      </c>
      <c r="B24" s="254" t="s">
        <v>240</v>
      </c>
    </row>
    <row r="25" spans="1:2">
      <c r="A25" s="252">
        <v>15</v>
      </c>
      <c r="B25" s="255" t="s">
        <v>28</v>
      </c>
    </row>
    <row r="26" spans="1:2">
      <c r="A26" s="252">
        <v>15.1</v>
      </c>
      <c r="B26" s="256" t="s">
        <v>296</v>
      </c>
    </row>
    <row r="27" spans="1:2">
      <c r="A27" s="512">
        <v>15.2</v>
      </c>
      <c r="B27" s="510" t="s">
        <v>716</v>
      </c>
    </row>
    <row r="28" spans="1:2">
      <c r="A28" s="252">
        <v>16</v>
      </c>
      <c r="B28" s="256" t="s">
        <v>337</v>
      </c>
    </row>
    <row r="29" spans="1:2">
      <c r="A29" s="252">
        <v>17</v>
      </c>
      <c r="B29" s="256" t="s">
        <v>378</v>
      </c>
    </row>
    <row r="30" spans="1:2">
      <c r="A30" s="252">
        <v>18</v>
      </c>
      <c r="B30" s="256" t="s">
        <v>666</v>
      </c>
    </row>
    <row r="31" spans="1:2">
      <c r="A31" s="252">
        <v>19</v>
      </c>
      <c r="B31" s="256" t="s">
        <v>667</v>
      </c>
    </row>
    <row r="32" spans="1:2">
      <c r="A32" s="252">
        <v>20</v>
      </c>
      <c r="B32" s="318" t="s">
        <v>668</v>
      </c>
    </row>
    <row r="33" spans="1:2">
      <c r="A33" s="252">
        <v>21</v>
      </c>
      <c r="B33" s="256" t="s">
        <v>494</v>
      </c>
    </row>
    <row r="34" spans="1:2">
      <c r="A34" s="252">
        <v>22</v>
      </c>
      <c r="B34" s="256" t="s">
        <v>669</v>
      </c>
    </row>
    <row r="35" spans="1:2">
      <c r="A35" s="252">
        <v>23</v>
      </c>
      <c r="B35" s="256" t="s">
        <v>670</v>
      </c>
    </row>
    <row r="36" spans="1:2">
      <c r="A36" s="252">
        <v>24</v>
      </c>
      <c r="B36" s="256" t="s">
        <v>671</v>
      </c>
    </row>
    <row r="37" spans="1:2">
      <c r="A37" s="252">
        <v>25</v>
      </c>
      <c r="B37" s="256" t="s">
        <v>379</v>
      </c>
    </row>
    <row r="38" spans="1:2">
      <c r="A38" s="252">
        <v>26</v>
      </c>
      <c r="B38" s="256"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Footer>&amp;C_x000D_&amp;1#&amp;"Calibri"&amp;10&amp;K000000 C1 - FOR INTERNAL USE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D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11" sqref="E11"/>
    </sheetView>
  </sheetViews>
  <sheetFormatPr defaultColWidth="9.21875" defaultRowHeight="13.2"/>
  <cols>
    <col min="1" max="1" width="9.5546875" style="4" bestFit="1" customWidth="1"/>
    <col min="2" max="2" width="132.44140625" style="4" customWidth="1"/>
    <col min="3" max="3" width="18.44140625" style="4" customWidth="1"/>
    <col min="4" max="4" width="11.77734375" style="4" customWidth="1"/>
    <col min="5" max="16384" width="9.21875" style="4"/>
  </cols>
  <sheetData>
    <row r="1" spans="1:4">
      <c r="A1" s="2" t="s">
        <v>30</v>
      </c>
      <c r="B1" s="3" t="str">
        <f>'Info '!C2</f>
        <v xml:space="preserve">PASHA Bank Georgia JSC </v>
      </c>
    </row>
    <row r="2" spans="1:4" s="2" customFormat="1" ht="15.75" customHeight="1">
      <c r="A2" s="2" t="s">
        <v>31</v>
      </c>
      <c r="B2" s="269">
        <f>'1. key ratios '!B2</f>
        <v>45747</v>
      </c>
    </row>
    <row r="3" spans="1:4" s="2" customFormat="1" ht="15.75" customHeight="1"/>
    <row r="4" spans="1:4" ht="13.8" thickBot="1">
      <c r="A4" s="4" t="s">
        <v>143</v>
      </c>
      <c r="B4" s="86" t="s">
        <v>142</v>
      </c>
    </row>
    <row r="5" spans="1:4">
      <c r="A5" s="47" t="s">
        <v>6</v>
      </c>
      <c r="B5" s="48"/>
      <c r="C5" s="49" t="s">
        <v>35</v>
      </c>
    </row>
    <row r="6" spans="1:4">
      <c r="A6" s="50">
        <v>1</v>
      </c>
      <c r="B6" s="51" t="s">
        <v>141</v>
      </c>
      <c r="C6" s="52">
        <f>SUM(C7:C11)</f>
        <v>121955099.59</v>
      </c>
      <c r="D6" s="597"/>
    </row>
    <row r="7" spans="1:4">
      <c r="A7" s="50">
        <v>2</v>
      </c>
      <c r="B7" s="53" t="s">
        <v>140</v>
      </c>
      <c r="C7" s="54">
        <v>136800000</v>
      </c>
      <c r="D7" s="597"/>
    </row>
    <row r="8" spans="1:4">
      <c r="A8" s="50">
        <v>3</v>
      </c>
      <c r="B8" s="55" t="s">
        <v>139</v>
      </c>
      <c r="C8" s="54"/>
      <c r="D8" s="597"/>
    </row>
    <row r="9" spans="1:4">
      <c r="A9" s="50">
        <v>4</v>
      </c>
      <c r="B9" s="55" t="s">
        <v>138</v>
      </c>
      <c r="C9" s="54"/>
      <c r="D9" s="597"/>
    </row>
    <row r="10" spans="1:4">
      <c r="A10" s="50">
        <v>5</v>
      </c>
      <c r="B10" s="55" t="s">
        <v>137</v>
      </c>
      <c r="C10" s="54"/>
      <c r="D10" s="597"/>
    </row>
    <row r="11" spans="1:4">
      <c r="A11" s="50">
        <v>6</v>
      </c>
      <c r="B11" s="56" t="s">
        <v>136</v>
      </c>
      <c r="C11" s="54">
        <v>-14844900.41</v>
      </c>
      <c r="D11" s="597"/>
    </row>
    <row r="12" spans="1:4" s="25" customFormat="1">
      <c r="A12" s="50">
        <v>7</v>
      </c>
      <c r="B12" s="51" t="s">
        <v>135</v>
      </c>
      <c r="C12" s="57">
        <f>SUM(C13:C28)</f>
        <v>7379020.6299999999</v>
      </c>
      <c r="D12" s="597"/>
    </row>
    <row r="13" spans="1:4" s="25" customFormat="1">
      <c r="A13" s="50">
        <v>8</v>
      </c>
      <c r="B13" s="58" t="s">
        <v>134</v>
      </c>
      <c r="C13" s="59"/>
      <c r="D13" s="597"/>
    </row>
    <row r="14" spans="1:4" s="25" customFormat="1" ht="26.4">
      <c r="A14" s="50">
        <v>9</v>
      </c>
      <c r="B14" s="60" t="s">
        <v>133</v>
      </c>
      <c r="C14" s="59"/>
      <c r="D14" s="597"/>
    </row>
    <row r="15" spans="1:4" s="25" customFormat="1">
      <c r="A15" s="50">
        <v>10</v>
      </c>
      <c r="B15" s="61" t="s">
        <v>132</v>
      </c>
      <c r="C15" s="59">
        <v>3583917.36</v>
      </c>
      <c r="D15" s="597"/>
    </row>
    <row r="16" spans="1:4" s="25" customFormat="1">
      <c r="A16" s="50">
        <v>11</v>
      </c>
      <c r="B16" s="62" t="s">
        <v>131</v>
      </c>
      <c r="C16" s="59"/>
      <c r="D16" s="597"/>
    </row>
    <row r="17" spans="1:4" s="25" customFormat="1">
      <c r="A17" s="50">
        <v>12</v>
      </c>
      <c r="B17" s="61" t="s">
        <v>130</v>
      </c>
      <c r="C17" s="59"/>
      <c r="D17" s="597"/>
    </row>
    <row r="18" spans="1:4" s="25" customFormat="1">
      <c r="A18" s="50">
        <v>13</v>
      </c>
      <c r="B18" s="61" t="s">
        <v>129</v>
      </c>
      <c r="C18" s="59"/>
      <c r="D18" s="597"/>
    </row>
    <row r="19" spans="1:4" s="25" customFormat="1">
      <c r="A19" s="50">
        <v>14</v>
      </c>
      <c r="B19" s="61" t="s">
        <v>128</v>
      </c>
      <c r="C19" s="59"/>
      <c r="D19" s="597"/>
    </row>
    <row r="20" spans="1:4" s="25" customFormat="1">
      <c r="A20" s="50">
        <v>15</v>
      </c>
      <c r="B20" s="61" t="s">
        <v>127</v>
      </c>
      <c r="C20" s="59">
        <v>3795103.27</v>
      </c>
      <c r="D20" s="597"/>
    </row>
    <row r="21" spans="1:4" s="25" customFormat="1" ht="26.4">
      <c r="A21" s="50">
        <v>16</v>
      </c>
      <c r="B21" s="60" t="s">
        <v>126</v>
      </c>
      <c r="C21" s="59"/>
      <c r="D21" s="597"/>
    </row>
    <row r="22" spans="1:4" s="25" customFormat="1">
      <c r="A22" s="50">
        <v>17</v>
      </c>
      <c r="B22" s="63" t="s">
        <v>125</v>
      </c>
      <c r="C22" s="59"/>
      <c r="D22" s="597"/>
    </row>
    <row r="23" spans="1:4" s="25" customFormat="1">
      <c r="A23" s="50">
        <v>18</v>
      </c>
      <c r="B23" s="63" t="s">
        <v>517</v>
      </c>
      <c r="C23" s="320"/>
      <c r="D23" s="597"/>
    </row>
    <row r="24" spans="1:4" s="25" customFormat="1">
      <c r="A24" s="50">
        <v>19</v>
      </c>
      <c r="B24" s="60" t="s">
        <v>124</v>
      </c>
      <c r="C24" s="59"/>
      <c r="D24" s="597"/>
    </row>
    <row r="25" spans="1:4" s="25" customFormat="1" ht="26.4">
      <c r="A25" s="50">
        <v>20</v>
      </c>
      <c r="B25" s="60" t="s">
        <v>101</v>
      </c>
      <c r="C25" s="59"/>
      <c r="D25" s="597"/>
    </row>
    <row r="26" spans="1:4" s="25" customFormat="1">
      <c r="A26" s="50">
        <v>21</v>
      </c>
      <c r="B26" s="62" t="s">
        <v>123</v>
      </c>
      <c r="C26" s="59"/>
      <c r="D26" s="597"/>
    </row>
    <row r="27" spans="1:4" s="25" customFormat="1">
      <c r="A27" s="50">
        <v>22</v>
      </c>
      <c r="B27" s="62" t="s">
        <v>122</v>
      </c>
      <c r="C27" s="59"/>
      <c r="D27" s="597"/>
    </row>
    <row r="28" spans="1:4" s="25" customFormat="1">
      <c r="A28" s="50">
        <v>23</v>
      </c>
      <c r="B28" s="62" t="s">
        <v>121</v>
      </c>
      <c r="C28" s="59"/>
      <c r="D28" s="597"/>
    </row>
    <row r="29" spans="1:4" s="25" customFormat="1">
      <c r="A29" s="50">
        <v>24</v>
      </c>
      <c r="B29" s="64" t="s">
        <v>120</v>
      </c>
      <c r="C29" s="57">
        <f>C6-C12</f>
        <v>114576078.96000001</v>
      </c>
      <c r="D29" s="597"/>
    </row>
    <row r="30" spans="1:4" s="25" customFormat="1">
      <c r="A30" s="65"/>
      <c r="B30" s="66"/>
      <c r="C30" s="59"/>
      <c r="D30" s="597"/>
    </row>
    <row r="31" spans="1:4" s="25" customFormat="1">
      <c r="A31" s="65">
        <v>25</v>
      </c>
      <c r="B31" s="64" t="s">
        <v>119</v>
      </c>
      <c r="C31" s="57">
        <f>C32+C35</f>
        <v>0</v>
      </c>
      <c r="D31" s="597"/>
    </row>
    <row r="32" spans="1:4" s="25" customFormat="1">
      <c r="A32" s="65">
        <v>26</v>
      </c>
      <c r="B32" s="55" t="s">
        <v>118</v>
      </c>
      <c r="C32" s="67">
        <f>C33+C34</f>
        <v>0</v>
      </c>
      <c r="D32" s="597"/>
    </row>
    <row r="33" spans="1:4" s="25" customFormat="1">
      <c r="A33" s="65">
        <v>27</v>
      </c>
      <c r="B33" s="68" t="s">
        <v>179</v>
      </c>
      <c r="C33" s="59"/>
      <c r="D33" s="597"/>
    </row>
    <row r="34" spans="1:4" s="25" customFormat="1">
      <c r="A34" s="65">
        <v>28</v>
      </c>
      <c r="B34" s="68" t="s">
        <v>117</v>
      </c>
      <c r="C34" s="59"/>
      <c r="D34" s="597"/>
    </row>
    <row r="35" spans="1:4" s="25" customFormat="1">
      <c r="A35" s="65">
        <v>29</v>
      </c>
      <c r="B35" s="55" t="s">
        <v>116</v>
      </c>
      <c r="C35" s="59"/>
      <c r="D35" s="597"/>
    </row>
    <row r="36" spans="1:4" s="25" customFormat="1">
      <c r="A36" s="65">
        <v>30</v>
      </c>
      <c r="B36" s="64" t="s">
        <v>115</v>
      </c>
      <c r="C36" s="57">
        <f>SUM(C37:C41)</f>
        <v>0</v>
      </c>
      <c r="D36" s="597"/>
    </row>
    <row r="37" spans="1:4" s="25" customFormat="1">
      <c r="A37" s="65">
        <v>31</v>
      </c>
      <c r="B37" s="60" t="s">
        <v>114</v>
      </c>
      <c r="C37" s="59"/>
      <c r="D37" s="597"/>
    </row>
    <row r="38" spans="1:4" s="25" customFormat="1">
      <c r="A38" s="65">
        <v>32</v>
      </c>
      <c r="B38" s="61" t="s">
        <v>113</v>
      </c>
      <c r="C38" s="59"/>
      <c r="D38" s="597"/>
    </row>
    <row r="39" spans="1:4" s="25" customFormat="1">
      <c r="A39" s="65">
        <v>33</v>
      </c>
      <c r="B39" s="60" t="s">
        <v>112</v>
      </c>
      <c r="C39" s="59"/>
      <c r="D39" s="597"/>
    </row>
    <row r="40" spans="1:4" s="25" customFormat="1" ht="26.4">
      <c r="A40" s="65">
        <v>34</v>
      </c>
      <c r="B40" s="60" t="s">
        <v>101</v>
      </c>
      <c r="C40" s="59"/>
      <c r="D40" s="597"/>
    </row>
    <row r="41" spans="1:4" s="25" customFormat="1">
      <c r="A41" s="65">
        <v>35</v>
      </c>
      <c r="B41" s="62" t="s">
        <v>111</v>
      </c>
      <c r="C41" s="59"/>
      <c r="D41" s="597"/>
    </row>
    <row r="42" spans="1:4" s="25" customFormat="1">
      <c r="A42" s="65">
        <v>36</v>
      </c>
      <c r="B42" s="64" t="s">
        <v>110</v>
      </c>
      <c r="C42" s="57">
        <f>C31-C36</f>
        <v>0</v>
      </c>
      <c r="D42" s="597"/>
    </row>
    <row r="43" spans="1:4" s="25" customFormat="1">
      <c r="A43" s="65"/>
      <c r="B43" s="66"/>
      <c r="C43" s="59"/>
      <c r="D43" s="597"/>
    </row>
    <row r="44" spans="1:4" s="25" customFormat="1">
      <c r="A44" s="65">
        <v>37</v>
      </c>
      <c r="B44" s="69" t="s">
        <v>109</v>
      </c>
      <c r="C44" s="57">
        <f>SUM(C45:C47)</f>
        <v>31823950</v>
      </c>
      <c r="D44" s="597"/>
    </row>
    <row r="45" spans="1:4" s="25" customFormat="1">
      <c r="A45" s="65">
        <v>38</v>
      </c>
      <c r="B45" s="55" t="s">
        <v>108</v>
      </c>
      <c r="C45" s="59">
        <v>31823950</v>
      </c>
      <c r="D45" s="597"/>
    </row>
    <row r="46" spans="1:4" s="25" customFormat="1">
      <c r="A46" s="65">
        <v>39</v>
      </c>
      <c r="B46" s="55" t="s">
        <v>107</v>
      </c>
      <c r="C46" s="59"/>
      <c r="D46" s="597"/>
    </row>
    <row r="47" spans="1:4" s="25" customFormat="1">
      <c r="A47" s="65">
        <v>40</v>
      </c>
      <c r="B47" s="55" t="s">
        <v>106</v>
      </c>
      <c r="C47" s="59"/>
      <c r="D47" s="597"/>
    </row>
    <row r="48" spans="1:4" s="25" customFormat="1">
      <c r="A48" s="65">
        <v>41</v>
      </c>
      <c r="B48" s="69" t="s">
        <v>105</v>
      </c>
      <c r="C48" s="57">
        <f>SUM(C49:C52)</f>
        <v>0</v>
      </c>
      <c r="D48" s="597"/>
    </row>
    <row r="49" spans="1:4" s="25" customFormat="1">
      <c r="A49" s="65">
        <v>42</v>
      </c>
      <c r="B49" s="60" t="s">
        <v>104</v>
      </c>
      <c r="C49" s="59"/>
      <c r="D49" s="597"/>
    </row>
    <row r="50" spans="1:4" s="25" customFormat="1">
      <c r="A50" s="65">
        <v>43</v>
      </c>
      <c r="B50" s="61" t="s">
        <v>103</v>
      </c>
      <c r="C50" s="59"/>
      <c r="D50" s="597"/>
    </row>
    <row r="51" spans="1:4" s="25" customFormat="1">
      <c r="A51" s="65">
        <v>44</v>
      </c>
      <c r="B51" s="60" t="s">
        <v>102</v>
      </c>
      <c r="C51" s="59"/>
      <c r="D51" s="597"/>
    </row>
    <row r="52" spans="1:4" s="25" customFormat="1" ht="26.4">
      <c r="A52" s="65">
        <v>45</v>
      </c>
      <c r="B52" s="60" t="s">
        <v>101</v>
      </c>
      <c r="C52" s="59"/>
      <c r="D52" s="597"/>
    </row>
    <row r="53" spans="1:4" s="25" customFormat="1" ht="13.8" thickBot="1">
      <c r="A53" s="65">
        <v>46</v>
      </c>
      <c r="B53" s="70" t="s">
        <v>100</v>
      </c>
      <c r="C53" s="71">
        <f>C44-C48</f>
        <v>31823950</v>
      </c>
      <c r="D53" s="597"/>
    </row>
    <row r="56" spans="1:4">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Footer>&amp;C_x000D_&amp;1#&amp;"Calibri"&amp;10&amp;K000000 C1 - FOR INTERNAL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zoomScale="80" zoomScaleNormal="80" workbookViewId="0">
      <selection activeCell="G9" sqref="G9"/>
    </sheetView>
  </sheetViews>
  <sheetFormatPr defaultColWidth="9.21875" defaultRowHeight="13.8"/>
  <cols>
    <col min="1" max="1" width="9.44140625" style="135" bestFit="1" customWidth="1"/>
    <col min="2" max="2" width="59" style="135" customWidth="1"/>
    <col min="3" max="3" width="16.77734375" style="135" bestFit="1" customWidth="1"/>
    <col min="4" max="4" width="13.21875" style="135" bestFit="1" customWidth="1"/>
    <col min="5" max="5" width="9.21875" style="135"/>
    <col min="6" max="6" width="9.21875" style="599"/>
    <col min="7" max="16384" width="9.21875" style="135"/>
  </cols>
  <sheetData>
    <row r="1" spans="1:6">
      <c r="A1" s="133" t="s">
        <v>30</v>
      </c>
      <c r="B1" s="3" t="str">
        <f>'Info '!C2</f>
        <v xml:space="preserve">PASHA Bank Georgia JSC </v>
      </c>
    </row>
    <row r="2" spans="1:6" s="133" customFormat="1" ht="15.75" customHeight="1">
      <c r="A2" s="133" t="s">
        <v>31</v>
      </c>
      <c r="B2" s="269">
        <f>'1. key ratios '!B2</f>
        <v>45747</v>
      </c>
      <c r="F2" s="600"/>
    </row>
    <row r="3" spans="1:6" s="133" customFormat="1" ht="15.75" customHeight="1">
      <c r="F3" s="600"/>
    </row>
    <row r="4" spans="1:6" ht="14.4" thickBot="1">
      <c r="A4" s="135" t="s">
        <v>268</v>
      </c>
      <c r="B4" s="216" t="s">
        <v>269</v>
      </c>
    </row>
    <row r="5" spans="1:6" s="140" customFormat="1" ht="12.75" customHeight="1">
      <c r="A5" s="250"/>
      <c r="B5" s="251" t="s">
        <v>272</v>
      </c>
      <c r="C5" s="209" t="s">
        <v>270</v>
      </c>
      <c r="D5" s="210" t="s">
        <v>271</v>
      </c>
      <c r="F5" s="601"/>
    </row>
    <row r="6" spans="1:6" s="217" customFormat="1">
      <c r="A6" s="211">
        <v>1</v>
      </c>
      <c r="B6" s="242" t="s">
        <v>273</v>
      </c>
      <c r="C6" s="242"/>
      <c r="D6" s="212"/>
      <c r="F6" s="602"/>
    </row>
    <row r="7" spans="1:6" s="217" customFormat="1">
      <c r="A7" s="213" t="s">
        <v>259</v>
      </c>
      <c r="B7" s="243" t="s">
        <v>274</v>
      </c>
      <c r="C7" s="234">
        <v>4.4999999999999998E-2</v>
      </c>
      <c r="D7" s="235">
        <f>C7*'5. RWA '!$C$13</f>
        <v>28141184.381166928</v>
      </c>
      <c r="E7" s="598"/>
      <c r="F7" s="602"/>
    </row>
    <row r="8" spans="1:6" s="217" customFormat="1">
      <c r="A8" s="213" t="s">
        <v>260</v>
      </c>
      <c r="B8" s="243" t="s">
        <v>275</v>
      </c>
      <c r="C8" s="236">
        <v>0.06</v>
      </c>
      <c r="D8" s="235">
        <f>C8*'5. RWA '!$C$13</f>
        <v>37521579.174889237</v>
      </c>
      <c r="E8" s="598"/>
      <c r="F8" s="602"/>
    </row>
    <row r="9" spans="1:6" s="217" customFormat="1">
      <c r="A9" s="213" t="s">
        <v>261</v>
      </c>
      <c r="B9" s="243" t="s">
        <v>276</v>
      </c>
      <c r="C9" s="236">
        <v>0.08</v>
      </c>
      <c r="D9" s="235">
        <f>C9*'5. RWA '!$C$13</f>
        <v>50028772.233185656</v>
      </c>
      <c r="E9" s="598"/>
      <c r="F9" s="602"/>
    </row>
    <row r="10" spans="1:6" s="217" customFormat="1">
      <c r="A10" s="211" t="s">
        <v>262</v>
      </c>
      <c r="B10" s="242" t="s">
        <v>277</v>
      </c>
      <c r="C10" s="237"/>
      <c r="D10" s="244"/>
      <c r="E10" s="598"/>
      <c r="F10" s="602"/>
    </row>
    <row r="11" spans="1:6" s="218" customFormat="1">
      <c r="A11" s="214" t="s">
        <v>263</v>
      </c>
      <c r="B11" s="233" t="s">
        <v>747</v>
      </c>
      <c r="C11" s="238">
        <v>2.5000000000000001E-2</v>
      </c>
      <c r="D11" s="235">
        <f>C11*'5. RWA '!$C$13</f>
        <v>15633991.322870517</v>
      </c>
      <c r="E11" s="598"/>
      <c r="F11" s="602"/>
    </row>
    <row r="12" spans="1:6" s="218" customFormat="1">
      <c r="A12" s="214" t="s">
        <v>264</v>
      </c>
      <c r="B12" s="233" t="s">
        <v>278</v>
      </c>
      <c r="C12" s="238">
        <v>5.0000000000000001E-3</v>
      </c>
      <c r="D12" s="235">
        <f>C12*'5. RWA '!$C$13</f>
        <v>3126798.2645741035</v>
      </c>
      <c r="E12" s="598"/>
      <c r="F12" s="602"/>
    </row>
    <row r="13" spans="1:6" s="218" customFormat="1">
      <c r="A13" s="214" t="s">
        <v>265</v>
      </c>
      <c r="B13" s="233" t="s">
        <v>279</v>
      </c>
      <c r="C13" s="238"/>
      <c r="D13" s="235">
        <f>C13*'5. RWA '!$C$13</f>
        <v>0</v>
      </c>
      <c r="E13" s="598"/>
      <c r="F13" s="602"/>
    </row>
    <row r="14" spans="1:6" s="218" customFormat="1">
      <c r="A14" s="211" t="s">
        <v>266</v>
      </c>
      <c r="B14" s="242" t="s">
        <v>326</v>
      </c>
      <c r="C14" s="239"/>
      <c r="D14" s="245"/>
      <c r="E14" s="598"/>
      <c r="F14" s="602"/>
    </row>
    <row r="15" spans="1:6" s="218" customFormat="1">
      <c r="A15" s="214">
        <v>3.1</v>
      </c>
      <c r="B15" s="233" t="s">
        <v>284</v>
      </c>
      <c r="C15" s="238">
        <v>7.3719985006285141E-2</v>
      </c>
      <c r="D15" s="235">
        <f>C15*'5. RWA '!$C$13</f>
        <v>46101504.236416258</v>
      </c>
      <c r="E15" s="598"/>
      <c r="F15" s="602"/>
    </row>
    <row r="16" spans="1:6" s="218" customFormat="1">
      <c r="A16" s="214">
        <v>3.2</v>
      </c>
      <c r="B16" s="233" t="s">
        <v>285</v>
      </c>
      <c r="C16" s="238">
        <v>9.0051793119139439E-2</v>
      </c>
      <c r="D16" s="235">
        <f>C16*'5. RWA '!$C$13</f>
        <v>56314758.089342274</v>
      </c>
      <c r="E16" s="598"/>
      <c r="F16" s="602"/>
    </row>
    <row r="17" spans="1:6" s="217" customFormat="1">
      <c r="A17" s="214">
        <v>3.3</v>
      </c>
      <c r="B17" s="233" t="s">
        <v>286</v>
      </c>
      <c r="C17" s="238">
        <v>0.1115410143202635</v>
      </c>
      <c r="D17" s="235">
        <f>C17*'5. RWA '!$C$13</f>
        <v>69753250.001087025</v>
      </c>
      <c r="E17" s="598"/>
      <c r="F17" s="602"/>
    </row>
    <row r="18" spans="1:6" s="140" customFormat="1" ht="12.75" customHeight="1">
      <c r="A18" s="248"/>
      <c r="B18" s="249" t="s">
        <v>325</v>
      </c>
      <c r="C18" s="240" t="s">
        <v>270</v>
      </c>
      <c r="D18" s="246" t="s">
        <v>271</v>
      </c>
      <c r="E18" s="598"/>
      <c r="F18" s="602"/>
    </row>
    <row r="19" spans="1:6" s="217" customFormat="1">
      <c r="A19" s="215">
        <v>4</v>
      </c>
      <c r="B19" s="233" t="s">
        <v>280</v>
      </c>
      <c r="C19" s="238">
        <f>C7+C11+C12+C13+C15</f>
        <v>0.14871998500628514</v>
      </c>
      <c r="D19" s="235">
        <f>C19*'5. RWA '!$C$13</f>
        <v>93003478.205027804</v>
      </c>
      <c r="E19" s="598"/>
      <c r="F19" s="602"/>
    </row>
    <row r="20" spans="1:6" s="217" customFormat="1">
      <c r="A20" s="215">
        <v>5</v>
      </c>
      <c r="B20" s="233" t="s">
        <v>90</v>
      </c>
      <c r="C20" s="238">
        <f>C8+C11+C12+C13+C16</f>
        <v>0.18005179311913944</v>
      </c>
      <c r="D20" s="235">
        <f>C20*'5. RWA '!$C$13</f>
        <v>112597126.85167614</v>
      </c>
      <c r="E20" s="598"/>
      <c r="F20" s="602"/>
    </row>
    <row r="21" spans="1:6" s="217" customFormat="1" ht="14.4" thickBot="1">
      <c r="A21" s="219" t="s">
        <v>267</v>
      </c>
      <c r="B21" s="220" t="s">
        <v>281</v>
      </c>
      <c r="C21" s="241">
        <f>C9+C11+C12+C13+C17</f>
        <v>0.22154101432026352</v>
      </c>
      <c r="D21" s="247">
        <f>C21*'5. RWA '!$C$13</f>
        <v>138542811.82171732</v>
      </c>
      <c r="E21" s="598"/>
      <c r="F21" s="602"/>
    </row>
    <row r="23" spans="1:6">
      <c r="B23" s="175"/>
    </row>
  </sheetData>
  <conditionalFormatting sqref="C21">
    <cfRule type="cellIs" dxfId="19" priority="1" operator="lessThan">
      <formula>#REF!</formula>
    </cfRule>
  </conditionalFormatting>
  <pageMargins left="0.7" right="0.7" top="0.75" bottom="0.75" header="0.3" footer="0.3"/>
  <pageSetup paperSize="9" orientation="portrait" r:id="rId1"/>
  <headerFooter>
    <oddFooter>&amp;C_x000D_&amp;1#&amp;"Calibri"&amp;10&amp;K000000 C1 - FOR INTERNAL USE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1" sqref="B1"/>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52" t="str">
        <f>'9.1. Capital Requirements'!A1</f>
        <v>Bank:</v>
      </c>
      <c r="B1" s="453" t="str">
        <f>'1. key ratios '!B1</f>
        <v xml:space="preserve">PASHA Bank Georgia JSC </v>
      </c>
    </row>
    <row r="2" spans="1:3">
      <c r="A2" s="452" t="str">
        <f>'9.1. Capital Requirements'!A2</f>
        <v>Date:</v>
      </c>
      <c r="B2" s="454">
        <f>'1. key ratios '!B2</f>
        <v>45747</v>
      </c>
    </row>
    <row r="3" spans="1:3">
      <c r="A3" s="455" t="s">
        <v>675</v>
      </c>
      <c r="B3" s="456" t="s">
        <v>676</v>
      </c>
    </row>
    <row r="4" spans="1:3" ht="15" thickBot="1"/>
    <row r="5" spans="1:3">
      <c r="A5" s="457"/>
      <c r="B5" s="458" t="s">
        <v>677</v>
      </c>
      <c r="C5" s="688"/>
    </row>
    <row r="6" spans="1:3">
      <c r="A6" s="459" t="s">
        <v>697</v>
      </c>
      <c r="B6" s="460">
        <f>SUM(B7,B11)</f>
        <v>146400028.96000001</v>
      </c>
      <c r="C6" s="689"/>
    </row>
    <row r="7" spans="1:3" ht="15.6">
      <c r="A7" s="459" t="s">
        <v>683</v>
      </c>
      <c r="B7" s="460">
        <f>SUM(B8:B10)</f>
        <v>146400028.96000001</v>
      </c>
      <c r="C7" s="689"/>
    </row>
    <row r="8" spans="1:3">
      <c r="A8" s="461" t="s">
        <v>678</v>
      </c>
      <c r="B8" s="462">
        <f>'9.Capital'!C29</f>
        <v>114576078.96000001</v>
      </c>
      <c r="C8" s="689"/>
    </row>
    <row r="9" spans="1:3">
      <c r="A9" s="461" t="s">
        <v>679</v>
      </c>
      <c r="B9" s="462">
        <f>'9.Capital'!C42</f>
        <v>0</v>
      </c>
      <c r="C9" s="689"/>
    </row>
    <row r="10" spans="1:3">
      <c r="A10" s="461" t="s">
        <v>680</v>
      </c>
      <c r="B10" s="462">
        <f>'9.Capital'!C53</f>
        <v>31823950</v>
      </c>
      <c r="C10" s="689"/>
    </row>
    <row r="11" spans="1:3">
      <c r="A11" s="459" t="s">
        <v>684</v>
      </c>
      <c r="B11" s="460">
        <f>SUM(B12:B13)</f>
        <v>0</v>
      </c>
      <c r="C11" s="689"/>
    </row>
    <row r="12" spans="1:3" ht="15.6">
      <c r="A12" s="461" t="s">
        <v>703</v>
      </c>
      <c r="B12" s="462"/>
      <c r="C12" s="689"/>
    </row>
    <row r="13" spans="1:3" ht="15.6">
      <c r="A13" s="461" t="s">
        <v>685</v>
      </c>
      <c r="B13" s="462"/>
      <c r="C13" s="689"/>
    </row>
    <row r="14" spans="1:3">
      <c r="A14" s="459" t="s">
        <v>686</v>
      </c>
      <c r="B14" s="460">
        <f>SUM(B15:B16)</f>
        <v>146400028.96000001</v>
      </c>
      <c r="C14" s="689"/>
    </row>
    <row r="15" spans="1:3">
      <c r="A15" s="463" t="s">
        <v>687</v>
      </c>
      <c r="B15" s="462"/>
      <c r="C15" s="689"/>
    </row>
    <row r="16" spans="1:3">
      <c r="A16" s="463" t="s">
        <v>688</v>
      </c>
      <c r="B16" s="462">
        <f>B7</f>
        <v>146400028.96000001</v>
      </c>
      <c r="C16" s="689"/>
    </row>
    <row r="17" spans="1:5">
      <c r="A17" s="459" t="s">
        <v>691</v>
      </c>
      <c r="B17" s="460"/>
      <c r="C17" s="689"/>
    </row>
    <row r="18" spans="1:5">
      <c r="A18" s="463" t="s">
        <v>689</v>
      </c>
      <c r="B18" s="462">
        <f>'5. RWA '!C13</f>
        <v>625359652.91482067</v>
      </c>
      <c r="C18" s="689"/>
    </row>
    <row r="19" spans="1:5">
      <c r="A19" s="463" t="s">
        <v>690</v>
      </c>
      <c r="B19" s="462">
        <f>'15.1 LR'!C32</f>
        <v>730495735.92119443</v>
      </c>
      <c r="C19" s="689"/>
    </row>
    <row r="20" spans="1:5">
      <c r="A20" s="459" t="s">
        <v>705</v>
      </c>
      <c r="B20" s="460"/>
      <c r="C20" s="689"/>
    </row>
    <row r="21" spans="1:5">
      <c r="A21" s="464" t="s">
        <v>692</v>
      </c>
      <c r="B21" s="465">
        <f>IFERROR(B6/B18,0)</f>
        <v>0.23410533167214251</v>
      </c>
      <c r="C21" s="689"/>
    </row>
    <row r="22" spans="1:5">
      <c r="A22" s="464" t="s">
        <v>709</v>
      </c>
      <c r="B22" s="465">
        <f>IFERROR(B6/B19,0)</f>
        <v>0.20041188710757044</v>
      </c>
      <c r="C22" s="690"/>
    </row>
    <row r="23" spans="1:5" ht="15" thickBot="1">
      <c r="A23" s="466" t="s">
        <v>693</v>
      </c>
      <c r="B23" s="467">
        <f>IFERROR(B6/B14,0)</f>
        <v>1</v>
      </c>
      <c r="C23" s="689"/>
    </row>
    <row r="24" spans="1:5" ht="16.5" customHeight="1">
      <c r="A24" s="468" t="s">
        <v>681</v>
      </c>
      <c r="B24" s="469"/>
      <c r="C24" s="469"/>
      <c r="D24" s="469"/>
      <c r="E24" s="469"/>
    </row>
    <row r="25" spans="1:5" ht="25.5" customHeight="1">
      <c r="A25" s="468" t="s">
        <v>702</v>
      </c>
    </row>
    <row r="26" spans="1:5" ht="42.45" customHeight="1">
      <c r="A26" s="468" t="s">
        <v>704</v>
      </c>
      <c r="B26" s="135"/>
    </row>
  </sheetData>
  <pageMargins left="0.7" right="0.7" top="0.75" bottom="0.75" header="0.3" footer="0.3"/>
  <pageSetup orientation="portrait" horizontalDpi="4294967292" r:id="rId1"/>
  <headerFooter>
    <oddFooter>&amp;C_x000D_&amp;1#&amp;"Calibri"&amp;10&amp;K000000 C1 - FOR INTERNAL USE 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C26" sqref="C26"/>
    </sheetView>
  </sheetViews>
  <sheetFormatPr defaultRowHeight="14.4"/>
  <cols>
    <col min="1" max="1" width="56.77734375" customWidth="1"/>
    <col min="2" max="2" width="28.109375" bestFit="1" customWidth="1"/>
    <col min="3" max="3" width="28.21875" customWidth="1"/>
    <col min="4" max="6" width="28.109375" customWidth="1"/>
  </cols>
  <sheetData>
    <row r="1" spans="1:7">
      <c r="A1" s="452" t="s">
        <v>30</v>
      </c>
      <c r="B1" s="454" t="str">
        <f>'1. key ratios '!B1</f>
        <v xml:space="preserve">PASHA Bank Georgia JSC </v>
      </c>
      <c r="C1" s="135"/>
    </row>
    <row r="2" spans="1:7">
      <c r="A2" s="452" t="s">
        <v>31</v>
      </c>
      <c r="B2" s="454">
        <f>'1. key ratios '!B2</f>
        <v>45747</v>
      </c>
      <c r="C2" s="135"/>
    </row>
    <row r="3" spans="1:7">
      <c r="A3" s="455" t="s">
        <v>682</v>
      </c>
      <c r="B3" s="456" t="s">
        <v>676</v>
      </c>
      <c r="C3" s="135"/>
    </row>
    <row r="5" spans="1:7">
      <c r="A5" s="470"/>
    </row>
    <row r="6" spans="1:7" ht="15" thickBot="1">
      <c r="A6" s="471"/>
      <c r="B6" s="471"/>
      <c r="C6" s="471"/>
      <c r="D6" s="471"/>
      <c r="E6" s="471"/>
      <c r="F6" s="471"/>
    </row>
    <row r="7" spans="1:7">
      <c r="A7" s="730"/>
      <c r="B7" s="732" t="s">
        <v>708</v>
      </c>
      <c r="C7" s="732"/>
      <c r="D7" s="732"/>
      <c r="E7" s="732"/>
      <c r="F7" s="733" t="s">
        <v>64</v>
      </c>
    </row>
    <row r="8" spans="1:7">
      <c r="A8" s="731"/>
      <c r="B8" s="472" t="s">
        <v>694</v>
      </c>
      <c r="C8" s="472" t="s">
        <v>695</v>
      </c>
      <c r="D8" s="472" t="s">
        <v>696</v>
      </c>
      <c r="E8" s="472" t="s">
        <v>706</v>
      </c>
      <c r="F8" s="734"/>
    </row>
    <row r="9" spans="1:7">
      <c r="A9" s="473" t="s">
        <v>697</v>
      </c>
      <c r="B9" s="474">
        <f>B13+B17</f>
        <v>0</v>
      </c>
      <c r="C9" s="474">
        <f t="shared" ref="C9:E9" si="0">C13+C17</f>
        <v>0</v>
      </c>
      <c r="D9" s="474">
        <f t="shared" si="0"/>
        <v>0</v>
      </c>
      <c r="E9" s="474">
        <f t="shared" si="0"/>
        <v>0</v>
      </c>
      <c r="F9" s="475">
        <f>F13+F17</f>
        <v>0</v>
      </c>
      <c r="G9" s="686"/>
    </row>
    <row r="10" spans="1:7">
      <c r="A10" s="476" t="s">
        <v>699</v>
      </c>
      <c r="B10" s="477">
        <f t="shared" ref="B10:E12" si="1">B14+B18</f>
        <v>0</v>
      </c>
      <c r="C10" s="477">
        <f t="shared" si="1"/>
        <v>0</v>
      </c>
      <c r="D10" s="477">
        <f t="shared" si="1"/>
        <v>0</v>
      </c>
      <c r="E10" s="477">
        <f t="shared" si="1"/>
        <v>0</v>
      </c>
      <c r="F10" s="475">
        <f>SUM(B10:E10)</f>
        <v>0</v>
      </c>
      <c r="G10" s="686"/>
    </row>
    <row r="11" spans="1:7">
      <c r="A11" s="476" t="s">
        <v>707</v>
      </c>
      <c r="B11" s="477">
        <f t="shared" si="1"/>
        <v>0</v>
      </c>
      <c r="C11" s="477">
        <f t="shared" si="1"/>
        <v>0</v>
      </c>
      <c r="D11" s="477">
        <f t="shared" si="1"/>
        <v>0</v>
      </c>
      <c r="E11" s="477">
        <f t="shared" si="1"/>
        <v>0</v>
      </c>
      <c r="F11" s="475">
        <f t="shared" ref="F11:F12" si="2">SUM(B11:E11)</f>
        <v>0</v>
      </c>
      <c r="G11" s="686"/>
    </row>
    <row r="12" spans="1:7">
      <c r="A12" s="478" t="s">
        <v>698</v>
      </c>
      <c r="B12" s="477">
        <f t="shared" si="1"/>
        <v>0</v>
      </c>
      <c r="C12" s="477">
        <f t="shared" si="1"/>
        <v>0</v>
      </c>
      <c r="D12" s="477">
        <f t="shared" si="1"/>
        <v>0</v>
      </c>
      <c r="E12" s="477">
        <f t="shared" si="1"/>
        <v>0</v>
      </c>
      <c r="F12" s="475">
        <f t="shared" si="2"/>
        <v>0</v>
      </c>
      <c r="G12" s="686"/>
    </row>
    <row r="13" spans="1:7">
      <c r="A13" s="479" t="s">
        <v>688</v>
      </c>
      <c r="B13" s="480"/>
      <c r="C13" s="480"/>
      <c r="D13" s="480"/>
      <c r="E13" s="480"/>
      <c r="F13" s="481"/>
      <c r="G13" s="686"/>
    </row>
    <row r="14" spans="1:7">
      <c r="A14" s="476" t="s">
        <v>699</v>
      </c>
      <c r="B14" s="482"/>
      <c r="C14" s="482"/>
      <c r="D14" s="482"/>
      <c r="E14" s="482"/>
      <c r="F14" s="483"/>
      <c r="G14" s="686"/>
    </row>
    <row r="15" spans="1:7">
      <c r="A15" s="476" t="s">
        <v>707</v>
      </c>
      <c r="B15" s="482"/>
      <c r="C15" s="482"/>
      <c r="D15" s="482"/>
      <c r="E15" s="482"/>
      <c r="F15" s="483"/>
      <c r="G15" s="686"/>
    </row>
    <row r="16" spans="1:7">
      <c r="A16" s="478" t="s">
        <v>698</v>
      </c>
      <c r="B16" s="482"/>
      <c r="C16" s="482"/>
      <c r="D16" s="482"/>
      <c r="E16" s="482"/>
      <c r="F16" s="483"/>
      <c r="G16" s="686"/>
    </row>
    <row r="17" spans="1:7">
      <c r="A17" s="479" t="s">
        <v>684</v>
      </c>
      <c r="B17" s="480"/>
      <c r="C17" s="480"/>
      <c r="D17" s="480"/>
      <c r="E17" s="480"/>
      <c r="F17" s="483"/>
      <c r="G17" s="686"/>
    </row>
    <row r="18" spans="1:7">
      <c r="A18" s="476" t="s">
        <v>699</v>
      </c>
      <c r="B18" s="482"/>
      <c r="C18" s="482"/>
      <c r="D18" s="482"/>
      <c r="E18" s="482"/>
      <c r="F18" s="483"/>
      <c r="G18" s="686"/>
    </row>
    <row r="19" spans="1:7">
      <c r="A19" s="476" t="s">
        <v>707</v>
      </c>
      <c r="B19" s="482"/>
      <c r="C19" s="482"/>
      <c r="D19" s="482"/>
      <c r="E19" s="482"/>
      <c r="F19" s="483"/>
      <c r="G19" s="686"/>
    </row>
    <row r="20" spans="1:7" ht="15" thickBot="1">
      <c r="A20" s="478" t="s">
        <v>698</v>
      </c>
      <c r="B20" s="484"/>
      <c r="C20" s="484"/>
      <c r="D20" s="484"/>
      <c r="E20" s="484"/>
      <c r="F20" s="485"/>
      <c r="G20" s="686"/>
    </row>
  </sheetData>
  <mergeCells count="3">
    <mergeCell ref="A7:A8"/>
    <mergeCell ref="B7:E7"/>
    <mergeCell ref="F7:F8"/>
  </mergeCells>
  <pageMargins left="0.7" right="0.7" top="0.75" bottom="0.75" header="0.3" footer="0.3"/>
  <pageSetup orientation="portrait" horizontalDpi="4294967292" r:id="rId1"/>
  <headerFooter>
    <oddFooter>&amp;C_x000D_&amp;1#&amp;"Calibri"&amp;10&amp;K000000 C1 - FOR INTERNAL USE 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F11" sqref="F11"/>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9.44140625" style="5" customWidth="1"/>
    <col min="6" max="16384" width="9.21875" style="5"/>
  </cols>
  <sheetData>
    <row r="1" spans="1:6">
      <c r="A1" s="2" t="s">
        <v>30</v>
      </c>
      <c r="B1" s="3" t="str">
        <f>'Info '!C2</f>
        <v xml:space="preserve">PASHA Bank Georgia JSC </v>
      </c>
      <c r="E1" s="4"/>
      <c r="F1" s="4"/>
    </row>
    <row r="2" spans="1:6" s="2" customFormat="1" ht="15.75" customHeight="1">
      <c r="A2" s="2" t="s">
        <v>31</v>
      </c>
      <c r="B2" s="269">
        <f>'1. key ratios '!B2</f>
        <v>45747</v>
      </c>
    </row>
    <row r="3" spans="1:6" s="2" customFormat="1" ht="15.75" customHeight="1">
      <c r="A3" s="72"/>
    </row>
    <row r="4" spans="1:6" s="2" customFormat="1" ht="15.75" customHeight="1" thickBot="1">
      <c r="A4" s="2" t="s">
        <v>47</v>
      </c>
      <c r="B4" s="129" t="s">
        <v>165</v>
      </c>
      <c r="D4" s="16" t="s">
        <v>35</v>
      </c>
    </row>
    <row r="5" spans="1:6" ht="26.4">
      <c r="A5" s="73" t="s">
        <v>6</v>
      </c>
      <c r="B5" s="147" t="s">
        <v>205</v>
      </c>
      <c r="C5" s="74" t="s">
        <v>624</v>
      </c>
      <c r="D5" s="75" t="s">
        <v>49</v>
      </c>
    </row>
    <row r="6" spans="1:6" ht="14.4">
      <c r="A6" s="321">
        <v>1</v>
      </c>
      <c r="B6" s="322" t="s">
        <v>525</v>
      </c>
      <c r="C6" s="603">
        <f>SUM(C7:C9)</f>
        <v>198288716.39709997</v>
      </c>
      <c r="D6" s="76"/>
      <c r="E6" s="77"/>
    </row>
    <row r="7" spans="1:6" ht="14.4">
      <c r="A7" s="321">
        <v>1.1000000000000001</v>
      </c>
      <c r="B7" s="323" t="s">
        <v>526</v>
      </c>
      <c r="C7" s="604">
        <v>3438603.0577000002</v>
      </c>
      <c r="D7" s="78"/>
      <c r="E7" s="77"/>
    </row>
    <row r="8" spans="1:6" ht="14.4">
      <c r="A8" s="321">
        <v>1.2</v>
      </c>
      <c r="B8" s="323" t="s">
        <v>527</v>
      </c>
      <c r="C8" s="604">
        <v>89416383.471699998</v>
      </c>
      <c r="D8" s="78"/>
      <c r="E8" s="77"/>
    </row>
    <row r="9" spans="1:6" ht="14.4">
      <c r="A9" s="321">
        <v>1.3</v>
      </c>
      <c r="B9" s="323" t="s">
        <v>528</v>
      </c>
      <c r="C9" s="604">
        <v>105433729.8677</v>
      </c>
      <c r="D9" s="78"/>
      <c r="E9" s="77"/>
    </row>
    <row r="10" spans="1:6" ht="14.4">
      <c r="A10" s="321">
        <v>2</v>
      </c>
      <c r="B10" s="324" t="s">
        <v>529</v>
      </c>
      <c r="C10" s="605">
        <f>C11</f>
        <v>590873.73609999998</v>
      </c>
      <c r="D10" s="78"/>
      <c r="E10" s="77"/>
    </row>
    <row r="11" spans="1:6" ht="14.4">
      <c r="A11" s="321">
        <v>2.1</v>
      </c>
      <c r="B11" s="325" t="s">
        <v>530</v>
      </c>
      <c r="C11" s="606">
        <v>590873.73609999998</v>
      </c>
      <c r="D11" s="364"/>
      <c r="E11" s="77"/>
    </row>
    <row r="12" spans="1:6" ht="14.4">
      <c r="A12" s="321">
        <v>3</v>
      </c>
      <c r="B12" s="326" t="s">
        <v>531</v>
      </c>
      <c r="C12" s="606"/>
      <c r="D12" s="364"/>
      <c r="E12" s="77"/>
    </row>
    <row r="13" spans="1:6" ht="14.4">
      <c r="A13" s="321">
        <v>4</v>
      </c>
      <c r="B13" s="327" t="s">
        <v>532</v>
      </c>
      <c r="C13" s="606"/>
      <c r="D13" s="364"/>
      <c r="E13" s="77"/>
    </row>
    <row r="14" spans="1:6" ht="14.4">
      <c r="A14" s="321">
        <v>5</v>
      </c>
      <c r="B14" s="328" t="s">
        <v>533</v>
      </c>
      <c r="C14" s="606">
        <f>SUM(C15:C17)</f>
        <v>0</v>
      </c>
      <c r="D14" s="364"/>
      <c r="E14" s="77"/>
    </row>
    <row r="15" spans="1:6" ht="14.4">
      <c r="A15" s="321">
        <v>5.0999999999999996</v>
      </c>
      <c r="B15" s="329" t="s">
        <v>534</v>
      </c>
      <c r="C15" s="604"/>
      <c r="D15" s="364"/>
      <c r="E15" s="77"/>
    </row>
    <row r="16" spans="1:6" ht="14.4">
      <c r="A16" s="321">
        <v>5.2</v>
      </c>
      <c r="B16" s="329" t="s">
        <v>535</v>
      </c>
      <c r="C16" s="604"/>
      <c r="D16" s="78"/>
      <c r="E16" s="77"/>
    </row>
    <row r="17" spans="1:5" ht="14.4">
      <c r="A17" s="321">
        <v>5.3</v>
      </c>
      <c r="B17" s="330" t="s">
        <v>536</v>
      </c>
      <c r="C17" s="604"/>
      <c r="D17" s="78"/>
      <c r="E17" s="77"/>
    </row>
    <row r="18" spans="1:5" ht="14.4">
      <c r="A18" s="321">
        <v>6</v>
      </c>
      <c r="B18" s="326" t="s">
        <v>537</v>
      </c>
      <c r="C18" s="605">
        <f>SUM(C19:C20)</f>
        <v>468121388.53500003</v>
      </c>
      <c r="D18" s="78"/>
      <c r="E18" s="77"/>
    </row>
    <row r="19" spans="1:5" ht="14.4">
      <c r="A19" s="321">
        <v>6.1</v>
      </c>
      <c r="B19" s="329" t="s">
        <v>535</v>
      </c>
      <c r="C19" s="606">
        <v>81067518.249800012</v>
      </c>
      <c r="D19" s="78"/>
      <c r="E19" s="77"/>
    </row>
    <row r="20" spans="1:5" ht="14.4">
      <c r="A20" s="321">
        <v>6.2</v>
      </c>
      <c r="B20" s="330" t="s">
        <v>536</v>
      </c>
      <c r="C20" s="606">
        <v>387053870.2852</v>
      </c>
      <c r="D20" s="78"/>
      <c r="E20" s="77"/>
    </row>
    <row r="21" spans="1:5" ht="14.4">
      <c r="A21" s="321">
        <v>7</v>
      </c>
      <c r="B21" s="324" t="s">
        <v>538</v>
      </c>
      <c r="C21" s="606"/>
      <c r="D21" s="78"/>
      <c r="E21" s="77"/>
    </row>
    <row r="22" spans="1:5" ht="14.4">
      <c r="A22" s="321">
        <v>8</v>
      </c>
      <c r="B22" s="331" t="s">
        <v>539</v>
      </c>
      <c r="C22" s="604"/>
      <c r="D22" s="78"/>
      <c r="E22" s="77"/>
    </row>
    <row r="23" spans="1:5" ht="14.4">
      <c r="A23" s="321">
        <v>9</v>
      </c>
      <c r="B23" s="327" t="s">
        <v>540</v>
      </c>
      <c r="C23" s="605">
        <f>SUM(C24:C25)</f>
        <v>6718453.9199999999</v>
      </c>
      <c r="D23" s="365"/>
      <c r="E23" s="77"/>
    </row>
    <row r="24" spans="1:5" ht="14.4">
      <c r="A24" s="321">
        <v>9.1</v>
      </c>
      <c r="B24" s="329" t="s">
        <v>541</v>
      </c>
      <c r="C24" s="607">
        <v>6718453.9199999999</v>
      </c>
      <c r="D24" s="79"/>
      <c r="E24" s="77"/>
    </row>
    <row r="25" spans="1:5" ht="14.4">
      <c r="A25" s="321">
        <v>9.1999999999999993</v>
      </c>
      <c r="B25" s="329" t="s">
        <v>542</v>
      </c>
      <c r="C25" s="608"/>
      <c r="D25" s="363"/>
      <c r="E25" s="77"/>
    </row>
    <row r="26" spans="1:5" ht="14.4">
      <c r="A26" s="321">
        <v>10</v>
      </c>
      <c r="B26" s="327" t="s">
        <v>543</v>
      </c>
      <c r="C26" s="609">
        <f>SUM(C27:C28)</f>
        <v>3583917.36</v>
      </c>
      <c r="D26" s="451" t="s">
        <v>665</v>
      </c>
      <c r="E26" s="77"/>
    </row>
    <row r="27" spans="1:5" ht="14.4">
      <c r="A27" s="321">
        <v>10.1</v>
      </c>
      <c r="B27" s="329" t="s">
        <v>544</v>
      </c>
      <c r="C27" s="604"/>
      <c r="D27" s="78"/>
      <c r="E27" s="77"/>
    </row>
    <row r="28" spans="1:5" ht="14.4">
      <c r="A28" s="321">
        <v>10.199999999999999</v>
      </c>
      <c r="B28" s="329" t="s">
        <v>545</v>
      </c>
      <c r="C28" s="604">
        <v>3583917.36</v>
      </c>
      <c r="D28" s="78"/>
      <c r="E28" s="77"/>
    </row>
    <row r="29" spans="1:5" ht="14.4">
      <c r="A29" s="321">
        <v>11</v>
      </c>
      <c r="B29" s="327" t="s">
        <v>546</v>
      </c>
      <c r="C29" s="605">
        <f>SUM(C30:C31)</f>
        <v>3795103.27</v>
      </c>
      <c r="D29" s="451" t="s">
        <v>776</v>
      </c>
      <c r="E29" s="77"/>
    </row>
    <row r="30" spans="1:5" ht="14.4">
      <c r="A30" s="321">
        <v>11.1</v>
      </c>
      <c r="B30" s="329" t="s">
        <v>547</v>
      </c>
      <c r="C30" s="604"/>
      <c r="D30" s="78"/>
      <c r="E30" s="77"/>
    </row>
    <row r="31" spans="1:5" ht="14.4">
      <c r="A31" s="321">
        <v>11.2</v>
      </c>
      <c r="B31" s="329" t="s">
        <v>548</v>
      </c>
      <c r="C31" s="604">
        <v>3795103.27</v>
      </c>
      <c r="D31" s="78"/>
      <c r="E31" s="77"/>
    </row>
    <row r="32" spans="1:5" ht="14.4">
      <c r="A32" s="321">
        <v>13</v>
      </c>
      <c r="B32" s="327" t="s">
        <v>549</v>
      </c>
      <c r="C32" s="604">
        <v>19129692.486999996</v>
      </c>
      <c r="D32" s="78"/>
      <c r="E32" s="77"/>
    </row>
    <row r="33" spans="1:5" ht="14.4">
      <c r="A33" s="321">
        <v>13.1</v>
      </c>
      <c r="B33" s="332" t="s">
        <v>550</v>
      </c>
      <c r="C33" s="604">
        <v>16895117.84</v>
      </c>
      <c r="D33" s="78"/>
      <c r="E33" s="77"/>
    </row>
    <row r="34" spans="1:5" ht="14.4">
      <c r="A34" s="321">
        <v>13.2</v>
      </c>
      <c r="B34" s="332" t="s">
        <v>551</v>
      </c>
      <c r="C34" s="607"/>
      <c r="D34" s="79"/>
      <c r="E34" s="77"/>
    </row>
    <row r="35" spans="1:5" ht="14.4">
      <c r="A35" s="321">
        <v>14</v>
      </c>
      <c r="B35" s="333" t="s">
        <v>552</v>
      </c>
      <c r="C35" s="610">
        <f>SUM(C6,C10,C12,C13,C14,C18,C21,C22,C23,C26,C29,C32)</f>
        <v>700228145.70519996</v>
      </c>
      <c r="D35" s="79"/>
      <c r="E35" s="77"/>
    </row>
    <row r="36" spans="1:5" ht="14.4">
      <c r="A36" s="321"/>
      <c r="B36" s="334" t="s">
        <v>553</v>
      </c>
      <c r="C36" s="611"/>
      <c r="D36" s="80"/>
      <c r="E36" s="77"/>
    </row>
    <row r="37" spans="1:5" ht="14.4">
      <c r="A37" s="321">
        <v>15</v>
      </c>
      <c r="B37" s="335" t="s">
        <v>554</v>
      </c>
      <c r="C37" s="608">
        <f>C38</f>
        <v>549092.5</v>
      </c>
      <c r="D37" s="363"/>
      <c r="E37" s="77"/>
    </row>
    <row r="38" spans="1:5" ht="14.4">
      <c r="A38" s="336">
        <v>15.1</v>
      </c>
      <c r="B38" s="337" t="s">
        <v>530</v>
      </c>
      <c r="C38" s="604">
        <v>549092.5</v>
      </c>
      <c r="D38" s="78"/>
      <c r="E38" s="77"/>
    </row>
    <row r="39" spans="1:5" ht="14.4">
      <c r="A39" s="336">
        <v>16</v>
      </c>
      <c r="B39" s="324" t="s">
        <v>555</v>
      </c>
      <c r="C39" s="604"/>
      <c r="D39" s="78"/>
      <c r="E39" s="77"/>
    </row>
    <row r="40" spans="1:5" ht="14.4">
      <c r="A40" s="336">
        <v>17</v>
      </c>
      <c r="B40" s="324" t="s">
        <v>556</v>
      </c>
      <c r="C40" s="605">
        <f>SUM(C41:C44)</f>
        <v>535407758.94730002</v>
      </c>
      <c r="D40" s="78"/>
      <c r="E40" s="77"/>
    </row>
    <row r="41" spans="1:5" ht="14.4">
      <c r="A41" s="336">
        <v>17.100000000000001</v>
      </c>
      <c r="B41" s="338" t="s">
        <v>557</v>
      </c>
      <c r="C41" s="604">
        <v>492372801.5625</v>
      </c>
      <c r="D41" s="78"/>
      <c r="E41" s="77"/>
    </row>
    <row r="42" spans="1:5" ht="14.4">
      <c r="A42" s="336">
        <v>17.2</v>
      </c>
      <c r="B42" s="339" t="s">
        <v>558</v>
      </c>
      <c r="C42" s="604">
        <v>37900846.0057</v>
      </c>
      <c r="D42" s="78"/>
      <c r="E42" s="77"/>
    </row>
    <row r="43" spans="1:5" ht="14.4">
      <c r="A43" s="336">
        <v>17.3</v>
      </c>
      <c r="B43" s="354" t="s">
        <v>559</v>
      </c>
      <c r="C43" s="607"/>
      <c r="D43" s="79"/>
      <c r="E43" s="77"/>
    </row>
    <row r="44" spans="1:5" ht="14.4">
      <c r="A44" s="336">
        <v>17.399999999999999</v>
      </c>
      <c r="B44" s="355" t="s">
        <v>560</v>
      </c>
      <c r="C44" s="612">
        <v>5134111.3790999996</v>
      </c>
      <c r="D44" s="356"/>
      <c r="E44" s="77"/>
    </row>
    <row r="45" spans="1:5" ht="14.4">
      <c r="A45" s="336">
        <v>18</v>
      </c>
      <c r="B45" s="344" t="s">
        <v>561</v>
      </c>
      <c r="C45" s="613">
        <v>539671.56550000003</v>
      </c>
      <c r="D45" s="362"/>
      <c r="E45" s="77"/>
    </row>
    <row r="46" spans="1:5" ht="14.4">
      <c r="A46" s="336">
        <v>19</v>
      </c>
      <c r="B46" s="344" t="s">
        <v>562</v>
      </c>
      <c r="C46" s="614">
        <f>SUM(C47:C48)</f>
        <v>0</v>
      </c>
      <c r="D46" s="357"/>
      <c r="E46" s="77"/>
    </row>
    <row r="47" spans="1:5" ht="14.4">
      <c r="A47" s="336">
        <v>19.100000000000001</v>
      </c>
      <c r="B47" s="358" t="s">
        <v>563</v>
      </c>
      <c r="C47" s="614"/>
      <c r="D47" s="357"/>
      <c r="E47" s="77"/>
    </row>
    <row r="48" spans="1:5" ht="14.4">
      <c r="A48" s="336">
        <v>19.2</v>
      </c>
      <c r="B48" s="358" t="s">
        <v>564</v>
      </c>
      <c r="C48" s="614"/>
      <c r="D48" s="357"/>
      <c r="E48" s="77"/>
    </row>
    <row r="49" spans="1:5" ht="14.4">
      <c r="A49" s="336">
        <v>20</v>
      </c>
      <c r="B49" s="340" t="s">
        <v>565</v>
      </c>
      <c r="C49" s="614">
        <v>33651416.677900001</v>
      </c>
      <c r="D49" s="451" t="s">
        <v>777</v>
      </c>
      <c r="E49" s="77"/>
    </row>
    <row r="50" spans="1:5" ht="14.4">
      <c r="A50" s="336">
        <v>21</v>
      </c>
      <c r="B50" s="359" t="s">
        <v>566</v>
      </c>
      <c r="C50" s="614">
        <v>6970195.4791999999</v>
      </c>
      <c r="D50" s="357"/>
      <c r="E50" s="77"/>
    </row>
    <row r="51" spans="1:5" ht="14.4">
      <c r="A51" s="336">
        <v>21.1</v>
      </c>
      <c r="B51" s="339" t="s">
        <v>567</v>
      </c>
      <c r="C51" s="614"/>
      <c r="D51" s="357"/>
      <c r="E51" s="77"/>
    </row>
    <row r="52" spans="1:5" ht="14.4">
      <c r="A52" s="336">
        <v>22</v>
      </c>
      <c r="B52" s="341" t="s">
        <v>568</v>
      </c>
      <c r="C52" s="615">
        <f>SUM(C37,C39,C40,C45,C46,C49,C50)</f>
        <v>577118135.16990006</v>
      </c>
      <c r="D52" s="357"/>
      <c r="E52" s="77"/>
    </row>
    <row r="53" spans="1:5" ht="14.4">
      <c r="A53" s="336"/>
      <c r="B53" s="342" t="s">
        <v>569</v>
      </c>
      <c r="C53" s="614"/>
      <c r="D53" s="357"/>
      <c r="E53" s="77"/>
    </row>
    <row r="54" spans="1:5" ht="14.4">
      <c r="A54" s="336">
        <v>23</v>
      </c>
      <c r="B54" s="340" t="s">
        <v>570</v>
      </c>
      <c r="C54" s="615">
        <v>136800000</v>
      </c>
      <c r="D54" s="451" t="s">
        <v>778</v>
      </c>
      <c r="E54" s="77"/>
    </row>
    <row r="55" spans="1:5" ht="14.4">
      <c r="A55" s="336">
        <v>24</v>
      </c>
      <c r="B55" s="340" t="s">
        <v>571</v>
      </c>
      <c r="C55" s="614"/>
      <c r="D55" s="357"/>
      <c r="E55" s="77"/>
    </row>
    <row r="56" spans="1:5" ht="14.4">
      <c r="A56" s="336">
        <v>25</v>
      </c>
      <c r="B56" s="344" t="s">
        <v>572</v>
      </c>
      <c r="C56" s="614"/>
      <c r="D56" s="357"/>
      <c r="E56" s="77"/>
    </row>
    <row r="57" spans="1:5" ht="14.4">
      <c r="A57" s="336">
        <v>26</v>
      </c>
      <c r="B57" s="344" t="s">
        <v>573</v>
      </c>
      <c r="C57" s="614"/>
      <c r="D57" s="357"/>
      <c r="E57" s="77"/>
    </row>
    <row r="58" spans="1:5" ht="14.4">
      <c r="A58" s="336">
        <v>27</v>
      </c>
      <c r="B58" s="344" t="s">
        <v>574</v>
      </c>
      <c r="C58" s="615">
        <f>SUM(C59:C60)</f>
        <v>1154910.5</v>
      </c>
      <c r="D58" s="357"/>
      <c r="E58" s="77"/>
    </row>
    <row r="59" spans="1:5" ht="14.4">
      <c r="A59" s="336">
        <v>27.1</v>
      </c>
      <c r="B59" s="355" t="s">
        <v>575</v>
      </c>
      <c r="C59" s="614">
        <v>1154910.5</v>
      </c>
      <c r="D59" s="357"/>
      <c r="E59" s="77"/>
    </row>
    <row r="60" spans="1:5" ht="14.4">
      <c r="A60" s="336">
        <v>27.2</v>
      </c>
      <c r="B60" s="355" t="s">
        <v>576</v>
      </c>
      <c r="C60" s="614"/>
      <c r="D60" s="357"/>
      <c r="E60" s="77"/>
    </row>
    <row r="61" spans="1:5" ht="14.4">
      <c r="A61" s="336">
        <v>28</v>
      </c>
      <c r="B61" s="343" t="s">
        <v>577</v>
      </c>
      <c r="C61" s="614"/>
      <c r="D61" s="357"/>
      <c r="E61" s="77"/>
    </row>
    <row r="62" spans="1:5" ht="14.4">
      <c r="A62" s="336">
        <v>29</v>
      </c>
      <c r="B62" s="344" t="s">
        <v>578</v>
      </c>
      <c r="C62" s="614">
        <f>SUM(C63:C65)</f>
        <v>0</v>
      </c>
      <c r="D62" s="357"/>
      <c r="E62" s="77"/>
    </row>
    <row r="63" spans="1:5" ht="14.4">
      <c r="A63" s="336">
        <v>29.1</v>
      </c>
      <c r="B63" s="360" t="s">
        <v>579</v>
      </c>
      <c r="C63" s="614"/>
      <c r="D63" s="357"/>
      <c r="E63" s="77"/>
    </row>
    <row r="64" spans="1:5" ht="14.4">
      <c r="A64" s="336">
        <v>29.2</v>
      </c>
      <c r="B64" s="358" t="s">
        <v>580</v>
      </c>
      <c r="C64" s="614"/>
      <c r="D64" s="357"/>
      <c r="E64" s="77"/>
    </row>
    <row r="65" spans="1:5" ht="14.4">
      <c r="A65" s="336">
        <v>29.3</v>
      </c>
      <c r="B65" s="358" t="s">
        <v>581</v>
      </c>
      <c r="C65" s="614"/>
      <c r="D65" s="357"/>
      <c r="E65" s="77"/>
    </row>
    <row r="66" spans="1:5" ht="14.4">
      <c r="A66" s="336">
        <v>30</v>
      </c>
      <c r="B66" s="344" t="s">
        <v>582</v>
      </c>
      <c r="C66" s="615">
        <v>-14844900.41</v>
      </c>
      <c r="D66" s="451" t="s">
        <v>779</v>
      </c>
      <c r="E66" s="77"/>
    </row>
    <row r="67" spans="1:5" ht="14.4">
      <c r="A67" s="336">
        <v>31</v>
      </c>
      <c r="B67" s="361" t="s">
        <v>583</v>
      </c>
      <c r="C67" s="615">
        <f>SUM(C54,C55,C56,C57,C58,C61,C62,C66)</f>
        <v>123110010.09</v>
      </c>
      <c r="D67" s="357"/>
      <c r="E67" s="77"/>
    </row>
    <row r="68" spans="1:5" ht="14.4">
      <c r="A68" s="336">
        <v>32</v>
      </c>
      <c r="B68" s="344" t="s">
        <v>584</v>
      </c>
      <c r="C68" s="615">
        <f>SUM(C52,C67)</f>
        <v>700228145.25990009</v>
      </c>
      <c r="D68" s="357"/>
      <c r="E68" s="77"/>
    </row>
  </sheetData>
  <pageMargins left="0.7" right="0.7" top="0.75" bottom="0.75" header="0.3" footer="0.3"/>
  <pageSetup paperSize="9" orientation="portrait" horizontalDpi="4294967295" verticalDpi="4294967295" r:id="rId1"/>
  <headerFooter>
    <oddFooter>&amp;C_x000D_&amp;1#&amp;"Calibri"&amp;10&amp;K000000 C1 - FOR INTERNAL USE ONLY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3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14" sqref="F14"/>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15" bestFit="1" customWidth="1"/>
    <col min="17" max="17" width="14.77734375" style="15" customWidth="1"/>
    <col min="18" max="18" width="13" style="15" bestFit="1" customWidth="1"/>
    <col min="19" max="19" width="34.77734375" style="15" customWidth="1"/>
    <col min="20" max="16384" width="9.21875" style="15"/>
  </cols>
  <sheetData>
    <row r="1" spans="1:19">
      <c r="A1" s="2" t="s">
        <v>30</v>
      </c>
      <c r="B1" s="3" t="str">
        <f>'Info '!C2</f>
        <v xml:space="preserve">PASHA Bank Georgia JSC </v>
      </c>
    </row>
    <row r="2" spans="1:19">
      <c r="A2" s="2" t="s">
        <v>31</v>
      </c>
      <c r="B2" s="269">
        <f>'1. key ratios '!B2</f>
        <v>45747</v>
      </c>
    </row>
    <row r="4" spans="1:19" ht="27" thickBot="1">
      <c r="A4" s="4" t="s">
        <v>146</v>
      </c>
      <c r="B4" s="166" t="s">
        <v>238</v>
      </c>
    </row>
    <row r="5" spans="1:19" s="154" customFormat="1" ht="13.8">
      <c r="A5" s="149"/>
      <c r="B5" s="150"/>
      <c r="C5" s="151" t="s">
        <v>0</v>
      </c>
      <c r="D5" s="151" t="s">
        <v>1</v>
      </c>
      <c r="E5" s="151" t="s">
        <v>2</v>
      </c>
      <c r="F5" s="151" t="s">
        <v>3</v>
      </c>
      <c r="G5" s="151" t="s">
        <v>4</v>
      </c>
      <c r="H5" s="151" t="s">
        <v>5</v>
      </c>
      <c r="I5" s="151" t="s">
        <v>8</v>
      </c>
      <c r="J5" s="151" t="s">
        <v>9</v>
      </c>
      <c r="K5" s="151" t="s">
        <v>10</v>
      </c>
      <c r="L5" s="151" t="s">
        <v>11</v>
      </c>
      <c r="M5" s="151" t="s">
        <v>12</v>
      </c>
      <c r="N5" s="151" t="s">
        <v>13</v>
      </c>
      <c r="O5" s="151" t="s">
        <v>222</v>
      </c>
      <c r="P5" s="151" t="s">
        <v>223</v>
      </c>
      <c r="Q5" s="151" t="s">
        <v>224</v>
      </c>
      <c r="R5" s="152" t="s">
        <v>225</v>
      </c>
      <c r="S5" s="153" t="s">
        <v>226</v>
      </c>
    </row>
    <row r="6" spans="1:19" s="154" customFormat="1" ht="99" customHeight="1">
      <c r="A6" s="155"/>
      <c r="B6" s="739" t="s">
        <v>227</v>
      </c>
      <c r="C6" s="735">
        <v>0</v>
      </c>
      <c r="D6" s="736"/>
      <c r="E6" s="735">
        <v>0.2</v>
      </c>
      <c r="F6" s="736"/>
      <c r="G6" s="735">
        <v>0.35</v>
      </c>
      <c r="H6" s="736"/>
      <c r="I6" s="735">
        <v>0.5</v>
      </c>
      <c r="J6" s="736"/>
      <c r="K6" s="735">
        <v>0.75</v>
      </c>
      <c r="L6" s="736"/>
      <c r="M6" s="735">
        <v>1</v>
      </c>
      <c r="N6" s="736"/>
      <c r="O6" s="735">
        <v>1.5</v>
      </c>
      <c r="P6" s="736"/>
      <c r="Q6" s="735">
        <v>2.5</v>
      </c>
      <c r="R6" s="736"/>
      <c r="S6" s="737" t="s">
        <v>145</v>
      </c>
    </row>
    <row r="7" spans="1:19" s="154" customFormat="1" ht="30.75" customHeight="1">
      <c r="A7" s="155"/>
      <c r="B7" s="740"/>
      <c r="C7" s="146" t="s">
        <v>148</v>
      </c>
      <c r="D7" s="146" t="s">
        <v>147</v>
      </c>
      <c r="E7" s="146" t="s">
        <v>148</v>
      </c>
      <c r="F7" s="146" t="s">
        <v>147</v>
      </c>
      <c r="G7" s="146" t="s">
        <v>148</v>
      </c>
      <c r="H7" s="146" t="s">
        <v>147</v>
      </c>
      <c r="I7" s="146" t="s">
        <v>148</v>
      </c>
      <c r="J7" s="146" t="s">
        <v>147</v>
      </c>
      <c r="K7" s="146" t="s">
        <v>148</v>
      </c>
      <c r="L7" s="146" t="s">
        <v>147</v>
      </c>
      <c r="M7" s="146" t="s">
        <v>148</v>
      </c>
      <c r="N7" s="146" t="s">
        <v>147</v>
      </c>
      <c r="O7" s="146" t="s">
        <v>148</v>
      </c>
      <c r="P7" s="146" t="s">
        <v>147</v>
      </c>
      <c r="Q7" s="146" t="s">
        <v>148</v>
      </c>
      <c r="R7" s="146" t="s">
        <v>147</v>
      </c>
      <c r="S7" s="738"/>
    </row>
    <row r="8" spans="1:19">
      <c r="A8" s="81">
        <v>1</v>
      </c>
      <c r="B8" s="1" t="s">
        <v>51</v>
      </c>
      <c r="C8" s="82">
        <v>31728083.23</v>
      </c>
      <c r="D8" s="82"/>
      <c r="E8" s="82">
        <v>0</v>
      </c>
      <c r="F8" s="82"/>
      <c r="G8" s="82">
        <v>0</v>
      </c>
      <c r="H8" s="82"/>
      <c r="I8" s="82">
        <v>0</v>
      </c>
      <c r="J8" s="82"/>
      <c r="K8" s="82">
        <v>0</v>
      </c>
      <c r="L8" s="82"/>
      <c r="M8" s="82">
        <v>63034700.241700001</v>
      </c>
      <c r="N8" s="82"/>
      <c r="O8" s="82">
        <v>0</v>
      </c>
      <c r="P8" s="82"/>
      <c r="Q8" s="82">
        <v>0</v>
      </c>
      <c r="R8" s="82"/>
      <c r="S8" s="167">
        <f>$C$6*SUM(C8:D8)+$E$6*SUM(E8:F8)+$G$6*SUM(G8:H8)+$I$6*SUM(I8:J8)+$K$6*SUM(K8:L8)+$M$6*SUM(M8:N8)+$O$6*SUM(O8:P8)+$Q$6*SUM(Q8:R8)</f>
        <v>63034700.241700001</v>
      </c>
    </row>
    <row r="9" spans="1:19">
      <c r="A9" s="81">
        <v>2</v>
      </c>
      <c r="B9" s="1" t="s">
        <v>52</v>
      </c>
      <c r="C9" s="82">
        <v>0</v>
      </c>
      <c r="D9" s="82"/>
      <c r="E9" s="82">
        <v>0</v>
      </c>
      <c r="F9" s="82"/>
      <c r="G9" s="82">
        <v>0</v>
      </c>
      <c r="H9" s="82"/>
      <c r="I9" s="82">
        <v>0</v>
      </c>
      <c r="J9" s="82"/>
      <c r="K9" s="82">
        <v>0</v>
      </c>
      <c r="L9" s="82"/>
      <c r="M9" s="82">
        <v>0</v>
      </c>
      <c r="N9" s="82"/>
      <c r="O9" s="82">
        <v>0</v>
      </c>
      <c r="P9" s="82"/>
      <c r="Q9" s="82">
        <v>0</v>
      </c>
      <c r="R9" s="82"/>
      <c r="S9" s="167">
        <f t="shared" ref="S9:S21" si="0">$C$6*SUM(C9:D9)+$E$6*SUM(E9:F9)+$G$6*SUM(G9:H9)+$I$6*SUM(I9:J9)+$K$6*SUM(K9:L9)+$M$6*SUM(M9:N9)+$O$6*SUM(O9:P9)+$Q$6*SUM(Q9:R9)</f>
        <v>0</v>
      </c>
    </row>
    <row r="10" spans="1:19">
      <c r="A10" s="81">
        <v>3</v>
      </c>
      <c r="B10" s="1" t="s">
        <v>152</v>
      </c>
      <c r="C10" s="82">
        <v>0</v>
      </c>
      <c r="D10" s="82"/>
      <c r="E10" s="82">
        <v>0</v>
      </c>
      <c r="F10" s="82"/>
      <c r="G10" s="82">
        <v>0</v>
      </c>
      <c r="H10" s="82"/>
      <c r="I10" s="82">
        <v>0</v>
      </c>
      <c r="J10" s="82"/>
      <c r="K10" s="82">
        <v>0</v>
      </c>
      <c r="L10" s="82"/>
      <c r="M10" s="82">
        <v>0</v>
      </c>
      <c r="N10" s="82"/>
      <c r="O10" s="82">
        <v>0</v>
      </c>
      <c r="P10" s="82"/>
      <c r="Q10" s="82">
        <v>0</v>
      </c>
      <c r="R10" s="82"/>
      <c r="S10" s="167">
        <f t="shared" si="0"/>
        <v>0</v>
      </c>
    </row>
    <row r="11" spans="1:19">
      <c r="A11" s="81">
        <v>4</v>
      </c>
      <c r="B11" s="1" t="s">
        <v>53</v>
      </c>
      <c r="C11" s="82">
        <v>0</v>
      </c>
      <c r="D11" s="82"/>
      <c r="E11" s="82">
        <v>0</v>
      </c>
      <c r="F11" s="82"/>
      <c r="G11" s="82">
        <v>0</v>
      </c>
      <c r="H11" s="82"/>
      <c r="I11" s="82">
        <v>0</v>
      </c>
      <c r="J11" s="82"/>
      <c r="K11" s="82">
        <v>0</v>
      </c>
      <c r="L11" s="82"/>
      <c r="M11" s="82">
        <v>0</v>
      </c>
      <c r="N11" s="82"/>
      <c r="O11" s="82">
        <v>0</v>
      </c>
      <c r="P11" s="82"/>
      <c r="Q11" s="82">
        <v>0</v>
      </c>
      <c r="R11" s="82"/>
      <c r="S11" s="167">
        <f t="shared" si="0"/>
        <v>0</v>
      </c>
    </row>
    <row r="12" spans="1:19">
      <c r="A12" s="81">
        <v>5</v>
      </c>
      <c r="B12" s="1" t="s">
        <v>54</v>
      </c>
      <c r="C12" s="82">
        <v>0</v>
      </c>
      <c r="D12" s="82"/>
      <c r="E12" s="82">
        <v>0</v>
      </c>
      <c r="F12" s="82"/>
      <c r="G12" s="82">
        <v>0</v>
      </c>
      <c r="H12" s="82"/>
      <c r="I12" s="82">
        <v>0</v>
      </c>
      <c r="J12" s="82"/>
      <c r="K12" s="82">
        <v>0</v>
      </c>
      <c r="L12" s="82"/>
      <c r="M12" s="82">
        <v>0</v>
      </c>
      <c r="N12" s="82"/>
      <c r="O12" s="82">
        <v>0</v>
      </c>
      <c r="P12" s="82"/>
      <c r="Q12" s="82">
        <v>0</v>
      </c>
      <c r="R12" s="82"/>
      <c r="S12" s="167">
        <f t="shared" si="0"/>
        <v>0</v>
      </c>
    </row>
    <row r="13" spans="1:19">
      <c r="A13" s="81">
        <v>6</v>
      </c>
      <c r="B13" s="1" t="s">
        <v>55</v>
      </c>
      <c r="C13" s="82">
        <v>0</v>
      </c>
      <c r="D13" s="82"/>
      <c r="E13" s="82">
        <v>121833921.3477</v>
      </c>
      <c r="F13" s="82"/>
      <c r="G13" s="82">
        <v>0</v>
      </c>
      <c r="H13" s="82"/>
      <c r="I13" s="82">
        <v>13142014.5725</v>
      </c>
      <c r="J13" s="82"/>
      <c r="K13" s="82">
        <v>0</v>
      </c>
      <c r="L13" s="82"/>
      <c r="M13" s="82">
        <v>12586853.91</v>
      </c>
      <c r="N13" s="82">
        <v>694878.01340000005</v>
      </c>
      <c r="O13" s="82">
        <v>942183.64740000002</v>
      </c>
      <c r="P13" s="82"/>
      <c r="Q13" s="82">
        <v>0</v>
      </c>
      <c r="R13" s="82"/>
      <c r="S13" s="167">
        <f t="shared" si="0"/>
        <v>45632798.950290002</v>
      </c>
    </row>
    <row r="14" spans="1:19">
      <c r="A14" s="81">
        <v>7</v>
      </c>
      <c r="B14" s="1" t="s">
        <v>56</v>
      </c>
      <c r="C14" s="82">
        <v>0</v>
      </c>
      <c r="D14" s="82"/>
      <c r="E14" s="82">
        <v>0</v>
      </c>
      <c r="F14" s="82"/>
      <c r="G14" s="82">
        <v>0</v>
      </c>
      <c r="H14" s="82"/>
      <c r="I14" s="82">
        <v>0</v>
      </c>
      <c r="J14" s="82"/>
      <c r="K14" s="82">
        <v>0</v>
      </c>
      <c r="L14" s="82"/>
      <c r="M14" s="82">
        <v>404060780.19369996</v>
      </c>
      <c r="N14" s="82">
        <v>34122774.193700001</v>
      </c>
      <c r="O14" s="82">
        <v>0</v>
      </c>
      <c r="P14" s="82"/>
      <c r="Q14" s="82">
        <v>0</v>
      </c>
      <c r="R14" s="82"/>
      <c r="S14" s="167">
        <f t="shared" si="0"/>
        <v>438183554.38739997</v>
      </c>
    </row>
    <row r="15" spans="1:19">
      <c r="A15" s="81">
        <v>8</v>
      </c>
      <c r="B15" s="1" t="s">
        <v>57</v>
      </c>
      <c r="C15" s="82">
        <v>0</v>
      </c>
      <c r="D15" s="82"/>
      <c r="E15" s="82">
        <v>0</v>
      </c>
      <c r="F15" s="82"/>
      <c r="G15" s="82">
        <v>0</v>
      </c>
      <c r="H15" s="82"/>
      <c r="I15" s="82">
        <v>0</v>
      </c>
      <c r="J15" s="82"/>
      <c r="K15" s="82">
        <v>0</v>
      </c>
      <c r="L15" s="82"/>
      <c r="M15" s="82">
        <v>0</v>
      </c>
      <c r="N15" s="82">
        <v>302159.39409999998</v>
      </c>
      <c r="O15" s="82">
        <v>0</v>
      </c>
      <c r="P15" s="82"/>
      <c r="Q15" s="82">
        <v>0</v>
      </c>
      <c r="R15" s="82"/>
      <c r="S15" s="167">
        <f t="shared" si="0"/>
        <v>302159.39409999998</v>
      </c>
    </row>
    <row r="16" spans="1:19">
      <c r="A16" s="81">
        <v>9</v>
      </c>
      <c r="B16" s="1" t="s">
        <v>58</v>
      </c>
      <c r="C16" s="82">
        <v>0</v>
      </c>
      <c r="D16" s="82"/>
      <c r="E16" s="82">
        <v>0</v>
      </c>
      <c r="F16" s="82"/>
      <c r="G16" s="82">
        <v>0</v>
      </c>
      <c r="H16" s="82"/>
      <c r="I16" s="82">
        <v>0</v>
      </c>
      <c r="J16" s="82"/>
      <c r="K16" s="82">
        <v>0</v>
      </c>
      <c r="L16" s="82"/>
      <c r="M16" s="82">
        <v>0</v>
      </c>
      <c r="N16" s="82"/>
      <c r="O16" s="82">
        <v>0</v>
      </c>
      <c r="P16" s="82"/>
      <c r="Q16" s="82">
        <v>0</v>
      </c>
      <c r="R16" s="82"/>
      <c r="S16" s="167">
        <f t="shared" si="0"/>
        <v>0</v>
      </c>
    </row>
    <row r="17" spans="1:19">
      <c r="A17" s="81">
        <v>10</v>
      </c>
      <c r="B17" s="1" t="s">
        <v>59</v>
      </c>
      <c r="C17" s="82">
        <v>0</v>
      </c>
      <c r="D17" s="82"/>
      <c r="E17" s="82">
        <v>0</v>
      </c>
      <c r="F17" s="82"/>
      <c r="G17" s="82">
        <v>0</v>
      </c>
      <c r="H17" s="82"/>
      <c r="I17" s="82">
        <v>0</v>
      </c>
      <c r="J17" s="82"/>
      <c r="K17" s="82">
        <v>0</v>
      </c>
      <c r="L17" s="82"/>
      <c r="M17" s="82">
        <v>4372605.7763</v>
      </c>
      <c r="N17" s="82"/>
      <c r="O17" s="82">
        <v>11581285.4542</v>
      </c>
      <c r="P17" s="82"/>
      <c r="Q17" s="82">
        <v>0</v>
      </c>
      <c r="R17" s="82"/>
      <c r="S17" s="167">
        <f t="shared" si="0"/>
        <v>21744533.957599998</v>
      </c>
    </row>
    <row r="18" spans="1:19">
      <c r="A18" s="81">
        <v>11</v>
      </c>
      <c r="B18" s="1" t="s">
        <v>60</v>
      </c>
      <c r="C18" s="82">
        <v>0</v>
      </c>
      <c r="D18" s="82"/>
      <c r="E18" s="82">
        <v>0</v>
      </c>
      <c r="F18" s="82"/>
      <c r="G18" s="82">
        <v>0</v>
      </c>
      <c r="H18" s="82"/>
      <c r="I18" s="82">
        <v>0</v>
      </c>
      <c r="J18" s="82"/>
      <c r="K18" s="82">
        <v>0</v>
      </c>
      <c r="L18" s="82"/>
      <c r="M18" s="82">
        <v>0</v>
      </c>
      <c r="N18" s="82"/>
      <c r="O18" s="82">
        <v>0</v>
      </c>
      <c r="P18" s="82"/>
      <c r="Q18" s="82">
        <v>0</v>
      </c>
      <c r="R18" s="82"/>
      <c r="S18" s="167">
        <f t="shared" si="0"/>
        <v>0</v>
      </c>
    </row>
    <row r="19" spans="1:19">
      <c r="A19" s="81">
        <v>12</v>
      </c>
      <c r="B19" s="1" t="s">
        <v>61</v>
      </c>
      <c r="C19" s="82">
        <v>0</v>
      </c>
      <c r="D19" s="82"/>
      <c r="E19" s="82">
        <v>0</v>
      </c>
      <c r="F19" s="82"/>
      <c r="G19" s="82">
        <v>0</v>
      </c>
      <c r="H19" s="82"/>
      <c r="I19" s="82">
        <v>0</v>
      </c>
      <c r="J19" s="82"/>
      <c r="K19" s="82">
        <v>0</v>
      </c>
      <c r="L19" s="82"/>
      <c r="M19" s="82">
        <v>0</v>
      </c>
      <c r="N19" s="82"/>
      <c r="O19" s="82">
        <v>0</v>
      </c>
      <c r="P19" s="82"/>
      <c r="Q19" s="82">
        <v>0</v>
      </c>
      <c r="R19" s="82"/>
      <c r="S19" s="167">
        <f t="shared" si="0"/>
        <v>0</v>
      </c>
    </row>
    <row r="20" spans="1:19">
      <c r="A20" s="81">
        <v>13</v>
      </c>
      <c r="B20" s="1" t="s">
        <v>144</v>
      </c>
      <c r="C20" s="82">
        <v>0</v>
      </c>
      <c r="D20" s="82"/>
      <c r="E20" s="82">
        <v>0</v>
      </c>
      <c r="F20" s="82"/>
      <c r="G20" s="82">
        <v>0</v>
      </c>
      <c r="H20" s="82"/>
      <c r="I20" s="82">
        <v>0</v>
      </c>
      <c r="J20" s="82"/>
      <c r="K20" s="82">
        <v>0</v>
      </c>
      <c r="L20" s="82"/>
      <c r="M20" s="82">
        <v>0</v>
      </c>
      <c r="N20" s="82"/>
      <c r="O20" s="82">
        <v>0</v>
      </c>
      <c r="P20" s="82"/>
      <c r="Q20" s="82">
        <v>0</v>
      </c>
      <c r="R20" s="82"/>
      <c r="S20" s="167">
        <f t="shared" si="0"/>
        <v>0</v>
      </c>
    </row>
    <row r="21" spans="1:19">
      <c r="A21" s="81">
        <v>14</v>
      </c>
      <c r="B21" s="1" t="s">
        <v>63</v>
      </c>
      <c r="C21" s="82">
        <v>3438603.0576999998</v>
      </c>
      <c r="D21" s="82"/>
      <c r="E21" s="82">
        <v>0</v>
      </c>
      <c r="F21" s="82"/>
      <c r="G21" s="82">
        <v>0</v>
      </c>
      <c r="H21" s="82"/>
      <c r="I21" s="82">
        <v>0</v>
      </c>
      <c r="J21" s="82"/>
      <c r="K21" s="82">
        <v>0</v>
      </c>
      <c r="L21" s="82"/>
      <c r="M21" s="82">
        <v>26128093.6459</v>
      </c>
      <c r="N21" s="82"/>
      <c r="O21" s="82">
        <v>0</v>
      </c>
      <c r="P21" s="82"/>
      <c r="Q21" s="82">
        <v>0</v>
      </c>
      <c r="R21" s="82"/>
      <c r="S21" s="167">
        <f t="shared" si="0"/>
        <v>26128093.6459</v>
      </c>
    </row>
    <row r="22" spans="1:19" ht="13.8" thickBot="1">
      <c r="A22" s="83"/>
      <c r="B22" s="84" t="s">
        <v>64</v>
      </c>
      <c r="C22" s="85">
        <f>SUM(C8:C21)</f>
        <v>35166686.287699997</v>
      </c>
      <c r="D22" s="85">
        <f t="shared" ref="D22:J22" si="1">SUM(D8:D21)</f>
        <v>0</v>
      </c>
      <c r="E22" s="85">
        <f t="shared" si="1"/>
        <v>121833921.3477</v>
      </c>
      <c r="F22" s="85">
        <f t="shared" si="1"/>
        <v>0</v>
      </c>
      <c r="G22" s="85">
        <f t="shared" si="1"/>
        <v>0</v>
      </c>
      <c r="H22" s="85">
        <f t="shared" si="1"/>
        <v>0</v>
      </c>
      <c r="I22" s="85">
        <f t="shared" si="1"/>
        <v>13142014.5725</v>
      </c>
      <c r="J22" s="85">
        <f t="shared" si="1"/>
        <v>0</v>
      </c>
      <c r="K22" s="85">
        <f t="shared" ref="K22:S22" si="2">SUM(K8:K21)</f>
        <v>0</v>
      </c>
      <c r="L22" s="85">
        <f t="shared" si="2"/>
        <v>0</v>
      </c>
      <c r="M22" s="85">
        <f t="shared" si="2"/>
        <v>510183033.7676</v>
      </c>
      <c r="N22" s="85">
        <f t="shared" si="2"/>
        <v>35119811.601200007</v>
      </c>
      <c r="O22" s="85">
        <f t="shared" si="2"/>
        <v>12523469.101599999</v>
      </c>
      <c r="P22" s="85">
        <f t="shared" si="2"/>
        <v>0</v>
      </c>
      <c r="Q22" s="85">
        <f t="shared" si="2"/>
        <v>0</v>
      </c>
      <c r="R22" s="85">
        <f t="shared" si="2"/>
        <v>0</v>
      </c>
      <c r="S22" s="168">
        <f t="shared" si="2"/>
        <v>595025840.57698989</v>
      </c>
    </row>
    <row r="24" spans="1:19">
      <c r="C24" s="597"/>
      <c r="D24" s="597"/>
      <c r="E24" s="597"/>
      <c r="F24" s="597"/>
      <c r="G24" s="597"/>
      <c r="H24" s="597"/>
      <c r="I24" s="597"/>
      <c r="J24" s="597"/>
      <c r="K24" s="597"/>
      <c r="L24" s="597"/>
      <c r="M24" s="597"/>
      <c r="N24" s="597"/>
      <c r="O24" s="597"/>
      <c r="P24" s="597"/>
      <c r="Q24" s="597"/>
      <c r="R24" s="597"/>
      <c r="S24" s="597"/>
    </row>
    <row r="25" spans="1:19">
      <c r="C25" s="597"/>
      <c r="D25" s="597"/>
      <c r="E25" s="597"/>
      <c r="F25" s="597"/>
      <c r="G25" s="597"/>
      <c r="H25" s="597"/>
      <c r="I25" s="597"/>
      <c r="J25" s="597"/>
      <c r="K25" s="597"/>
      <c r="L25" s="597"/>
      <c r="M25" s="597"/>
      <c r="N25" s="597"/>
      <c r="O25" s="597"/>
      <c r="P25" s="597"/>
      <c r="Q25" s="597"/>
      <c r="R25" s="597"/>
      <c r="S25" s="597"/>
    </row>
    <row r="26" spans="1:19">
      <c r="C26" s="597"/>
      <c r="D26" s="597"/>
      <c r="E26" s="597"/>
      <c r="F26" s="597"/>
      <c r="G26" s="597"/>
      <c r="H26" s="597"/>
      <c r="I26" s="597"/>
      <c r="J26" s="597"/>
      <c r="K26" s="597"/>
      <c r="L26" s="597"/>
      <c r="M26" s="597"/>
      <c r="N26" s="597"/>
      <c r="O26" s="597"/>
      <c r="P26" s="597"/>
      <c r="Q26" s="597"/>
      <c r="R26" s="597"/>
      <c r="S26" s="597"/>
    </row>
    <row r="27" spans="1:19">
      <c r="C27" s="597"/>
      <c r="D27" s="597"/>
      <c r="E27" s="597"/>
      <c r="F27" s="597"/>
      <c r="G27" s="597"/>
      <c r="H27" s="597"/>
      <c r="I27" s="597"/>
      <c r="J27" s="597"/>
      <c r="K27" s="597"/>
      <c r="L27" s="597"/>
      <c r="M27" s="597"/>
      <c r="N27" s="597"/>
      <c r="O27" s="597"/>
      <c r="P27" s="597"/>
      <c r="Q27" s="597"/>
      <c r="R27" s="597"/>
      <c r="S27" s="597"/>
    </row>
    <row r="28" spans="1:19">
      <c r="C28" s="597"/>
      <c r="D28" s="597"/>
      <c r="E28" s="597"/>
      <c r="F28" s="597"/>
      <c r="G28" s="597"/>
      <c r="H28" s="597"/>
      <c r="I28" s="597"/>
      <c r="J28" s="597"/>
      <c r="K28" s="597"/>
      <c r="L28" s="597"/>
      <c r="M28" s="597"/>
      <c r="N28" s="597"/>
      <c r="O28" s="597"/>
      <c r="P28" s="597"/>
      <c r="Q28" s="597"/>
      <c r="R28" s="597"/>
      <c r="S28" s="597"/>
    </row>
    <row r="29" spans="1:19">
      <c r="C29" s="597"/>
      <c r="D29" s="597"/>
      <c r="E29" s="597"/>
      <c r="F29" s="597"/>
      <c r="G29" s="597"/>
      <c r="H29" s="597"/>
      <c r="I29" s="597"/>
      <c r="J29" s="597"/>
      <c r="K29" s="597"/>
      <c r="L29" s="597"/>
      <c r="M29" s="597"/>
      <c r="N29" s="597"/>
      <c r="O29" s="597"/>
      <c r="P29" s="597"/>
      <c r="Q29" s="597"/>
      <c r="R29" s="597"/>
      <c r="S29" s="597"/>
    </row>
    <row r="30" spans="1:19">
      <c r="C30" s="597"/>
      <c r="D30" s="597"/>
      <c r="E30" s="597"/>
      <c r="F30" s="597"/>
      <c r="G30" s="597"/>
      <c r="H30" s="597"/>
      <c r="I30" s="597"/>
      <c r="J30" s="597"/>
      <c r="K30" s="597"/>
      <c r="L30" s="597"/>
      <c r="M30" s="597"/>
      <c r="N30" s="597"/>
      <c r="O30" s="597"/>
      <c r="P30" s="597"/>
      <c r="Q30" s="597"/>
      <c r="R30" s="597"/>
      <c r="S30" s="597"/>
    </row>
    <row r="31" spans="1:19">
      <c r="C31" s="597"/>
      <c r="D31" s="597"/>
      <c r="E31" s="597"/>
      <c r="F31" s="597"/>
      <c r="G31" s="597"/>
      <c r="H31" s="597"/>
      <c r="I31" s="597"/>
      <c r="J31" s="597"/>
      <c r="K31" s="597"/>
      <c r="L31" s="597"/>
      <c r="M31" s="597"/>
      <c r="N31" s="597"/>
      <c r="O31" s="597"/>
      <c r="P31" s="597"/>
      <c r="Q31" s="597"/>
      <c r="R31" s="597"/>
      <c r="S31" s="597"/>
    </row>
    <row r="32" spans="1:19">
      <c r="C32" s="597"/>
      <c r="D32" s="597"/>
      <c r="E32" s="597"/>
      <c r="F32" s="597"/>
      <c r="G32" s="597"/>
      <c r="H32" s="597"/>
      <c r="I32" s="597"/>
      <c r="J32" s="597"/>
      <c r="K32" s="597"/>
      <c r="L32" s="597"/>
      <c r="M32" s="597"/>
      <c r="N32" s="597"/>
      <c r="O32" s="597"/>
      <c r="P32" s="597"/>
      <c r="Q32" s="597"/>
      <c r="R32" s="597"/>
      <c r="S32" s="597"/>
    </row>
    <row r="33" spans="3:19">
      <c r="C33" s="597"/>
      <c r="D33" s="597"/>
      <c r="E33" s="597"/>
      <c r="F33" s="597"/>
      <c r="G33" s="597"/>
      <c r="H33" s="597"/>
      <c r="I33" s="597"/>
      <c r="J33" s="597"/>
      <c r="K33" s="597"/>
      <c r="L33" s="597"/>
      <c r="M33" s="597"/>
      <c r="N33" s="597"/>
      <c r="O33" s="597"/>
      <c r="P33" s="597"/>
      <c r="Q33" s="597"/>
      <c r="R33" s="597"/>
      <c r="S33" s="597"/>
    </row>
    <row r="34" spans="3:19">
      <c r="C34" s="597"/>
      <c r="D34" s="597"/>
      <c r="E34" s="597"/>
      <c r="F34" s="597"/>
      <c r="G34" s="597"/>
      <c r="H34" s="597"/>
      <c r="I34" s="597"/>
      <c r="J34" s="597"/>
      <c r="K34" s="597"/>
      <c r="L34" s="597"/>
      <c r="M34" s="597"/>
      <c r="N34" s="597"/>
      <c r="O34" s="597"/>
      <c r="P34" s="597"/>
      <c r="Q34" s="597"/>
      <c r="R34" s="597"/>
      <c r="S34" s="597"/>
    </row>
    <row r="35" spans="3:19">
      <c r="C35" s="597"/>
      <c r="D35" s="597"/>
      <c r="E35" s="597"/>
      <c r="F35" s="597"/>
      <c r="G35" s="597"/>
      <c r="H35" s="597"/>
      <c r="I35" s="597"/>
      <c r="J35" s="597"/>
      <c r="K35" s="597"/>
      <c r="L35" s="597"/>
      <c r="M35" s="597"/>
      <c r="N35" s="597"/>
      <c r="O35" s="597"/>
      <c r="P35" s="597"/>
      <c r="Q35" s="597"/>
      <c r="R35" s="597"/>
      <c r="S35" s="597"/>
    </row>
    <row r="36" spans="3:19">
      <c r="C36" s="597"/>
      <c r="D36" s="597"/>
      <c r="E36" s="597"/>
      <c r="F36" s="597"/>
      <c r="G36" s="597"/>
      <c r="H36" s="597"/>
      <c r="I36" s="597"/>
      <c r="J36" s="597"/>
      <c r="K36" s="597"/>
      <c r="L36" s="597"/>
      <c r="M36" s="597"/>
      <c r="N36" s="597"/>
      <c r="O36" s="597"/>
      <c r="P36" s="597"/>
      <c r="Q36" s="597"/>
      <c r="R36" s="597"/>
      <c r="S36" s="597"/>
    </row>
    <row r="37" spans="3:19">
      <c r="C37" s="597"/>
      <c r="D37" s="597"/>
      <c r="E37" s="597"/>
      <c r="F37" s="597"/>
      <c r="G37" s="597"/>
      <c r="H37" s="597"/>
      <c r="I37" s="597"/>
      <c r="J37" s="597"/>
      <c r="K37" s="597"/>
      <c r="L37" s="597"/>
      <c r="M37" s="597"/>
      <c r="N37" s="597"/>
      <c r="O37" s="597"/>
      <c r="P37" s="597"/>
      <c r="Q37" s="597"/>
      <c r="R37" s="597"/>
      <c r="S37" s="597"/>
    </row>
    <row r="38" spans="3:19">
      <c r="C38" s="597"/>
      <c r="D38" s="597"/>
      <c r="E38" s="597"/>
      <c r="F38" s="597"/>
      <c r="G38" s="597"/>
      <c r="H38" s="597"/>
      <c r="I38" s="597"/>
      <c r="J38" s="597"/>
      <c r="K38" s="597"/>
      <c r="L38" s="597"/>
      <c r="M38" s="597"/>
      <c r="N38" s="597"/>
      <c r="O38" s="597"/>
      <c r="P38" s="597"/>
      <c r="Q38" s="597"/>
      <c r="R38" s="597"/>
      <c r="S38" s="597"/>
    </row>
    <row r="39" spans="3:19">
      <c r="C39" s="596"/>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Footer>&amp;C_x000D_&amp;1#&amp;"Calibri"&amp;10&amp;K000000 C1 - FOR INTERNAL USE ONLY</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E32" sqref="E32"/>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5"/>
  </cols>
  <sheetData>
    <row r="1" spans="1:22">
      <c r="A1" s="2" t="s">
        <v>30</v>
      </c>
      <c r="B1" s="3" t="str">
        <f>'Info '!C2</f>
        <v xml:space="preserve">PASHA Bank Georgia JSC </v>
      </c>
    </row>
    <row r="2" spans="1:22">
      <c r="A2" s="2" t="s">
        <v>31</v>
      </c>
      <c r="B2" s="269">
        <f>'1. key ratios '!B2</f>
        <v>45747</v>
      </c>
    </row>
    <row r="4" spans="1:22" ht="13.8" thickBot="1">
      <c r="A4" s="4" t="s">
        <v>230</v>
      </c>
      <c r="B4" s="86" t="s">
        <v>50</v>
      </c>
      <c r="V4" s="16" t="s">
        <v>35</v>
      </c>
    </row>
    <row r="5" spans="1:22" ht="12.75" customHeight="1">
      <c r="A5" s="87"/>
      <c r="B5" s="88"/>
      <c r="C5" s="741" t="s">
        <v>156</v>
      </c>
      <c r="D5" s="742"/>
      <c r="E5" s="742"/>
      <c r="F5" s="742"/>
      <c r="G5" s="742"/>
      <c r="H5" s="742"/>
      <c r="I5" s="742"/>
      <c r="J5" s="742"/>
      <c r="K5" s="742"/>
      <c r="L5" s="743"/>
      <c r="M5" s="744" t="s">
        <v>157</v>
      </c>
      <c r="N5" s="745"/>
      <c r="O5" s="745"/>
      <c r="P5" s="745"/>
      <c r="Q5" s="745"/>
      <c r="R5" s="745"/>
      <c r="S5" s="746"/>
      <c r="T5" s="749" t="s">
        <v>228</v>
      </c>
      <c r="U5" s="749" t="s">
        <v>229</v>
      </c>
      <c r="V5" s="747" t="s">
        <v>76</v>
      </c>
    </row>
    <row r="6" spans="1:22" s="46" customFormat="1" ht="105.6">
      <c r="A6" s="44"/>
      <c r="B6" s="89"/>
      <c r="C6" s="90" t="s">
        <v>65</v>
      </c>
      <c r="D6" s="130" t="s">
        <v>66</v>
      </c>
      <c r="E6" s="108" t="s">
        <v>159</v>
      </c>
      <c r="F6" s="108" t="s">
        <v>160</v>
      </c>
      <c r="G6" s="130" t="s">
        <v>163</v>
      </c>
      <c r="H6" s="130" t="s">
        <v>158</v>
      </c>
      <c r="I6" s="130" t="s">
        <v>67</v>
      </c>
      <c r="J6" s="130" t="s">
        <v>68</v>
      </c>
      <c r="K6" s="91" t="s">
        <v>69</v>
      </c>
      <c r="L6" s="92" t="s">
        <v>70</v>
      </c>
      <c r="M6" s="90" t="s">
        <v>161</v>
      </c>
      <c r="N6" s="91" t="s">
        <v>71</v>
      </c>
      <c r="O6" s="91" t="s">
        <v>72</v>
      </c>
      <c r="P6" s="91" t="s">
        <v>73</v>
      </c>
      <c r="Q6" s="91" t="s">
        <v>74</v>
      </c>
      <c r="R6" s="91" t="s">
        <v>75</v>
      </c>
      <c r="S6" s="148" t="s">
        <v>162</v>
      </c>
      <c r="T6" s="750"/>
      <c r="U6" s="750"/>
      <c r="V6" s="748"/>
    </row>
    <row r="7" spans="1:22">
      <c r="A7" s="93">
        <v>1</v>
      </c>
      <c r="B7" s="1" t="s">
        <v>51</v>
      </c>
      <c r="C7" s="94"/>
      <c r="D7" s="82"/>
      <c r="E7" s="82"/>
      <c r="F7" s="82"/>
      <c r="G7" s="82"/>
      <c r="H7" s="82"/>
      <c r="I7" s="82"/>
      <c r="J7" s="82"/>
      <c r="K7" s="82"/>
      <c r="L7" s="95"/>
      <c r="M7" s="94"/>
      <c r="N7" s="82"/>
      <c r="O7" s="82"/>
      <c r="P7" s="82"/>
      <c r="Q7" s="82"/>
      <c r="R7" s="82"/>
      <c r="S7" s="95"/>
      <c r="T7" s="156"/>
      <c r="U7" s="156"/>
      <c r="V7" s="96">
        <f>SUM(C7:S7)</f>
        <v>0</v>
      </c>
    </row>
    <row r="8" spans="1:22">
      <c r="A8" s="93">
        <v>2</v>
      </c>
      <c r="B8" s="1" t="s">
        <v>52</v>
      </c>
      <c r="C8" s="94"/>
      <c r="D8" s="82"/>
      <c r="E8" s="82"/>
      <c r="F8" s="82"/>
      <c r="G8" s="82"/>
      <c r="H8" s="82"/>
      <c r="I8" s="82"/>
      <c r="J8" s="82"/>
      <c r="K8" s="82"/>
      <c r="L8" s="95"/>
      <c r="M8" s="94"/>
      <c r="N8" s="82"/>
      <c r="O8" s="82"/>
      <c r="P8" s="82"/>
      <c r="Q8" s="82"/>
      <c r="R8" s="82"/>
      <c r="S8" s="95"/>
      <c r="T8" s="156"/>
      <c r="U8" s="156"/>
      <c r="V8" s="96">
        <f t="shared" ref="V8:V20" si="0">SUM(C8:S8)</f>
        <v>0</v>
      </c>
    </row>
    <row r="9" spans="1:22">
      <c r="A9" s="93">
        <v>3</v>
      </c>
      <c r="B9" s="1" t="s">
        <v>153</v>
      </c>
      <c r="C9" s="94"/>
      <c r="D9" s="82"/>
      <c r="E9" s="82"/>
      <c r="F9" s="82"/>
      <c r="G9" s="82"/>
      <c r="H9" s="82"/>
      <c r="I9" s="82"/>
      <c r="J9" s="82"/>
      <c r="K9" s="82"/>
      <c r="L9" s="95"/>
      <c r="M9" s="94"/>
      <c r="N9" s="82"/>
      <c r="O9" s="82"/>
      <c r="P9" s="82"/>
      <c r="Q9" s="82"/>
      <c r="R9" s="82"/>
      <c r="S9" s="95"/>
      <c r="T9" s="156"/>
      <c r="U9" s="156"/>
      <c r="V9" s="96">
        <f t="shared" si="0"/>
        <v>0</v>
      </c>
    </row>
    <row r="10" spans="1:22">
      <c r="A10" s="93">
        <v>4</v>
      </c>
      <c r="B10" s="1" t="s">
        <v>53</v>
      </c>
      <c r="C10" s="94"/>
      <c r="D10" s="82"/>
      <c r="E10" s="82"/>
      <c r="F10" s="82"/>
      <c r="G10" s="82"/>
      <c r="H10" s="82"/>
      <c r="I10" s="82"/>
      <c r="J10" s="82"/>
      <c r="K10" s="82"/>
      <c r="L10" s="95"/>
      <c r="M10" s="94"/>
      <c r="N10" s="82"/>
      <c r="O10" s="82"/>
      <c r="P10" s="82"/>
      <c r="Q10" s="82"/>
      <c r="R10" s="82"/>
      <c r="S10" s="95"/>
      <c r="T10" s="156"/>
      <c r="U10" s="156"/>
      <c r="V10" s="96">
        <f t="shared" si="0"/>
        <v>0</v>
      </c>
    </row>
    <row r="11" spans="1:22">
      <c r="A11" s="93">
        <v>5</v>
      </c>
      <c r="B11" s="1" t="s">
        <v>54</v>
      </c>
      <c r="C11" s="94"/>
      <c r="D11" s="82"/>
      <c r="E11" s="82"/>
      <c r="F11" s="82"/>
      <c r="G11" s="82"/>
      <c r="H11" s="82"/>
      <c r="I11" s="82"/>
      <c r="J11" s="82"/>
      <c r="K11" s="82"/>
      <c r="L11" s="95"/>
      <c r="M11" s="94"/>
      <c r="N11" s="82"/>
      <c r="O11" s="82"/>
      <c r="P11" s="82"/>
      <c r="Q11" s="82"/>
      <c r="R11" s="82"/>
      <c r="S11" s="95"/>
      <c r="T11" s="156"/>
      <c r="U11" s="156"/>
      <c r="V11" s="96">
        <f t="shared" si="0"/>
        <v>0</v>
      </c>
    </row>
    <row r="12" spans="1:22">
      <c r="A12" s="93">
        <v>6</v>
      </c>
      <c r="B12" s="1" t="s">
        <v>55</v>
      </c>
      <c r="C12" s="94"/>
      <c r="D12" s="82"/>
      <c r="E12" s="82"/>
      <c r="F12" s="82"/>
      <c r="G12" s="82"/>
      <c r="H12" s="82"/>
      <c r="I12" s="82"/>
      <c r="J12" s="82"/>
      <c r="K12" s="82"/>
      <c r="L12" s="95"/>
      <c r="M12" s="94"/>
      <c r="N12" s="82"/>
      <c r="O12" s="82"/>
      <c r="P12" s="82"/>
      <c r="Q12" s="82"/>
      <c r="R12" s="82"/>
      <c r="S12" s="95"/>
      <c r="T12" s="156"/>
      <c r="U12" s="156"/>
      <c r="V12" s="96">
        <f t="shared" si="0"/>
        <v>0</v>
      </c>
    </row>
    <row r="13" spans="1:22">
      <c r="A13" s="93">
        <v>7</v>
      </c>
      <c r="B13" s="1" t="s">
        <v>56</v>
      </c>
      <c r="C13" s="94"/>
      <c r="D13" s="82">
        <v>48457945.64379999</v>
      </c>
      <c r="E13" s="82"/>
      <c r="F13" s="82"/>
      <c r="G13" s="82"/>
      <c r="H13" s="82"/>
      <c r="I13" s="82"/>
      <c r="J13" s="82"/>
      <c r="K13" s="82"/>
      <c r="L13" s="95"/>
      <c r="M13" s="94"/>
      <c r="N13" s="82"/>
      <c r="O13" s="82"/>
      <c r="P13" s="82"/>
      <c r="Q13" s="82"/>
      <c r="R13" s="82"/>
      <c r="S13" s="95"/>
      <c r="T13" s="156">
        <v>46491983.27139999</v>
      </c>
      <c r="U13" s="156">
        <v>1965962.3724</v>
      </c>
      <c r="V13" s="96">
        <f t="shared" si="0"/>
        <v>48457945.64379999</v>
      </c>
    </row>
    <row r="14" spans="1:22">
      <c r="A14" s="93">
        <v>8</v>
      </c>
      <c r="B14" s="1" t="s">
        <v>57</v>
      </c>
      <c r="C14" s="94"/>
      <c r="D14" s="82"/>
      <c r="E14" s="82"/>
      <c r="F14" s="82"/>
      <c r="G14" s="82"/>
      <c r="H14" s="82"/>
      <c r="I14" s="82"/>
      <c r="J14" s="82"/>
      <c r="K14" s="82"/>
      <c r="L14" s="95"/>
      <c r="M14" s="94"/>
      <c r="N14" s="82"/>
      <c r="O14" s="82"/>
      <c r="P14" s="82"/>
      <c r="Q14" s="82"/>
      <c r="R14" s="82"/>
      <c r="S14" s="95"/>
      <c r="T14" s="156"/>
      <c r="U14" s="156"/>
      <c r="V14" s="96">
        <f t="shared" si="0"/>
        <v>0</v>
      </c>
    </row>
    <row r="15" spans="1:22">
      <c r="A15" s="93">
        <v>9</v>
      </c>
      <c r="B15" s="1" t="s">
        <v>58</v>
      </c>
      <c r="C15" s="94"/>
      <c r="D15" s="82"/>
      <c r="E15" s="82"/>
      <c r="F15" s="82"/>
      <c r="G15" s="82"/>
      <c r="H15" s="82"/>
      <c r="I15" s="82"/>
      <c r="J15" s="82"/>
      <c r="K15" s="82"/>
      <c r="L15" s="95"/>
      <c r="M15" s="94"/>
      <c r="N15" s="82"/>
      <c r="O15" s="82"/>
      <c r="P15" s="82"/>
      <c r="Q15" s="82"/>
      <c r="R15" s="82"/>
      <c r="S15" s="95"/>
      <c r="T15" s="156"/>
      <c r="U15" s="156"/>
      <c r="V15" s="96">
        <f t="shared" si="0"/>
        <v>0</v>
      </c>
    </row>
    <row r="16" spans="1:22">
      <c r="A16" s="93">
        <v>10</v>
      </c>
      <c r="B16" s="1" t="s">
        <v>59</v>
      </c>
      <c r="C16" s="94"/>
      <c r="D16" s="82"/>
      <c r="E16" s="82"/>
      <c r="F16" s="82"/>
      <c r="G16" s="82"/>
      <c r="H16" s="82"/>
      <c r="I16" s="82"/>
      <c r="J16" s="82"/>
      <c r="K16" s="82"/>
      <c r="L16" s="95"/>
      <c r="M16" s="94"/>
      <c r="N16" s="82"/>
      <c r="O16" s="82"/>
      <c r="P16" s="82"/>
      <c r="Q16" s="82"/>
      <c r="R16" s="82"/>
      <c r="S16" s="95"/>
      <c r="T16" s="156"/>
      <c r="U16" s="156"/>
      <c r="V16" s="96">
        <f t="shared" si="0"/>
        <v>0</v>
      </c>
    </row>
    <row r="17" spans="1:22">
      <c r="A17" s="93">
        <v>11</v>
      </c>
      <c r="B17" s="1" t="s">
        <v>60</v>
      </c>
      <c r="C17" s="94"/>
      <c r="D17" s="82"/>
      <c r="E17" s="82"/>
      <c r="F17" s="82"/>
      <c r="G17" s="82"/>
      <c r="H17" s="82"/>
      <c r="I17" s="82"/>
      <c r="J17" s="82"/>
      <c r="K17" s="82"/>
      <c r="L17" s="95"/>
      <c r="M17" s="94"/>
      <c r="N17" s="82"/>
      <c r="O17" s="82"/>
      <c r="P17" s="82"/>
      <c r="Q17" s="82"/>
      <c r="R17" s="82"/>
      <c r="S17" s="95"/>
      <c r="T17" s="156"/>
      <c r="U17" s="156"/>
      <c r="V17" s="96">
        <f t="shared" si="0"/>
        <v>0</v>
      </c>
    </row>
    <row r="18" spans="1:22">
      <c r="A18" s="93">
        <v>12</v>
      </c>
      <c r="B18" s="1" t="s">
        <v>61</v>
      </c>
      <c r="C18" s="94"/>
      <c r="D18" s="82"/>
      <c r="E18" s="82"/>
      <c r="F18" s="82"/>
      <c r="G18" s="82"/>
      <c r="H18" s="82"/>
      <c r="I18" s="82"/>
      <c r="J18" s="82"/>
      <c r="K18" s="82"/>
      <c r="L18" s="95"/>
      <c r="M18" s="94"/>
      <c r="N18" s="82"/>
      <c r="O18" s="82"/>
      <c r="P18" s="82"/>
      <c r="Q18" s="82"/>
      <c r="R18" s="82"/>
      <c r="S18" s="95"/>
      <c r="T18" s="156"/>
      <c r="U18" s="156"/>
      <c r="V18" s="96">
        <f t="shared" si="0"/>
        <v>0</v>
      </c>
    </row>
    <row r="19" spans="1:22">
      <c r="A19" s="93">
        <v>13</v>
      </c>
      <c r="B19" s="1" t="s">
        <v>62</v>
      </c>
      <c r="C19" s="94"/>
      <c r="D19" s="82"/>
      <c r="E19" s="82"/>
      <c r="F19" s="82"/>
      <c r="G19" s="82"/>
      <c r="H19" s="82"/>
      <c r="I19" s="82"/>
      <c r="J19" s="82"/>
      <c r="K19" s="82"/>
      <c r="L19" s="95"/>
      <c r="M19" s="94"/>
      <c r="N19" s="82"/>
      <c r="O19" s="82"/>
      <c r="P19" s="82"/>
      <c r="Q19" s="82"/>
      <c r="R19" s="82"/>
      <c r="S19" s="95"/>
      <c r="T19" s="156"/>
      <c r="U19" s="156"/>
      <c r="V19" s="96">
        <f t="shared" si="0"/>
        <v>0</v>
      </c>
    </row>
    <row r="20" spans="1:22">
      <c r="A20" s="93">
        <v>14</v>
      </c>
      <c r="B20" s="1" t="s">
        <v>63</v>
      </c>
      <c r="C20" s="94"/>
      <c r="D20" s="82"/>
      <c r="E20" s="82"/>
      <c r="F20" s="82"/>
      <c r="G20" s="82"/>
      <c r="H20" s="82"/>
      <c r="I20" s="82"/>
      <c r="J20" s="82"/>
      <c r="K20" s="82"/>
      <c r="L20" s="95"/>
      <c r="M20" s="94"/>
      <c r="N20" s="82"/>
      <c r="O20" s="82"/>
      <c r="P20" s="82"/>
      <c r="Q20" s="82"/>
      <c r="R20" s="82"/>
      <c r="S20" s="95"/>
      <c r="T20" s="156"/>
      <c r="U20" s="156"/>
      <c r="V20" s="96">
        <f t="shared" si="0"/>
        <v>0</v>
      </c>
    </row>
    <row r="21" spans="1:22" ht="13.8" thickBot="1">
      <c r="A21" s="83"/>
      <c r="B21" s="97" t="s">
        <v>64</v>
      </c>
      <c r="C21" s="98">
        <f>SUM(C7:C20)</f>
        <v>0</v>
      </c>
      <c r="D21" s="85">
        <f t="shared" ref="D21:V21" si="1">SUM(D7:D20)</f>
        <v>48457945.64379999</v>
      </c>
      <c r="E21" s="85">
        <f t="shared" si="1"/>
        <v>0</v>
      </c>
      <c r="F21" s="85">
        <f t="shared" si="1"/>
        <v>0</v>
      </c>
      <c r="G21" s="85">
        <f t="shared" si="1"/>
        <v>0</v>
      </c>
      <c r="H21" s="85">
        <f t="shared" si="1"/>
        <v>0</v>
      </c>
      <c r="I21" s="85">
        <f t="shared" si="1"/>
        <v>0</v>
      </c>
      <c r="J21" s="85">
        <f t="shared" si="1"/>
        <v>0</v>
      </c>
      <c r="K21" s="85">
        <f t="shared" si="1"/>
        <v>0</v>
      </c>
      <c r="L21" s="99">
        <f t="shared" si="1"/>
        <v>0</v>
      </c>
      <c r="M21" s="98">
        <f t="shared" si="1"/>
        <v>0</v>
      </c>
      <c r="N21" s="85">
        <f t="shared" si="1"/>
        <v>0</v>
      </c>
      <c r="O21" s="85">
        <f t="shared" si="1"/>
        <v>0</v>
      </c>
      <c r="P21" s="85">
        <f t="shared" si="1"/>
        <v>0</v>
      </c>
      <c r="Q21" s="85">
        <f t="shared" si="1"/>
        <v>0</v>
      </c>
      <c r="R21" s="85">
        <f t="shared" si="1"/>
        <v>0</v>
      </c>
      <c r="S21" s="99">
        <f>SUM(S7:S20)</f>
        <v>0</v>
      </c>
      <c r="T21" s="99">
        <f>SUM(T7:T20)</f>
        <v>46491983.27139999</v>
      </c>
      <c r="U21" s="99">
        <f t="shared" ref="U21" si="2">SUM(U7:U20)</f>
        <v>1965962.3724</v>
      </c>
      <c r="V21" s="100">
        <f t="shared" si="1"/>
        <v>48457945.64379999</v>
      </c>
    </row>
    <row r="23" spans="1:22">
      <c r="C23" s="597"/>
      <c r="D23" s="597"/>
      <c r="E23" s="597"/>
      <c r="F23" s="597"/>
      <c r="G23" s="597"/>
      <c r="H23" s="597"/>
      <c r="I23" s="597"/>
      <c r="J23" s="597"/>
      <c r="K23" s="597"/>
      <c r="L23" s="597"/>
      <c r="M23" s="597"/>
      <c r="N23" s="597"/>
      <c r="O23" s="597"/>
      <c r="P23" s="597"/>
      <c r="Q23" s="597"/>
      <c r="R23" s="597"/>
      <c r="S23" s="597"/>
      <c r="T23" s="597"/>
      <c r="U23" s="597"/>
      <c r="V23" s="597"/>
    </row>
    <row r="24" spans="1:22">
      <c r="C24" s="23"/>
      <c r="D24" s="23"/>
      <c r="E24" s="23"/>
    </row>
    <row r="25" spans="1:22">
      <c r="A25" s="43"/>
      <c r="B25" s="43"/>
      <c r="D25" s="23"/>
      <c r="E25" s="23"/>
    </row>
    <row r="26" spans="1:22">
      <c r="A26" s="43"/>
      <c r="B26" s="24"/>
      <c r="D26" s="23"/>
      <c r="E26" s="23"/>
    </row>
    <row r="27" spans="1:22">
      <c r="A27" s="43"/>
      <c r="B27" s="43"/>
      <c r="D27" s="23"/>
      <c r="E27" s="23"/>
    </row>
    <row r="28" spans="1:22">
      <c r="A28" s="43"/>
      <c r="B28" s="24"/>
      <c r="D28" s="23"/>
      <c r="E28" s="23"/>
    </row>
  </sheetData>
  <mergeCells count="5">
    <mergeCell ref="C5:L5"/>
    <mergeCell ref="M5:S5"/>
    <mergeCell ref="V5:V6"/>
    <mergeCell ref="T5:T6"/>
    <mergeCell ref="U5:U6"/>
  </mergeCells>
  <pageMargins left="0.7" right="0.7" top="0.75" bottom="0.75" header="0.3" footer="0.3"/>
  <pageSetup paperSize="9" orientation="portrait" r:id="rId1"/>
  <headerFooter>
    <oddFooter>&amp;C_x000D_&amp;1#&amp;"Calibri"&amp;10&amp;K000000 C1 - FOR INTERNAL USE ONLY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40"/>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28" sqref="B28"/>
    </sheetView>
  </sheetViews>
  <sheetFormatPr defaultColWidth="9.21875" defaultRowHeight="13.8"/>
  <cols>
    <col min="1" max="1" width="10.5546875" style="4" bestFit="1" customWidth="1"/>
    <col min="2" max="2" width="101.77734375" style="4" customWidth="1"/>
    <col min="3" max="3" width="13.77734375" style="135" customWidth="1"/>
    <col min="4" max="4" width="14.77734375" style="135" bestFit="1" customWidth="1"/>
    <col min="5" max="5" width="17.77734375" style="135" customWidth="1"/>
    <col min="6" max="6" width="15.77734375" style="135" customWidth="1"/>
    <col min="7" max="7" width="17.44140625" style="135" customWidth="1"/>
    <col min="8" max="8" width="15.21875" style="135" customWidth="1"/>
    <col min="9" max="16384" width="9.21875" style="15"/>
  </cols>
  <sheetData>
    <row r="1" spans="1:9">
      <c r="A1" s="2" t="s">
        <v>30</v>
      </c>
      <c r="B1" s="4" t="str">
        <f>'Info '!C2</f>
        <v xml:space="preserve">PASHA Bank Georgia JSC </v>
      </c>
      <c r="C1" s="3"/>
    </row>
    <row r="2" spans="1:9">
      <c r="A2" s="2" t="s">
        <v>31</v>
      </c>
      <c r="B2" s="269">
        <f>'1. key ratios '!B2</f>
        <v>45747</v>
      </c>
      <c r="C2" s="269"/>
    </row>
    <row r="4" spans="1:9" ht="14.4" thickBot="1">
      <c r="A4" s="2" t="s">
        <v>150</v>
      </c>
      <c r="B4" s="86" t="s">
        <v>239</v>
      </c>
    </row>
    <row r="5" spans="1:9">
      <c r="A5" s="87"/>
      <c r="B5" s="101"/>
      <c r="C5" s="157" t="s">
        <v>0</v>
      </c>
      <c r="D5" s="157" t="s">
        <v>1</v>
      </c>
      <c r="E5" s="157" t="s">
        <v>2</v>
      </c>
      <c r="F5" s="157" t="s">
        <v>3</v>
      </c>
      <c r="G5" s="158" t="s">
        <v>4</v>
      </c>
      <c r="H5" s="159" t="s">
        <v>5</v>
      </c>
      <c r="I5" s="102"/>
    </row>
    <row r="6" spans="1:9" s="102" customFormat="1" ht="12.75" customHeight="1">
      <c r="A6" s="103"/>
      <c r="B6" s="753" t="s">
        <v>149</v>
      </c>
      <c r="C6" s="739" t="s">
        <v>232</v>
      </c>
      <c r="D6" s="755" t="s">
        <v>231</v>
      </c>
      <c r="E6" s="756"/>
      <c r="F6" s="739" t="s">
        <v>236</v>
      </c>
      <c r="G6" s="739" t="s">
        <v>237</v>
      </c>
      <c r="H6" s="751" t="s">
        <v>235</v>
      </c>
    </row>
    <row r="7" spans="1:9" ht="41.4">
      <c r="A7" s="105"/>
      <c r="B7" s="754"/>
      <c r="C7" s="740"/>
      <c r="D7" s="160" t="s">
        <v>234</v>
      </c>
      <c r="E7" s="160" t="s">
        <v>233</v>
      </c>
      <c r="F7" s="740"/>
      <c r="G7" s="740"/>
      <c r="H7" s="752"/>
      <c r="I7" s="102"/>
    </row>
    <row r="8" spans="1:9">
      <c r="A8" s="103">
        <v>1</v>
      </c>
      <c r="B8" s="1" t="s">
        <v>51</v>
      </c>
      <c r="C8" s="161">
        <v>94762783.471699998</v>
      </c>
      <c r="D8" s="161"/>
      <c r="E8" s="161"/>
      <c r="F8" s="161">
        <v>63034700.241700001</v>
      </c>
      <c r="G8" s="162">
        <v>63034700.241700001</v>
      </c>
      <c r="H8" s="164">
        <f>G8/(C8+E8)</f>
        <v>0.66518413592742043</v>
      </c>
    </row>
    <row r="9" spans="1:9" ht="15" customHeight="1">
      <c r="A9" s="103">
        <v>2</v>
      </c>
      <c r="B9" s="1" t="s">
        <v>52</v>
      </c>
      <c r="C9" s="161">
        <v>0</v>
      </c>
      <c r="D9" s="161"/>
      <c r="E9" s="161"/>
      <c r="F9" s="161">
        <v>0</v>
      </c>
      <c r="G9" s="162">
        <v>0</v>
      </c>
      <c r="H9" s="164" t="e">
        <f t="shared" ref="H9:H21" si="0">G9/(C9+E9)</f>
        <v>#DIV/0!</v>
      </c>
    </row>
    <row r="10" spans="1:9">
      <c r="A10" s="103">
        <v>3</v>
      </c>
      <c r="B10" s="1" t="s">
        <v>153</v>
      </c>
      <c r="C10" s="161">
        <v>0</v>
      </c>
      <c r="D10" s="161"/>
      <c r="E10" s="161"/>
      <c r="F10" s="161">
        <v>0</v>
      </c>
      <c r="G10" s="162">
        <v>0</v>
      </c>
      <c r="H10" s="164" t="e">
        <f t="shared" si="0"/>
        <v>#DIV/0!</v>
      </c>
    </row>
    <row r="11" spans="1:9">
      <c r="A11" s="103">
        <v>4</v>
      </c>
      <c r="B11" s="1" t="s">
        <v>53</v>
      </c>
      <c r="C11" s="161">
        <v>0</v>
      </c>
      <c r="D11" s="161"/>
      <c r="E11" s="161"/>
      <c r="F11" s="161">
        <v>0</v>
      </c>
      <c r="G11" s="162">
        <v>0</v>
      </c>
      <c r="H11" s="164" t="e">
        <f t="shared" si="0"/>
        <v>#DIV/0!</v>
      </c>
    </row>
    <row r="12" spans="1:9">
      <c r="A12" s="103">
        <v>5</v>
      </c>
      <c r="B12" s="1" t="s">
        <v>54</v>
      </c>
      <c r="C12" s="161">
        <v>0</v>
      </c>
      <c r="D12" s="161"/>
      <c r="E12" s="161"/>
      <c r="F12" s="161">
        <v>0</v>
      </c>
      <c r="G12" s="162">
        <v>0</v>
      </c>
      <c r="H12" s="164" t="e">
        <f t="shared" si="0"/>
        <v>#DIV/0!</v>
      </c>
    </row>
    <row r="13" spans="1:9">
      <c r="A13" s="103">
        <v>6</v>
      </c>
      <c r="B13" s="1" t="s">
        <v>55</v>
      </c>
      <c r="C13" s="161">
        <v>148504973.47759998</v>
      </c>
      <c r="D13" s="161">
        <v>1389756.027</v>
      </c>
      <c r="E13" s="161">
        <v>694878.01340000005</v>
      </c>
      <c r="F13" s="161">
        <v>45632798.950290009</v>
      </c>
      <c r="G13" s="162">
        <v>45632798.950290009</v>
      </c>
      <c r="H13" s="164">
        <f t="shared" si="0"/>
        <v>0.30585016334981185</v>
      </c>
    </row>
    <row r="14" spans="1:9">
      <c r="A14" s="103">
        <v>7</v>
      </c>
      <c r="B14" s="1" t="s">
        <v>56</v>
      </c>
      <c r="C14" s="161">
        <v>404060780.19369996</v>
      </c>
      <c r="D14" s="161">
        <v>75221372.824300006</v>
      </c>
      <c r="E14" s="161">
        <v>34122774.193700001</v>
      </c>
      <c r="F14" s="161">
        <v>438183554.38739997</v>
      </c>
      <c r="G14" s="162">
        <v>389725608.74360001</v>
      </c>
      <c r="H14" s="164">
        <f t="shared" si="0"/>
        <v>0.88941176555211821</v>
      </c>
    </row>
    <row r="15" spans="1:9">
      <c r="A15" s="103">
        <v>8</v>
      </c>
      <c r="B15" s="1" t="s">
        <v>57</v>
      </c>
      <c r="C15" s="161">
        <v>0</v>
      </c>
      <c r="D15" s="161">
        <v>1498858.7884</v>
      </c>
      <c r="E15" s="161">
        <v>302159.39409999998</v>
      </c>
      <c r="F15" s="161">
        <v>302159.39409999998</v>
      </c>
      <c r="G15" s="162">
        <v>302159.39409999998</v>
      </c>
      <c r="H15" s="164">
        <f t="shared" si="0"/>
        <v>1</v>
      </c>
    </row>
    <row r="16" spans="1:9">
      <c r="A16" s="103">
        <v>9</v>
      </c>
      <c r="B16" s="1" t="s">
        <v>58</v>
      </c>
      <c r="C16" s="161">
        <v>0</v>
      </c>
      <c r="D16" s="161">
        <v>0</v>
      </c>
      <c r="E16" s="161">
        <v>0</v>
      </c>
      <c r="F16" s="161">
        <v>0</v>
      </c>
      <c r="G16" s="162">
        <v>0</v>
      </c>
      <c r="H16" s="164" t="e">
        <f t="shared" si="0"/>
        <v>#DIV/0!</v>
      </c>
    </row>
    <row r="17" spans="1:8">
      <c r="A17" s="103">
        <v>10</v>
      </c>
      <c r="B17" s="1" t="s">
        <v>59</v>
      </c>
      <c r="C17" s="161">
        <v>15953891.2305</v>
      </c>
      <c r="D17" s="161"/>
      <c r="E17" s="161"/>
      <c r="F17" s="161">
        <v>21744533.957599998</v>
      </c>
      <c r="G17" s="162">
        <v>21744533.957599998</v>
      </c>
      <c r="H17" s="164">
        <f t="shared" si="0"/>
        <v>1.3629611511973758</v>
      </c>
    </row>
    <row r="18" spans="1:8">
      <c r="A18" s="103">
        <v>11</v>
      </c>
      <c r="B18" s="1" t="s">
        <v>60</v>
      </c>
      <c r="C18" s="161">
        <v>0</v>
      </c>
      <c r="D18" s="161"/>
      <c r="E18" s="161"/>
      <c r="F18" s="161">
        <v>0</v>
      </c>
      <c r="G18" s="162">
        <v>0</v>
      </c>
      <c r="H18" s="164" t="e">
        <f t="shared" si="0"/>
        <v>#DIV/0!</v>
      </c>
    </row>
    <row r="19" spans="1:8">
      <c r="A19" s="103">
        <v>12</v>
      </c>
      <c r="B19" s="1" t="s">
        <v>61</v>
      </c>
      <c r="C19" s="161">
        <v>0</v>
      </c>
      <c r="D19" s="161"/>
      <c r="E19" s="161"/>
      <c r="F19" s="161">
        <v>0</v>
      </c>
      <c r="G19" s="162">
        <v>0</v>
      </c>
      <c r="H19" s="164" t="e">
        <f t="shared" si="0"/>
        <v>#DIV/0!</v>
      </c>
    </row>
    <row r="20" spans="1:8">
      <c r="A20" s="103">
        <v>13</v>
      </c>
      <c r="B20" s="1" t="s">
        <v>144</v>
      </c>
      <c r="C20" s="161">
        <v>0</v>
      </c>
      <c r="D20" s="161"/>
      <c r="E20" s="161"/>
      <c r="F20" s="161">
        <v>0</v>
      </c>
      <c r="G20" s="162">
        <v>0</v>
      </c>
      <c r="H20" s="164" t="e">
        <f t="shared" si="0"/>
        <v>#DIV/0!</v>
      </c>
    </row>
    <row r="21" spans="1:8">
      <c r="A21" s="103">
        <v>14</v>
      </c>
      <c r="B21" s="1" t="s">
        <v>63</v>
      </c>
      <c r="C21" s="161">
        <v>29566696.703599997</v>
      </c>
      <c r="D21" s="161"/>
      <c r="E21" s="161"/>
      <c r="F21" s="161">
        <v>26128093.6459</v>
      </c>
      <c r="G21" s="162">
        <v>26128093.6459</v>
      </c>
      <c r="H21" s="164">
        <f t="shared" si="0"/>
        <v>0.88370012747209203</v>
      </c>
    </row>
    <row r="22" spans="1:8" ht="14.4" thickBot="1">
      <c r="A22" s="106"/>
      <c r="B22" s="107" t="s">
        <v>64</v>
      </c>
      <c r="C22" s="163">
        <f>SUM(C8:C21)</f>
        <v>692849125.07709992</v>
      </c>
      <c r="D22" s="163">
        <f>SUM(D8:D21)</f>
        <v>78109987.639699996</v>
      </c>
      <c r="E22" s="163">
        <f>SUM(E8:E21)</f>
        <v>35119811.601200007</v>
      </c>
      <c r="F22" s="163">
        <f>SUM(F8:F21)</f>
        <v>595025840.57699001</v>
      </c>
      <c r="G22" s="163">
        <f>SUM(G8:G21)</f>
        <v>546567894.93318999</v>
      </c>
      <c r="H22" s="165">
        <f>G22/(C22+E22)</f>
        <v>0.75081211215847021</v>
      </c>
    </row>
    <row r="24" spans="1:8">
      <c r="C24" s="616"/>
      <c r="D24" s="616"/>
      <c r="E24" s="616"/>
      <c r="F24" s="616"/>
      <c r="G24" s="616"/>
      <c r="H24" s="616"/>
    </row>
    <row r="25" spans="1:8">
      <c r="C25" s="616"/>
      <c r="D25" s="616"/>
      <c r="E25" s="616"/>
      <c r="F25" s="616"/>
      <c r="G25" s="616"/>
      <c r="H25" s="616"/>
    </row>
    <row r="26" spans="1:8">
      <c r="C26" s="616"/>
      <c r="D26" s="616"/>
      <c r="E26" s="616"/>
      <c r="F26" s="616"/>
      <c r="G26" s="616"/>
      <c r="H26" s="616"/>
    </row>
    <row r="27" spans="1:8">
      <c r="C27" s="616"/>
      <c r="D27" s="616"/>
      <c r="E27" s="616"/>
      <c r="F27" s="616"/>
      <c r="G27" s="616"/>
      <c r="H27" s="616"/>
    </row>
    <row r="28" spans="1:8">
      <c r="C28" s="616"/>
      <c r="D28" s="616"/>
      <c r="E28" s="616"/>
      <c r="F28" s="616"/>
      <c r="G28" s="616"/>
      <c r="H28" s="616"/>
    </row>
    <row r="29" spans="1:8">
      <c r="C29" s="616"/>
      <c r="D29" s="616"/>
      <c r="E29" s="616"/>
      <c r="F29" s="616"/>
      <c r="G29" s="616"/>
      <c r="H29" s="616"/>
    </row>
    <row r="30" spans="1:8">
      <c r="C30" s="616"/>
      <c r="D30" s="616"/>
      <c r="E30" s="616"/>
      <c r="F30" s="616"/>
      <c r="G30" s="616"/>
      <c r="H30" s="616"/>
    </row>
    <row r="31" spans="1:8">
      <c r="C31" s="616"/>
      <c r="D31" s="616"/>
      <c r="E31" s="616"/>
      <c r="F31" s="616"/>
      <c r="G31" s="616"/>
      <c r="H31" s="616"/>
    </row>
    <row r="32" spans="1:8">
      <c r="C32" s="616"/>
      <c r="D32" s="616"/>
      <c r="E32" s="616"/>
      <c r="F32" s="616"/>
      <c r="G32" s="616"/>
      <c r="H32" s="616"/>
    </row>
    <row r="33" spans="3:8">
      <c r="C33" s="616"/>
      <c r="D33" s="616"/>
      <c r="E33" s="616"/>
      <c r="F33" s="616"/>
      <c r="G33" s="616"/>
      <c r="H33" s="616"/>
    </row>
    <row r="34" spans="3:8">
      <c r="C34" s="616"/>
      <c r="D34" s="616"/>
      <c r="E34" s="616"/>
      <c r="F34" s="616"/>
      <c r="G34" s="616"/>
      <c r="H34" s="616"/>
    </row>
    <row r="35" spans="3:8">
      <c r="C35" s="616"/>
      <c r="D35" s="616"/>
      <c r="E35" s="616"/>
      <c r="F35" s="616"/>
      <c r="G35" s="616"/>
      <c r="H35" s="616"/>
    </row>
    <row r="36" spans="3:8">
      <c r="C36" s="616"/>
      <c r="D36" s="616"/>
      <c r="E36" s="616"/>
      <c r="F36" s="616"/>
      <c r="G36" s="616"/>
      <c r="H36" s="616"/>
    </row>
    <row r="37" spans="3:8">
      <c r="C37" s="616"/>
      <c r="D37" s="616"/>
      <c r="E37" s="616"/>
      <c r="F37" s="616"/>
      <c r="G37" s="616"/>
      <c r="H37" s="616"/>
    </row>
    <row r="38" spans="3:8">
      <c r="C38" s="616"/>
      <c r="D38" s="616"/>
      <c r="E38" s="616"/>
      <c r="F38" s="616"/>
      <c r="G38" s="616"/>
      <c r="H38" s="616"/>
    </row>
    <row r="39" spans="3:8">
      <c r="C39" s="616"/>
      <c r="D39" s="616"/>
      <c r="E39" s="616"/>
      <c r="F39" s="616"/>
      <c r="G39" s="616"/>
      <c r="H39" s="616"/>
    </row>
    <row r="40" spans="3:8">
      <c r="C40" s="616"/>
      <c r="D40" s="616"/>
      <c r="E40" s="616"/>
      <c r="F40" s="616"/>
      <c r="G40" s="616"/>
      <c r="H40" s="616"/>
    </row>
  </sheetData>
  <mergeCells count="6">
    <mergeCell ref="H6:H7"/>
    <mergeCell ref="B6:B7"/>
    <mergeCell ref="C6:C7"/>
    <mergeCell ref="D6:E6"/>
    <mergeCell ref="F6:F7"/>
    <mergeCell ref="G6:G7"/>
  </mergeCells>
  <pageMargins left="0.7" right="0.7" top="0.75" bottom="0.75" header="0.3" footer="0.3"/>
  <headerFooter>
    <oddFooter>&amp;C_x000D_&amp;1#&amp;"Calibri"&amp;10&amp;K000000 C1 - FOR INTERNAL USE ONLY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45"/>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1" sqref="B21"/>
    </sheetView>
  </sheetViews>
  <sheetFormatPr defaultColWidth="9.21875" defaultRowHeight="13.8"/>
  <cols>
    <col min="1" max="1" width="10.5546875" style="135" bestFit="1" customWidth="1"/>
    <col min="2" max="2" width="104.21875" style="135" customWidth="1"/>
    <col min="3" max="11" width="12.77734375" style="135" customWidth="1"/>
    <col min="12" max="16384" width="9.21875" style="135"/>
  </cols>
  <sheetData>
    <row r="1" spans="1:11">
      <c r="A1" s="135" t="s">
        <v>30</v>
      </c>
      <c r="B1" s="3" t="str">
        <f>'Info '!C2</f>
        <v xml:space="preserve">PASHA Bank Georgia JSC </v>
      </c>
    </row>
    <row r="2" spans="1:11">
      <c r="A2" s="135" t="s">
        <v>31</v>
      </c>
      <c r="B2" s="269">
        <f>'1. key ratios '!B2</f>
        <v>45747</v>
      </c>
    </row>
    <row r="4" spans="1:11" ht="14.4" thickBot="1">
      <c r="A4" s="135" t="s">
        <v>146</v>
      </c>
      <c r="B4" s="206" t="s">
        <v>240</v>
      </c>
    </row>
    <row r="5" spans="1:11" ht="30" customHeight="1">
      <c r="A5" s="757"/>
      <c r="B5" s="758"/>
      <c r="C5" s="759" t="s">
        <v>292</v>
      </c>
      <c r="D5" s="759"/>
      <c r="E5" s="759"/>
      <c r="F5" s="759" t="s">
        <v>293</v>
      </c>
      <c r="G5" s="759"/>
      <c r="H5" s="759"/>
      <c r="I5" s="759" t="s">
        <v>294</v>
      </c>
      <c r="J5" s="759"/>
      <c r="K5" s="760"/>
    </row>
    <row r="6" spans="1:11">
      <c r="A6" s="176"/>
      <c r="B6" s="177"/>
      <c r="C6" s="17" t="s">
        <v>32</v>
      </c>
      <c r="D6" s="17" t="s">
        <v>33</v>
      </c>
      <c r="E6" s="17" t="s">
        <v>34</v>
      </c>
      <c r="F6" s="17" t="s">
        <v>32</v>
      </c>
      <c r="G6" s="17" t="s">
        <v>33</v>
      </c>
      <c r="H6" s="17" t="s">
        <v>34</v>
      </c>
      <c r="I6" s="17" t="s">
        <v>32</v>
      </c>
      <c r="J6" s="17" t="s">
        <v>33</v>
      </c>
      <c r="K6" s="17" t="s">
        <v>34</v>
      </c>
    </row>
    <row r="7" spans="1:11">
      <c r="A7" s="178" t="s">
        <v>243</v>
      </c>
      <c r="B7" s="179"/>
      <c r="C7" s="179"/>
      <c r="D7" s="179"/>
      <c r="E7" s="179"/>
      <c r="F7" s="179"/>
      <c r="G7" s="179"/>
      <c r="H7" s="179"/>
      <c r="I7" s="179"/>
      <c r="J7" s="179"/>
      <c r="K7" s="180"/>
    </row>
    <row r="8" spans="1:11">
      <c r="A8" s="181">
        <v>1</v>
      </c>
      <c r="B8" s="182" t="s">
        <v>241</v>
      </c>
      <c r="C8" s="183"/>
      <c r="D8" s="183"/>
      <c r="E8" s="183"/>
      <c r="F8" s="184">
        <v>57909013.729232192</v>
      </c>
      <c r="G8" s="184">
        <v>166637168.08273447</v>
      </c>
      <c r="H8" s="184">
        <v>224546181.81196672</v>
      </c>
      <c r="I8" s="184">
        <v>58986102.879999995</v>
      </c>
      <c r="J8" s="184">
        <v>66029083.649400003</v>
      </c>
      <c r="K8" s="185">
        <v>125015186.52939999</v>
      </c>
    </row>
    <row r="9" spans="1:11">
      <c r="A9" s="178" t="s">
        <v>244</v>
      </c>
      <c r="B9" s="179"/>
      <c r="C9" s="179"/>
      <c r="D9" s="179"/>
      <c r="E9" s="179"/>
      <c r="F9" s="179"/>
      <c r="G9" s="179"/>
      <c r="H9" s="179"/>
      <c r="I9" s="179"/>
      <c r="J9" s="179"/>
      <c r="K9" s="180"/>
    </row>
    <row r="10" spans="1:11">
      <c r="A10" s="186">
        <v>2</v>
      </c>
      <c r="B10" s="187" t="s">
        <v>252</v>
      </c>
      <c r="C10" s="187">
        <v>12958267.198777778</v>
      </c>
      <c r="D10" s="188">
        <v>63784704.354142256</v>
      </c>
      <c r="E10" s="188">
        <v>76742971.552920029</v>
      </c>
      <c r="F10" s="188">
        <v>1353941.0502583331</v>
      </c>
      <c r="G10" s="188">
        <v>18174360.66947059</v>
      </c>
      <c r="H10" s="188">
        <v>19528301.719728932</v>
      </c>
      <c r="I10" s="188">
        <v>340702.87600000005</v>
      </c>
      <c r="J10" s="188">
        <v>4076365.5529450001</v>
      </c>
      <c r="K10" s="189">
        <v>4417068.4289449994</v>
      </c>
    </row>
    <row r="11" spans="1:11">
      <c r="A11" s="186">
        <v>3</v>
      </c>
      <c r="B11" s="187" t="s">
        <v>246</v>
      </c>
      <c r="C11" s="187">
        <v>104881776.05360004</v>
      </c>
      <c r="D11" s="188">
        <v>336985321.0676803</v>
      </c>
      <c r="E11" s="188">
        <v>441867097.12128007</v>
      </c>
      <c r="F11" s="188">
        <v>37490533.631152749</v>
      </c>
      <c r="G11" s="188">
        <v>107667428.34172896</v>
      </c>
      <c r="H11" s="188">
        <v>145157961.97288173</v>
      </c>
      <c r="I11" s="188">
        <v>23378510.780222222</v>
      </c>
      <c r="J11" s="188">
        <v>54531189.960927732</v>
      </c>
      <c r="K11" s="189">
        <v>77909700.741149977</v>
      </c>
    </row>
    <row r="12" spans="1:11">
      <c r="A12" s="186">
        <v>4</v>
      </c>
      <c r="B12" s="187" t="s">
        <v>247</v>
      </c>
      <c r="C12" s="187">
        <v>18144444.444444444</v>
      </c>
      <c r="D12" s="188">
        <v>0</v>
      </c>
      <c r="E12" s="188">
        <v>18144444.444444444</v>
      </c>
      <c r="F12" s="188">
        <v>0</v>
      </c>
      <c r="G12" s="188">
        <v>0</v>
      </c>
      <c r="H12" s="188">
        <v>0</v>
      </c>
      <c r="I12" s="188">
        <v>0</v>
      </c>
      <c r="J12" s="188">
        <v>0</v>
      </c>
      <c r="K12" s="189">
        <v>0</v>
      </c>
    </row>
    <row r="13" spans="1:11">
      <c r="A13" s="186">
        <v>5</v>
      </c>
      <c r="B13" s="187" t="s">
        <v>255</v>
      </c>
      <c r="C13" s="187">
        <v>28386117.009999987</v>
      </c>
      <c r="D13" s="188">
        <v>54650791.577657744</v>
      </c>
      <c r="E13" s="188">
        <v>83036908.58765772</v>
      </c>
      <c r="F13" s="188">
        <v>5692588.6864722222</v>
      </c>
      <c r="G13" s="188">
        <v>13391759.736573972</v>
      </c>
      <c r="H13" s="188">
        <v>19084348.423046198</v>
      </c>
      <c r="I13" s="188">
        <v>1896310.7734999999</v>
      </c>
      <c r="J13" s="188">
        <v>4412975.3057849994</v>
      </c>
      <c r="K13" s="189">
        <v>6309286.0792849995</v>
      </c>
    </row>
    <row r="14" spans="1:11">
      <c r="A14" s="186">
        <v>6</v>
      </c>
      <c r="B14" s="187" t="s">
        <v>287</v>
      </c>
      <c r="C14" s="187">
        <v>0</v>
      </c>
      <c r="D14" s="188">
        <v>0</v>
      </c>
      <c r="E14" s="188">
        <v>0</v>
      </c>
      <c r="F14" s="188">
        <v>0</v>
      </c>
      <c r="G14" s="188">
        <v>0</v>
      </c>
      <c r="H14" s="188">
        <v>0</v>
      </c>
      <c r="I14" s="188">
        <v>0</v>
      </c>
      <c r="J14" s="188">
        <v>0</v>
      </c>
      <c r="K14" s="189">
        <v>0</v>
      </c>
    </row>
    <row r="15" spans="1:11">
      <c r="A15" s="186">
        <v>7</v>
      </c>
      <c r="B15" s="187" t="s">
        <v>288</v>
      </c>
      <c r="C15" s="187">
        <v>8263147.3873333344</v>
      </c>
      <c r="D15" s="188">
        <v>8197156.822227777</v>
      </c>
      <c r="E15" s="188">
        <v>16460304.209561111</v>
      </c>
      <c r="F15" s="188">
        <v>4792241.6620000014</v>
      </c>
      <c r="G15" s="188">
        <v>2196717.4518644451</v>
      </c>
      <c r="H15" s="188">
        <v>6988959.113864447</v>
      </c>
      <c r="I15" s="188">
        <v>5589424.2800000003</v>
      </c>
      <c r="J15" s="188">
        <v>425602.79979999998</v>
      </c>
      <c r="K15" s="189">
        <v>6015027.0798000004</v>
      </c>
    </row>
    <row r="16" spans="1:11">
      <c r="A16" s="186">
        <v>8</v>
      </c>
      <c r="B16" s="190" t="s">
        <v>248</v>
      </c>
      <c r="C16" s="617">
        <f t="shared" ref="C16:K16" si="0">SUM(C10:C15)</f>
        <v>172633752.09415558</v>
      </c>
      <c r="D16" s="617">
        <f t="shared" si="0"/>
        <v>463617973.82170808</v>
      </c>
      <c r="E16" s="617">
        <f t="shared" si="0"/>
        <v>636251725.91586339</v>
      </c>
      <c r="F16" s="617">
        <f t="shared" si="0"/>
        <v>49329305.029883303</v>
      </c>
      <c r="G16" s="617">
        <f t="shared" si="0"/>
        <v>141430266.19963798</v>
      </c>
      <c r="H16" s="617">
        <f t="shared" si="0"/>
        <v>190759571.22952133</v>
      </c>
      <c r="I16" s="617">
        <f t="shared" si="0"/>
        <v>31204948.709722221</v>
      </c>
      <c r="J16" s="617">
        <f t="shared" si="0"/>
        <v>63446133.619457737</v>
      </c>
      <c r="K16" s="617">
        <f t="shared" si="0"/>
        <v>94651082.329179972</v>
      </c>
    </row>
    <row r="17" spans="1:11">
      <c r="A17" s="178" t="s">
        <v>245</v>
      </c>
      <c r="B17" s="179"/>
      <c r="C17" s="179"/>
      <c r="D17" s="179"/>
      <c r="E17" s="179"/>
      <c r="F17" s="179"/>
      <c r="G17" s="179"/>
      <c r="H17" s="179"/>
      <c r="I17" s="179"/>
      <c r="J17" s="179"/>
      <c r="K17" s="180"/>
    </row>
    <row r="18" spans="1:11">
      <c r="A18" s="186">
        <v>9</v>
      </c>
      <c r="B18" s="187" t="s">
        <v>251</v>
      </c>
      <c r="C18" s="187">
        <v>0</v>
      </c>
      <c r="D18" s="188">
        <v>0</v>
      </c>
      <c r="E18" s="188">
        <v>0</v>
      </c>
      <c r="F18" s="188">
        <v>0</v>
      </c>
      <c r="G18" s="188">
        <v>0</v>
      </c>
      <c r="H18" s="188">
        <v>0</v>
      </c>
      <c r="I18" s="188">
        <v>0</v>
      </c>
      <c r="J18" s="188">
        <v>0</v>
      </c>
      <c r="K18" s="189">
        <v>0</v>
      </c>
    </row>
    <row r="19" spans="1:11">
      <c r="A19" s="186">
        <v>10</v>
      </c>
      <c r="B19" s="187" t="s">
        <v>289</v>
      </c>
      <c r="C19" s="187">
        <v>175467259.09936592</v>
      </c>
      <c r="D19" s="188">
        <v>299733424.39017111</v>
      </c>
      <c r="E19" s="188">
        <v>475200683.48953688</v>
      </c>
      <c r="F19" s="188">
        <v>2924281.5888168765</v>
      </c>
      <c r="G19" s="188">
        <v>2676141.8139055115</v>
      </c>
      <c r="H19" s="188">
        <v>5600423.4027223894</v>
      </c>
      <c r="I19" s="188">
        <v>17184662.5962</v>
      </c>
      <c r="J19" s="188">
        <v>117256362.26924999</v>
      </c>
      <c r="K19" s="189">
        <v>134441024.86544997</v>
      </c>
    </row>
    <row r="20" spans="1:11">
      <c r="A20" s="186">
        <v>11</v>
      </c>
      <c r="B20" s="187" t="s">
        <v>250</v>
      </c>
      <c r="C20" s="187">
        <v>33223283.088458888</v>
      </c>
      <c r="D20" s="188">
        <v>6654766.5737699997</v>
      </c>
      <c r="E20" s="188">
        <v>39878049.662228897</v>
      </c>
      <c r="F20" s="188">
        <v>0</v>
      </c>
      <c r="G20" s="188">
        <v>821948.13085444435</v>
      </c>
      <c r="H20" s="188">
        <v>821948.13085444435</v>
      </c>
      <c r="I20" s="188">
        <v>0</v>
      </c>
      <c r="J20" s="188">
        <v>3204777.4074999997</v>
      </c>
      <c r="K20" s="189">
        <v>3204777.4074999997</v>
      </c>
    </row>
    <row r="21" spans="1:11" ht="14.4" thickBot="1">
      <c r="A21" s="191">
        <v>12</v>
      </c>
      <c r="B21" s="192" t="s">
        <v>249</v>
      </c>
      <c r="C21" s="618">
        <f>SUM(C18:C20)</f>
        <v>208690542.18782482</v>
      </c>
      <c r="D21" s="618">
        <f t="shared" ref="D21:K21" si="1">SUM(D18:D20)</f>
        <v>306388190.9639411</v>
      </c>
      <c r="E21" s="618">
        <f t="shared" si="1"/>
        <v>515078733.15176576</v>
      </c>
      <c r="F21" s="618">
        <f t="shared" si="1"/>
        <v>2924281.5888168765</v>
      </c>
      <c r="G21" s="618">
        <f t="shared" si="1"/>
        <v>3498089.9447599556</v>
      </c>
      <c r="H21" s="618">
        <f t="shared" si="1"/>
        <v>6422371.533576834</v>
      </c>
      <c r="I21" s="618">
        <f t="shared" si="1"/>
        <v>17184662.5962</v>
      </c>
      <c r="J21" s="618">
        <f t="shared" si="1"/>
        <v>120461139.67674999</v>
      </c>
      <c r="K21" s="618">
        <f t="shared" si="1"/>
        <v>137645802.27294996</v>
      </c>
    </row>
    <row r="22" spans="1:11" ht="38.25" customHeight="1" thickBot="1">
      <c r="A22" s="193"/>
      <c r="B22" s="194"/>
      <c r="C22" s="194"/>
      <c r="D22" s="194"/>
      <c r="E22" s="194"/>
      <c r="F22" s="761" t="s">
        <v>291</v>
      </c>
      <c r="G22" s="759"/>
      <c r="H22" s="759"/>
      <c r="I22" s="761" t="s">
        <v>256</v>
      </c>
      <c r="J22" s="759"/>
      <c r="K22" s="760"/>
    </row>
    <row r="23" spans="1:11">
      <c r="A23" s="195">
        <v>13</v>
      </c>
      <c r="B23" s="196" t="s">
        <v>241</v>
      </c>
      <c r="C23" s="197"/>
      <c r="D23" s="197"/>
      <c r="E23" s="197"/>
      <c r="F23" s="619">
        <f>F8</f>
        <v>57909013.729232192</v>
      </c>
      <c r="G23" s="619">
        <f t="shared" ref="G23:H23" si="2">G8</f>
        <v>166637168.08273447</v>
      </c>
      <c r="H23" s="619">
        <f t="shared" si="2"/>
        <v>224546181.81196672</v>
      </c>
      <c r="I23" s="619">
        <f>I8</f>
        <v>58986102.879999995</v>
      </c>
      <c r="J23" s="619">
        <f t="shared" ref="J23:K23" si="3">J8</f>
        <v>66029083.649400003</v>
      </c>
      <c r="K23" s="620">
        <f t="shared" si="3"/>
        <v>125015186.52939999</v>
      </c>
    </row>
    <row r="24" spans="1:11" ht="14.4" thickBot="1">
      <c r="A24" s="198">
        <v>14</v>
      </c>
      <c r="B24" s="199" t="s">
        <v>253</v>
      </c>
      <c r="C24" s="200"/>
      <c r="D24" s="201"/>
      <c r="E24" s="202"/>
      <c r="F24" s="621">
        <f>MAX(F16-F21,F16*0.25)</f>
        <v>46405023.441066429</v>
      </c>
      <c r="G24" s="621">
        <f t="shared" ref="G24:H24" si="4">MAX(G16-G21,G16*0.25)</f>
        <v>137932176.25487801</v>
      </c>
      <c r="H24" s="621">
        <f t="shared" si="4"/>
        <v>184337199.69594449</v>
      </c>
      <c r="I24" s="621">
        <f>MAX(I16-I21,I16*0.25)</f>
        <v>14020286.11352222</v>
      </c>
      <c r="J24" s="621">
        <f t="shared" ref="J24:K24" si="5">MAX(J16-J21,J16*0.25)</f>
        <v>15861533.404864434</v>
      </c>
      <c r="K24" s="622">
        <f t="shared" si="5"/>
        <v>23662770.582294993</v>
      </c>
    </row>
    <row r="25" spans="1:11" ht="14.4" thickBot="1">
      <c r="A25" s="203">
        <v>15</v>
      </c>
      <c r="B25" s="204" t="s">
        <v>254</v>
      </c>
      <c r="C25" s="205"/>
      <c r="D25" s="205"/>
      <c r="E25" s="205"/>
      <c r="F25" s="623">
        <f>F23/F24</f>
        <v>1.2479039861444232</v>
      </c>
      <c r="G25" s="623">
        <f t="shared" ref="G25:H25" si="6">G23/G24</f>
        <v>1.2081094680534434</v>
      </c>
      <c r="H25" s="623">
        <f t="shared" si="6"/>
        <v>1.2181273350270323</v>
      </c>
      <c r="I25" s="623">
        <f>I23/I24</f>
        <v>4.2071968005780818</v>
      </c>
      <c r="J25" s="623">
        <f t="shared" ref="J25:K25" si="7">J23/J24</f>
        <v>4.1628436522505528</v>
      </c>
      <c r="K25" s="623">
        <f t="shared" si="7"/>
        <v>5.283201563173634</v>
      </c>
    </row>
    <row r="27" spans="1:11" ht="27">
      <c r="B27" s="175" t="s">
        <v>290</v>
      </c>
    </row>
    <row r="28" spans="1:11">
      <c r="C28" s="599"/>
      <c r="D28" s="599"/>
      <c r="E28" s="599"/>
      <c r="F28" s="599"/>
      <c r="G28" s="599"/>
      <c r="H28" s="599"/>
      <c r="I28" s="599"/>
      <c r="J28" s="599"/>
      <c r="K28" s="599"/>
    </row>
    <row r="29" spans="1:11">
      <c r="C29" s="599"/>
      <c r="D29" s="599"/>
      <c r="E29" s="599"/>
      <c r="F29" s="599"/>
      <c r="G29" s="599"/>
      <c r="H29" s="599"/>
      <c r="I29" s="599"/>
      <c r="J29" s="599"/>
      <c r="K29" s="599"/>
    </row>
    <row r="30" spans="1:11">
      <c r="C30" s="599"/>
      <c r="D30" s="599"/>
      <c r="E30" s="599"/>
      <c r="F30" s="599"/>
      <c r="G30" s="599"/>
      <c r="H30" s="599"/>
      <c r="I30" s="599"/>
      <c r="J30" s="599"/>
      <c r="K30" s="599"/>
    </row>
    <row r="31" spans="1:11">
      <c r="C31" s="599"/>
      <c r="D31" s="599"/>
      <c r="E31" s="599"/>
      <c r="F31" s="599"/>
      <c r="G31" s="599"/>
      <c r="H31" s="599"/>
      <c r="I31" s="599"/>
      <c r="J31" s="599"/>
      <c r="K31" s="599"/>
    </row>
    <row r="32" spans="1:11">
      <c r="C32" s="599"/>
      <c r="D32" s="599"/>
      <c r="E32" s="599"/>
      <c r="F32" s="599"/>
      <c r="G32" s="599"/>
      <c r="H32" s="599"/>
      <c r="I32" s="599"/>
      <c r="J32" s="599"/>
      <c r="K32" s="599"/>
    </row>
    <row r="33" spans="3:11">
      <c r="C33" s="599"/>
      <c r="D33" s="599"/>
      <c r="E33" s="599"/>
      <c r="F33" s="599"/>
      <c r="G33" s="599"/>
      <c r="H33" s="599"/>
      <c r="I33" s="599"/>
      <c r="J33" s="599"/>
      <c r="K33" s="599"/>
    </row>
    <row r="34" spans="3:11">
      <c r="C34" s="599"/>
      <c r="D34" s="599"/>
      <c r="E34" s="599"/>
      <c r="F34" s="599"/>
      <c r="G34" s="599"/>
      <c r="H34" s="599"/>
      <c r="I34" s="599"/>
      <c r="J34" s="599"/>
      <c r="K34" s="599"/>
    </row>
    <row r="35" spans="3:11">
      <c r="C35" s="599"/>
      <c r="D35" s="599"/>
      <c r="E35" s="599"/>
      <c r="F35" s="599"/>
      <c r="G35" s="599"/>
      <c r="H35" s="599"/>
      <c r="I35" s="599"/>
      <c r="J35" s="599"/>
      <c r="K35" s="599"/>
    </row>
    <row r="36" spans="3:11">
      <c r="C36" s="599"/>
      <c r="D36" s="599"/>
      <c r="E36" s="599"/>
      <c r="F36" s="599"/>
      <c r="G36" s="599"/>
      <c r="H36" s="599"/>
      <c r="I36" s="599"/>
      <c r="J36" s="599"/>
      <c r="K36" s="599"/>
    </row>
    <row r="37" spans="3:11">
      <c r="C37" s="599"/>
      <c r="D37" s="599"/>
      <c r="E37" s="599"/>
      <c r="F37" s="599"/>
      <c r="G37" s="599"/>
      <c r="H37" s="599"/>
      <c r="I37" s="599"/>
      <c r="J37" s="599"/>
      <c r="K37" s="599"/>
    </row>
    <row r="38" spans="3:11">
      <c r="C38" s="599"/>
      <c r="D38" s="599"/>
      <c r="E38" s="599"/>
      <c r="F38" s="599"/>
      <c r="G38" s="599"/>
      <c r="H38" s="599"/>
      <c r="I38" s="599"/>
      <c r="J38" s="599"/>
      <c r="K38" s="599"/>
    </row>
    <row r="39" spans="3:11">
      <c r="C39" s="599"/>
      <c r="D39" s="599"/>
      <c r="E39" s="599"/>
      <c r="F39" s="599"/>
      <c r="G39" s="599"/>
      <c r="H39" s="599"/>
      <c r="I39" s="599"/>
      <c r="J39" s="599"/>
      <c r="K39" s="599"/>
    </row>
    <row r="40" spans="3:11">
      <c r="C40" s="599"/>
      <c r="D40" s="599"/>
      <c r="E40" s="599"/>
      <c r="F40" s="599"/>
      <c r="G40" s="599"/>
      <c r="H40" s="599"/>
      <c r="I40" s="599"/>
      <c r="J40" s="599"/>
      <c r="K40" s="599"/>
    </row>
    <row r="41" spans="3:11">
      <c r="C41" s="599"/>
      <c r="D41" s="599"/>
      <c r="E41" s="599"/>
      <c r="F41" s="599"/>
      <c r="G41" s="599"/>
      <c r="H41" s="599"/>
      <c r="I41" s="599"/>
      <c r="J41" s="599"/>
      <c r="K41" s="599"/>
    </row>
    <row r="42" spans="3:11">
      <c r="C42" s="599"/>
      <c r="D42" s="599"/>
      <c r="E42" s="599"/>
      <c r="F42" s="599"/>
      <c r="G42" s="599"/>
      <c r="H42" s="599"/>
      <c r="I42" s="599"/>
      <c r="J42" s="599"/>
      <c r="K42" s="599"/>
    </row>
    <row r="43" spans="3:11">
      <c r="C43" s="599"/>
      <c r="D43" s="599"/>
      <c r="E43" s="599"/>
      <c r="F43" s="599"/>
      <c r="G43" s="599"/>
      <c r="H43" s="599"/>
      <c r="I43" s="599"/>
      <c r="J43" s="599"/>
      <c r="K43" s="599"/>
    </row>
    <row r="44" spans="3:11">
      <c r="C44" s="599"/>
      <c r="D44" s="599"/>
      <c r="E44" s="599"/>
      <c r="F44" s="599"/>
      <c r="G44" s="599"/>
      <c r="H44" s="599"/>
      <c r="I44" s="599"/>
      <c r="J44" s="599"/>
      <c r="K44" s="599"/>
    </row>
    <row r="45" spans="3:11">
      <c r="C45" s="599"/>
      <c r="D45" s="599"/>
      <c r="E45" s="599"/>
      <c r="F45" s="599"/>
      <c r="G45" s="599"/>
      <c r="H45" s="599"/>
      <c r="I45" s="599"/>
      <c r="J45" s="599"/>
      <c r="K45" s="599"/>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Footer>&amp;C_x000D_&amp;1#&amp;"Calibri"&amp;10&amp;K000000 C1 - FOR INTERNAL USE ONLY</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86"/>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56" sqref="B56"/>
    </sheetView>
  </sheetViews>
  <sheetFormatPr defaultColWidth="9.21875" defaultRowHeight="13.2"/>
  <cols>
    <col min="1" max="1" width="10.5546875" style="4" bestFit="1" customWidth="1"/>
    <col min="2" max="2" width="95" style="4" customWidth="1"/>
    <col min="3" max="3" width="12.5546875" style="4" bestFit="1" customWidth="1"/>
    <col min="4" max="4" width="11.44140625" style="4" customWidth="1"/>
    <col min="5" max="5" width="18.21875" style="4" bestFit="1" customWidth="1"/>
    <col min="6" max="13" width="12.77734375" style="4" customWidth="1"/>
    <col min="14" max="14" width="31" style="4" bestFit="1" customWidth="1"/>
    <col min="15" max="16" width="9.21875" style="15"/>
    <col min="17" max="17" width="44.21875" style="15" customWidth="1"/>
    <col min="18" max="16384" width="9.21875" style="15"/>
  </cols>
  <sheetData>
    <row r="1" spans="1:17" ht="13.8">
      <c r="A1" s="453" t="s">
        <v>717</v>
      </c>
      <c r="B1" s="489" t="str">
        <f>'Info '!C2</f>
        <v xml:space="preserve">PASHA Bank Georgia JSC </v>
      </c>
      <c r="C1" s="489"/>
      <c r="D1" s="489"/>
      <c r="E1" s="489"/>
      <c r="F1" s="489"/>
      <c r="G1" s="489"/>
      <c r="H1" s="489"/>
      <c r="I1" s="489"/>
      <c r="J1" s="489"/>
      <c r="K1" s="489"/>
      <c r="L1" s="489"/>
      <c r="M1" s="489"/>
      <c r="N1" s="489"/>
      <c r="O1" s="154"/>
      <c r="P1" s="154"/>
      <c r="Q1" s="154"/>
    </row>
    <row r="2" spans="1:17" ht="14.25" customHeight="1">
      <c r="A2" s="489" t="s">
        <v>718</v>
      </c>
      <c r="B2" s="454">
        <f>'1. key ratios '!B2</f>
        <v>45747</v>
      </c>
      <c r="C2" s="489"/>
      <c r="D2" s="489"/>
      <c r="E2" s="489"/>
      <c r="F2" s="489"/>
      <c r="G2" s="489"/>
      <c r="H2" s="489"/>
      <c r="I2" s="489"/>
      <c r="J2" s="489"/>
      <c r="K2" s="489"/>
      <c r="L2" s="489"/>
      <c r="M2" s="489"/>
      <c r="N2" s="489"/>
      <c r="O2" s="154"/>
      <c r="P2" s="154"/>
      <c r="Q2" s="154"/>
    </row>
    <row r="3" spans="1:17" ht="14.25" customHeight="1">
      <c r="A3" s="489"/>
      <c r="B3" s="154"/>
      <c r="C3" s="154"/>
      <c r="D3" s="154"/>
      <c r="E3" s="154"/>
      <c r="F3" s="154"/>
      <c r="G3" s="154"/>
      <c r="H3" s="154"/>
      <c r="I3" s="154"/>
      <c r="J3" s="154"/>
      <c r="K3" s="154"/>
      <c r="L3" s="154"/>
      <c r="M3" s="154"/>
      <c r="N3" s="154"/>
      <c r="O3" s="154"/>
      <c r="P3" s="154"/>
      <c r="Q3" s="154"/>
    </row>
    <row r="4" spans="1:17" ht="14.4">
      <c r="A4" s="489"/>
      <c r="B4" s="513" t="s">
        <v>719</v>
      </c>
      <c r="C4" s="154"/>
      <c r="D4" s="154"/>
      <c r="E4" s="154"/>
      <c r="F4" s="154"/>
      <c r="G4" s="154"/>
      <c r="H4" s="154"/>
      <c r="I4" s="154"/>
      <c r="J4" s="154"/>
      <c r="K4" s="154"/>
      <c r="L4" s="154"/>
      <c r="M4" s="154"/>
      <c r="N4" s="154"/>
      <c r="O4" s="154"/>
      <c r="P4" s="154"/>
      <c r="Q4" s="154"/>
    </row>
    <row r="5" spans="1:17" ht="57.6">
      <c r="A5" s="489"/>
      <c r="B5" s="514" t="s">
        <v>720</v>
      </c>
      <c r="C5" s="515" t="s">
        <v>721</v>
      </c>
      <c r="D5" s="515" t="s">
        <v>722</v>
      </c>
      <c r="E5" s="515" t="s">
        <v>723</v>
      </c>
      <c r="F5" s="515" t="s">
        <v>724</v>
      </c>
      <c r="G5" s="515" t="s">
        <v>725</v>
      </c>
      <c r="H5" s="515" t="s">
        <v>726</v>
      </c>
      <c r="I5" s="516" t="s">
        <v>727</v>
      </c>
      <c r="J5" s="517">
        <v>0.02</v>
      </c>
      <c r="K5" s="517">
        <v>0.2</v>
      </c>
      <c r="L5" s="517">
        <v>0.35</v>
      </c>
      <c r="M5" s="517">
        <v>0.5</v>
      </c>
      <c r="N5" s="517">
        <v>0.75</v>
      </c>
      <c r="O5" s="517">
        <v>1</v>
      </c>
      <c r="P5" s="517">
        <v>1.5</v>
      </c>
      <c r="Q5" s="518" t="s">
        <v>728</v>
      </c>
    </row>
    <row r="6" spans="1:17" ht="14.4">
      <c r="A6" s="489"/>
      <c r="B6" s="519"/>
      <c r="C6" s="520">
        <f>IF(C7&gt;0,C7,IF(C8&gt;0,C8,IF(C9&gt;0,C9,0)))</f>
        <v>94232915</v>
      </c>
      <c r="D6" s="520">
        <f>IF(D7&gt;0,D7,IF(D8&gt;0,D8,IF(D9&gt;0,D9,0)))</f>
        <v>0</v>
      </c>
      <c r="E6" s="520">
        <f>IF(E7&gt;0,E7,IF(E8&gt;0,E8,IF(E9&gt;0,E9,0)))</f>
        <v>9792800</v>
      </c>
      <c r="F6" s="520">
        <f>IF(F7&gt;0,F7,IF(F8&gt;0,F8,IF(F9&gt;0,F9,0)))</f>
        <v>221045.89</v>
      </c>
      <c r="G6" s="520">
        <f>IF(G7&gt;0,G7,IF(G8&gt;0,G8,IF(G9&gt;0,G9,0)))</f>
        <v>532198</v>
      </c>
      <c r="H6" s="520"/>
      <c r="I6" s="520">
        <f t="shared" ref="I6" si="0">IF(I7&gt;0,I7,IF(I8&gt;0,I8,IF(I9&gt;0,I9)))</f>
        <v>1054541.446</v>
      </c>
      <c r="J6" s="520">
        <f t="shared" ref="J6:Q6" si="1">IF(J7&gt;0,J7,IF(J8&gt;0,J8,IF(J9&gt;0,J9,0)))</f>
        <v>0</v>
      </c>
      <c r="K6" s="520">
        <f t="shared" si="1"/>
        <v>0</v>
      </c>
      <c r="L6" s="520">
        <f t="shared" si="1"/>
        <v>0</v>
      </c>
      <c r="M6" s="520">
        <f t="shared" si="1"/>
        <v>886353.84600000002</v>
      </c>
      <c r="N6" s="520">
        <f t="shared" si="1"/>
        <v>0</v>
      </c>
      <c r="O6" s="520">
        <f t="shared" si="1"/>
        <v>168187.6</v>
      </c>
      <c r="P6" s="520">
        <f t="shared" si="1"/>
        <v>0</v>
      </c>
      <c r="Q6" s="520">
        <f t="shared" si="1"/>
        <v>611364.52299999993</v>
      </c>
    </row>
    <row r="7" spans="1:17" ht="14.4">
      <c r="A7" s="489"/>
      <c r="B7" s="521" t="s">
        <v>729</v>
      </c>
      <c r="C7" s="520">
        <f>C11+C15+C19+C23+C27+C31</f>
        <v>94232915</v>
      </c>
      <c r="D7" s="520">
        <f t="shared" ref="D7:E8" si="2">D11+D15+D19+D23+D27+D31</f>
        <v>-128058.55999999997</v>
      </c>
      <c r="E7" s="520">
        <f t="shared" si="2"/>
        <v>9792800</v>
      </c>
      <c r="F7" s="520">
        <f t="shared" ref="F7:G9" si="3">F11+F15+F19+F23+F27+F31</f>
        <v>221045.89</v>
      </c>
      <c r="G7" s="520">
        <f t="shared" si="3"/>
        <v>532198</v>
      </c>
      <c r="H7" s="522">
        <v>1.4</v>
      </c>
      <c r="I7" s="523">
        <f t="shared" ref="I7:I33" si="4">(F7+G7)*H7</f>
        <v>1054541.446</v>
      </c>
      <c r="J7" s="520">
        <f>J11+J15+J19+J23+J27+J31</f>
        <v>0</v>
      </c>
      <c r="K7" s="520">
        <f t="shared" ref="J7:Q9" si="5">K11+K15+K19+K23+K27+K31</f>
        <v>0</v>
      </c>
      <c r="L7" s="520">
        <f t="shared" si="5"/>
        <v>0</v>
      </c>
      <c r="M7" s="520">
        <f t="shared" si="5"/>
        <v>886353.84600000002</v>
      </c>
      <c r="N7" s="520">
        <f t="shared" si="5"/>
        <v>0</v>
      </c>
      <c r="O7" s="520">
        <f t="shared" si="5"/>
        <v>168187.6</v>
      </c>
      <c r="P7" s="520">
        <f t="shared" si="5"/>
        <v>0</v>
      </c>
      <c r="Q7" s="520">
        <f>Q11+Q15+Q19+Q23+Q27+Q31</f>
        <v>611364.52299999993</v>
      </c>
    </row>
    <row r="8" spans="1:17" ht="14.4">
      <c r="A8" s="489"/>
      <c r="B8" s="521" t="s">
        <v>730</v>
      </c>
      <c r="C8" s="520">
        <f>C12+C16+C20+C24+C28+C32</f>
        <v>0</v>
      </c>
      <c r="D8" s="520">
        <f t="shared" si="2"/>
        <v>0</v>
      </c>
      <c r="E8" s="520">
        <f t="shared" si="2"/>
        <v>0</v>
      </c>
      <c r="F8" s="520">
        <f t="shared" si="3"/>
        <v>0</v>
      </c>
      <c r="G8" s="520">
        <f t="shared" si="3"/>
        <v>0</v>
      </c>
      <c r="H8" s="522">
        <v>1.4</v>
      </c>
      <c r="I8" s="523">
        <f t="shared" si="4"/>
        <v>0</v>
      </c>
      <c r="J8" s="520">
        <f t="shared" si="5"/>
        <v>0</v>
      </c>
      <c r="K8" s="520">
        <f t="shared" si="5"/>
        <v>0</v>
      </c>
      <c r="L8" s="520">
        <f t="shared" si="5"/>
        <v>0</v>
      </c>
      <c r="M8" s="520">
        <f t="shared" si="5"/>
        <v>0</v>
      </c>
      <c r="N8" s="520">
        <f t="shared" si="5"/>
        <v>0</v>
      </c>
      <c r="O8" s="520">
        <f t="shared" si="5"/>
        <v>0</v>
      </c>
      <c r="P8" s="520">
        <f t="shared" si="5"/>
        <v>0</v>
      </c>
      <c r="Q8" s="520">
        <f>Q12+Q16+Q20+Q24+Q28+Q32</f>
        <v>0</v>
      </c>
    </row>
    <row r="9" spans="1:17" ht="14.4">
      <c r="A9" s="489"/>
      <c r="B9" s="521" t="s">
        <v>737</v>
      </c>
      <c r="C9" s="520">
        <f>C13+C17+C21+C25+C29+C33</f>
        <v>0</v>
      </c>
      <c r="D9" s="520">
        <f>D13+D17+D21+D25+D29+D33</f>
        <v>0</v>
      </c>
      <c r="E9" s="520">
        <f>E13+E17+E21+E25+E29+E33</f>
        <v>0</v>
      </c>
      <c r="F9" s="520">
        <f t="shared" si="3"/>
        <v>0</v>
      </c>
      <c r="G9" s="520">
        <f t="shared" si="3"/>
        <v>0</v>
      </c>
      <c r="H9" s="522">
        <v>1.4</v>
      </c>
      <c r="I9" s="523">
        <f t="shared" si="4"/>
        <v>0</v>
      </c>
      <c r="J9" s="520">
        <f t="shared" si="5"/>
        <v>0</v>
      </c>
      <c r="K9" s="520">
        <f t="shared" si="5"/>
        <v>0</v>
      </c>
      <c r="L9" s="520">
        <f t="shared" si="5"/>
        <v>0</v>
      </c>
      <c r="M9" s="520">
        <f t="shared" si="5"/>
        <v>0</v>
      </c>
      <c r="N9" s="520">
        <f t="shared" si="5"/>
        <v>0</v>
      </c>
      <c r="O9" s="520">
        <f t="shared" si="5"/>
        <v>0</v>
      </c>
      <c r="P9" s="520">
        <f t="shared" si="5"/>
        <v>0</v>
      </c>
      <c r="Q9" s="520">
        <f t="shared" si="5"/>
        <v>0</v>
      </c>
    </row>
    <row r="10" spans="1:17" ht="14.4">
      <c r="A10" s="489"/>
      <c r="B10" s="524" t="s">
        <v>731</v>
      </c>
      <c r="C10" s="525"/>
      <c r="D10" s="525"/>
      <c r="E10" s="525"/>
      <c r="F10" s="525"/>
      <c r="G10" s="525"/>
      <c r="H10" s="522">
        <v>1.4</v>
      </c>
      <c r="I10" s="523">
        <f t="shared" si="4"/>
        <v>0</v>
      </c>
      <c r="J10" s="526"/>
      <c r="K10" s="526"/>
      <c r="L10" s="526"/>
      <c r="M10" s="526"/>
      <c r="N10" s="526"/>
      <c r="O10" s="526"/>
      <c r="P10" s="526"/>
      <c r="Q10" s="520">
        <f>SUM(Q11:Q13)</f>
        <v>0</v>
      </c>
    </row>
    <row r="11" spans="1:17" ht="14.4">
      <c r="A11" s="489"/>
      <c r="B11" s="527" t="s">
        <v>729</v>
      </c>
      <c r="C11" s="525"/>
      <c r="D11" s="525"/>
      <c r="E11" s="525"/>
      <c r="F11" s="525"/>
      <c r="G11" s="525"/>
      <c r="H11" s="522">
        <v>1.4</v>
      </c>
      <c r="I11" s="523">
        <f t="shared" si="4"/>
        <v>0</v>
      </c>
      <c r="J11" s="526"/>
      <c r="K11" s="526"/>
      <c r="L11" s="526"/>
      <c r="M11" s="526"/>
      <c r="N11" s="526"/>
      <c r="O11" s="526"/>
      <c r="P11" s="526"/>
      <c r="Q11" s="520">
        <f>SUMPRODUCT($J$5:$P$5,J11:P11)</f>
        <v>0</v>
      </c>
    </row>
    <row r="12" spans="1:17" ht="14.4">
      <c r="A12" s="489"/>
      <c r="B12" s="527" t="s">
        <v>730</v>
      </c>
      <c r="C12" s="525"/>
      <c r="D12" s="525"/>
      <c r="E12" s="525"/>
      <c r="F12" s="525"/>
      <c r="G12" s="525"/>
      <c r="H12" s="522">
        <v>1.4</v>
      </c>
      <c r="I12" s="523">
        <f t="shared" si="4"/>
        <v>0</v>
      </c>
      <c r="J12" s="526"/>
      <c r="K12" s="526"/>
      <c r="L12" s="526"/>
      <c r="M12" s="526"/>
      <c r="N12" s="526"/>
      <c r="O12" s="526"/>
      <c r="P12" s="526"/>
      <c r="Q12" s="520">
        <f t="shared" ref="Q12:Q13" si="6">SUMPRODUCT($J$5:$P$5,J12:P12)</f>
        <v>0</v>
      </c>
    </row>
    <row r="13" spans="1:17" ht="14.4">
      <c r="A13" s="489"/>
      <c r="B13" s="527" t="s">
        <v>737</v>
      </c>
      <c r="C13" s="525"/>
      <c r="D13" s="525"/>
      <c r="E13" s="525"/>
      <c r="F13" s="525"/>
      <c r="G13" s="525"/>
      <c r="H13" s="522">
        <v>1.4</v>
      </c>
      <c r="I13" s="523">
        <f t="shared" si="4"/>
        <v>0</v>
      </c>
      <c r="J13" s="526"/>
      <c r="K13" s="526"/>
      <c r="L13" s="526"/>
      <c r="M13" s="526"/>
      <c r="N13" s="526"/>
      <c r="O13" s="526"/>
      <c r="P13" s="526"/>
      <c r="Q13" s="520">
        <f t="shared" si="6"/>
        <v>0</v>
      </c>
    </row>
    <row r="14" spans="1:17" ht="14.4">
      <c r="A14" s="489"/>
      <c r="B14" s="524" t="s">
        <v>732</v>
      </c>
      <c r="C14" s="525"/>
      <c r="D14" s="525"/>
      <c r="E14" s="525"/>
      <c r="F14" s="525"/>
      <c r="G14" s="525"/>
      <c r="H14" s="522">
        <v>1.4</v>
      </c>
      <c r="I14" s="523">
        <f t="shared" si="4"/>
        <v>0</v>
      </c>
      <c r="J14" s="526"/>
      <c r="K14" s="526"/>
      <c r="L14" s="526"/>
      <c r="M14" s="526"/>
      <c r="N14" s="526"/>
      <c r="O14" s="526"/>
      <c r="P14" s="526"/>
      <c r="Q14" s="520">
        <f>SUM(Q15:Q17)</f>
        <v>0</v>
      </c>
    </row>
    <row r="15" spans="1:17" ht="14.4">
      <c r="A15" s="489"/>
      <c r="B15" s="527" t="s">
        <v>729</v>
      </c>
      <c r="C15" s="525"/>
      <c r="D15" s="525"/>
      <c r="E15" s="525"/>
      <c r="F15" s="525"/>
      <c r="G15" s="525"/>
      <c r="H15" s="522">
        <v>1.4</v>
      </c>
      <c r="I15" s="523">
        <f t="shared" si="4"/>
        <v>0</v>
      </c>
      <c r="J15" s="526"/>
      <c r="K15" s="526"/>
      <c r="L15" s="526"/>
      <c r="M15" s="526"/>
      <c r="N15" s="526"/>
      <c r="O15" s="526"/>
      <c r="P15" s="526"/>
      <c r="Q15" s="520">
        <f>SUMPRODUCT($J$5:$P$5,J15:P15)</f>
        <v>0</v>
      </c>
    </row>
    <row r="16" spans="1:17" ht="14.4">
      <c r="A16" s="489"/>
      <c r="B16" s="527" t="s">
        <v>730</v>
      </c>
      <c r="C16" s="525"/>
      <c r="D16" s="525"/>
      <c r="E16" s="525"/>
      <c r="F16" s="525"/>
      <c r="G16" s="525"/>
      <c r="H16" s="522">
        <v>1.4</v>
      </c>
      <c r="I16" s="523">
        <f t="shared" si="4"/>
        <v>0</v>
      </c>
      <c r="J16" s="526"/>
      <c r="K16" s="526"/>
      <c r="L16" s="526"/>
      <c r="M16" s="526"/>
      <c r="N16" s="526"/>
      <c r="O16" s="526"/>
      <c r="P16" s="526"/>
      <c r="Q16" s="520">
        <f t="shared" ref="Q16:Q17" si="7">SUMPRODUCT($J$5:$P$5,J16:P16)</f>
        <v>0</v>
      </c>
    </row>
    <row r="17" spans="1:17" ht="14.4">
      <c r="A17" s="489"/>
      <c r="B17" s="527" t="s">
        <v>737</v>
      </c>
      <c r="C17" s="525"/>
      <c r="D17" s="525"/>
      <c r="E17" s="525"/>
      <c r="F17" s="525"/>
      <c r="G17" s="525"/>
      <c r="H17" s="522">
        <v>1.4</v>
      </c>
      <c r="I17" s="523">
        <f t="shared" si="4"/>
        <v>0</v>
      </c>
      <c r="J17" s="526"/>
      <c r="K17" s="526"/>
      <c r="L17" s="526"/>
      <c r="M17" s="526"/>
      <c r="N17" s="526"/>
      <c r="O17" s="526"/>
      <c r="P17" s="526"/>
      <c r="Q17" s="520">
        <f t="shared" si="7"/>
        <v>0</v>
      </c>
    </row>
    <row r="18" spans="1:17" ht="14.4">
      <c r="A18" s="489"/>
      <c r="B18" s="524" t="s">
        <v>733</v>
      </c>
      <c r="C18" s="525"/>
      <c r="D18" s="525"/>
      <c r="E18" s="525"/>
      <c r="F18" s="525"/>
      <c r="G18" s="525"/>
      <c r="H18" s="522">
        <v>1.4</v>
      </c>
      <c r="I18" s="523">
        <f t="shared" si="4"/>
        <v>0</v>
      </c>
      <c r="J18" s="526"/>
      <c r="K18" s="526"/>
      <c r="L18" s="526"/>
      <c r="M18" s="526"/>
      <c r="N18" s="526"/>
      <c r="O18" s="526"/>
      <c r="P18" s="526"/>
      <c r="Q18" s="520">
        <f>SUM(Q19:Q21)</f>
        <v>443176.92300000001</v>
      </c>
    </row>
    <row r="19" spans="1:17" ht="14.4">
      <c r="A19" s="489"/>
      <c r="B19" s="527" t="s">
        <v>729</v>
      </c>
      <c r="C19" s="525">
        <v>51508006</v>
      </c>
      <c r="D19" s="525">
        <v>221045.89</v>
      </c>
      <c r="E19" s="525"/>
      <c r="F19" s="525">
        <v>221045.89</v>
      </c>
      <c r="G19" s="525">
        <v>412064</v>
      </c>
      <c r="H19" s="522">
        <v>1.4</v>
      </c>
      <c r="I19" s="523">
        <f t="shared" si="4"/>
        <v>886353.84600000002</v>
      </c>
      <c r="J19" s="526"/>
      <c r="K19" s="526"/>
      <c r="L19" s="526"/>
      <c r="M19" s="526">
        <v>886353.84600000002</v>
      </c>
      <c r="N19" s="526"/>
      <c r="O19" s="526"/>
      <c r="P19" s="526"/>
      <c r="Q19" s="520">
        <f>SUMPRODUCT($J$5:$P$5,J19:P19)</f>
        <v>443176.92300000001</v>
      </c>
    </row>
    <row r="20" spans="1:17" ht="14.4">
      <c r="A20" s="489"/>
      <c r="B20" s="527" t="s">
        <v>730</v>
      </c>
      <c r="C20" s="525"/>
      <c r="D20" s="525"/>
      <c r="E20" s="525"/>
      <c r="F20" s="525"/>
      <c r="G20" s="525"/>
      <c r="H20" s="522">
        <v>1.4</v>
      </c>
      <c r="I20" s="523">
        <f t="shared" si="4"/>
        <v>0</v>
      </c>
      <c r="J20" s="526"/>
      <c r="K20" s="526"/>
      <c r="L20" s="526"/>
      <c r="M20" s="526"/>
      <c r="N20" s="526"/>
      <c r="O20" s="526"/>
      <c r="P20" s="526"/>
      <c r="Q20" s="520">
        <f t="shared" ref="Q20:Q21" si="8">SUMPRODUCT($J$5:$P$5,J20:P20)</f>
        <v>0</v>
      </c>
    </row>
    <row r="21" spans="1:17" ht="14.4">
      <c r="A21" s="489"/>
      <c r="B21" s="527" t="s">
        <v>737</v>
      </c>
      <c r="C21" s="525"/>
      <c r="D21" s="525"/>
      <c r="E21" s="525"/>
      <c r="F21" s="525"/>
      <c r="G21" s="525"/>
      <c r="H21" s="522">
        <v>1.4</v>
      </c>
      <c r="I21" s="523">
        <f t="shared" si="4"/>
        <v>0</v>
      </c>
      <c r="J21" s="526"/>
      <c r="K21" s="526"/>
      <c r="L21" s="526"/>
      <c r="M21" s="526"/>
      <c r="N21" s="526"/>
      <c r="O21" s="526"/>
      <c r="P21" s="526"/>
      <c r="Q21" s="520">
        <f t="shared" si="8"/>
        <v>0</v>
      </c>
    </row>
    <row r="22" spans="1:17" ht="14.4">
      <c r="A22" s="489"/>
      <c r="B22" s="524" t="s">
        <v>734</v>
      </c>
      <c r="C22" s="525"/>
      <c r="D22" s="525"/>
      <c r="E22" s="525"/>
      <c r="F22" s="525"/>
      <c r="G22" s="525"/>
      <c r="H22" s="522">
        <v>1.4</v>
      </c>
      <c r="I22" s="523">
        <f t="shared" si="4"/>
        <v>0</v>
      </c>
      <c r="J22" s="526"/>
      <c r="K22" s="526"/>
      <c r="L22" s="526"/>
      <c r="M22" s="526"/>
      <c r="N22" s="526"/>
      <c r="O22" s="526"/>
      <c r="P22" s="526"/>
      <c r="Q22" s="520">
        <f>SUM(Q23:Q25)</f>
        <v>155204</v>
      </c>
    </row>
    <row r="23" spans="1:17" ht="14.4">
      <c r="A23" s="489"/>
      <c r="B23" s="527" t="s">
        <v>729</v>
      </c>
      <c r="C23" s="525">
        <v>34423009</v>
      </c>
      <c r="D23" s="525">
        <v>-610511.73</v>
      </c>
      <c r="E23" s="525">
        <v>1490900</v>
      </c>
      <c r="F23" s="525">
        <v>0</v>
      </c>
      <c r="G23" s="525">
        <v>110860</v>
      </c>
      <c r="H23" s="522">
        <v>1.4</v>
      </c>
      <c r="I23" s="523">
        <f t="shared" si="4"/>
        <v>155204</v>
      </c>
      <c r="J23" s="526"/>
      <c r="K23" s="526"/>
      <c r="L23" s="526"/>
      <c r="M23" s="526"/>
      <c r="N23" s="526"/>
      <c r="O23" s="526">
        <v>155204</v>
      </c>
      <c r="P23" s="526"/>
      <c r="Q23" s="520">
        <f>SUMPRODUCT($J$5:$P$5,J23:P23)</f>
        <v>155204</v>
      </c>
    </row>
    <row r="24" spans="1:17" ht="14.4">
      <c r="A24" s="489"/>
      <c r="B24" s="527" t="s">
        <v>730</v>
      </c>
      <c r="C24" s="525"/>
      <c r="D24" s="525"/>
      <c r="E24" s="525"/>
      <c r="F24" s="525"/>
      <c r="G24" s="525"/>
      <c r="H24" s="522">
        <v>1.4</v>
      </c>
      <c r="I24" s="523">
        <f t="shared" si="4"/>
        <v>0</v>
      </c>
      <c r="J24" s="526"/>
      <c r="K24" s="526"/>
      <c r="L24" s="526"/>
      <c r="M24" s="526"/>
      <c r="N24" s="526"/>
      <c r="O24" s="526"/>
      <c r="P24" s="526"/>
      <c r="Q24" s="520">
        <f t="shared" ref="Q24:Q25" si="9">SUMPRODUCT($J$5:$P$5,J24:P24)</f>
        <v>0</v>
      </c>
    </row>
    <row r="25" spans="1:17" ht="14.4">
      <c r="A25" s="489"/>
      <c r="B25" s="527" t="s">
        <v>737</v>
      </c>
      <c r="C25" s="525"/>
      <c r="D25" s="525"/>
      <c r="E25" s="525"/>
      <c r="F25" s="525"/>
      <c r="G25" s="525"/>
      <c r="H25" s="522">
        <v>1.4</v>
      </c>
      <c r="I25" s="523">
        <f t="shared" si="4"/>
        <v>0</v>
      </c>
      <c r="J25" s="526"/>
      <c r="K25" s="526"/>
      <c r="L25" s="526"/>
      <c r="M25" s="526"/>
      <c r="N25" s="526"/>
      <c r="O25" s="526"/>
      <c r="P25" s="526"/>
      <c r="Q25" s="520">
        <f t="shared" si="9"/>
        <v>0</v>
      </c>
    </row>
    <row r="26" spans="1:17" ht="14.4">
      <c r="A26" s="489"/>
      <c r="B26" s="524" t="s">
        <v>735</v>
      </c>
      <c r="C26" s="525"/>
      <c r="D26" s="525"/>
      <c r="E26" s="525"/>
      <c r="F26" s="525"/>
      <c r="G26" s="525"/>
      <c r="H26" s="522">
        <v>1.4</v>
      </c>
      <c r="I26" s="523">
        <f t="shared" si="4"/>
        <v>0</v>
      </c>
      <c r="J26" s="526"/>
      <c r="K26" s="526"/>
      <c r="L26" s="526"/>
      <c r="M26" s="526"/>
      <c r="N26" s="526"/>
      <c r="O26" s="526"/>
      <c r="P26" s="526"/>
      <c r="Q26" s="520">
        <f>SUM(Q27:Q29)</f>
        <v>12983.599999999999</v>
      </c>
    </row>
    <row r="27" spans="1:17" ht="14.4">
      <c r="A27" s="489"/>
      <c r="B27" s="527" t="s">
        <v>729</v>
      </c>
      <c r="C27" s="525">
        <v>8301900</v>
      </c>
      <c r="D27" s="525">
        <v>261407.28</v>
      </c>
      <c r="E27" s="525">
        <v>8301900</v>
      </c>
      <c r="F27" s="525">
        <v>0</v>
      </c>
      <c r="G27" s="525">
        <v>9274</v>
      </c>
      <c r="H27" s="522">
        <v>1.4</v>
      </c>
      <c r="I27" s="523">
        <f t="shared" si="4"/>
        <v>12983.599999999999</v>
      </c>
      <c r="J27" s="526"/>
      <c r="K27" s="526"/>
      <c r="L27" s="526"/>
      <c r="M27" s="526"/>
      <c r="N27" s="526"/>
      <c r="O27" s="526">
        <v>12983.599999999999</v>
      </c>
      <c r="P27" s="526"/>
      <c r="Q27" s="520">
        <f>SUMPRODUCT($J$5:$P$5,J27:P27)</f>
        <v>12983.599999999999</v>
      </c>
    </row>
    <row r="28" spans="1:17" ht="14.4">
      <c r="A28" s="489"/>
      <c r="B28" s="527" t="s">
        <v>730</v>
      </c>
      <c r="C28" s="525"/>
      <c r="D28" s="525"/>
      <c r="E28" s="525"/>
      <c r="F28" s="525"/>
      <c r="G28" s="525"/>
      <c r="H28" s="522">
        <v>1.4</v>
      </c>
      <c r="I28" s="523">
        <f t="shared" si="4"/>
        <v>0</v>
      </c>
      <c r="J28" s="526"/>
      <c r="K28" s="526"/>
      <c r="L28" s="526"/>
      <c r="M28" s="526"/>
      <c r="N28" s="526"/>
      <c r="O28" s="526"/>
      <c r="P28" s="526"/>
      <c r="Q28" s="520">
        <f t="shared" ref="Q28:Q29" si="10">SUMPRODUCT($J$5:$P$5,J28:P28)</f>
        <v>0</v>
      </c>
    </row>
    <row r="29" spans="1:17" ht="14.4">
      <c r="A29" s="489"/>
      <c r="B29" s="527" t="s">
        <v>737</v>
      </c>
      <c r="C29" s="525"/>
      <c r="D29" s="525"/>
      <c r="E29" s="525"/>
      <c r="F29" s="525"/>
      <c r="G29" s="525"/>
      <c r="H29" s="522">
        <v>1.4</v>
      </c>
      <c r="I29" s="523">
        <f t="shared" si="4"/>
        <v>0</v>
      </c>
      <c r="J29" s="526"/>
      <c r="K29" s="526"/>
      <c r="L29" s="526"/>
      <c r="M29" s="526"/>
      <c r="N29" s="526"/>
      <c r="O29" s="526"/>
      <c r="P29" s="526"/>
      <c r="Q29" s="520">
        <f t="shared" si="10"/>
        <v>0</v>
      </c>
    </row>
    <row r="30" spans="1:17" ht="14.4">
      <c r="A30" s="489"/>
      <c r="B30" s="528" t="s">
        <v>736</v>
      </c>
      <c r="C30" s="525"/>
      <c r="D30" s="525"/>
      <c r="E30" s="525"/>
      <c r="F30" s="525"/>
      <c r="G30" s="525"/>
      <c r="H30" s="522">
        <v>1.4</v>
      </c>
      <c r="I30" s="523">
        <f t="shared" si="4"/>
        <v>0</v>
      </c>
      <c r="J30" s="526"/>
      <c r="K30" s="526"/>
      <c r="L30" s="526"/>
      <c r="M30" s="526"/>
      <c r="N30" s="526"/>
      <c r="O30" s="526"/>
      <c r="P30" s="526"/>
      <c r="Q30" s="520">
        <f>SUM(Q31:Q33)</f>
        <v>0</v>
      </c>
    </row>
    <row r="31" spans="1:17" ht="14.4">
      <c r="A31" s="489"/>
      <c r="B31" s="527" t="s">
        <v>729</v>
      </c>
      <c r="C31" s="525"/>
      <c r="D31" s="525"/>
      <c r="E31" s="525"/>
      <c r="F31" s="525"/>
      <c r="G31" s="525"/>
      <c r="H31" s="522">
        <v>1.4</v>
      </c>
      <c r="I31" s="523">
        <f t="shared" si="4"/>
        <v>0</v>
      </c>
      <c r="J31" s="526"/>
      <c r="K31" s="526"/>
      <c r="L31" s="526"/>
      <c r="M31" s="526"/>
      <c r="N31" s="526"/>
      <c r="O31" s="526"/>
      <c r="P31" s="526"/>
      <c r="Q31" s="520">
        <f>SUMPRODUCT($J$5:$P$5,J31:P31)</f>
        <v>0</v>
      </c>
    </row>
    <row r="32" spans="1:17" ht="14.4">
      <c r="A32" s="489"/>
      <c r="B32" s="527" t="s">
        <v>730</v>
      </c>
      <c r="C32" s="525"/>
      <c r="D32" s="525"/>
      <c r="E32" s="525"/>
      <c r="F32" s="525"/>
      <c r="G32" s="525"/>
      <c r="H32" s="522">
        <v>1.4</v>
      </c>
      <c r="I32" s="523">
        <f t="shared" si="4"/>
        <v>0</v>
      </c>
      <c r="J32" s="526"/>
      <c r="K32" s="526"/>
      <c r="L32" s="526"/>
      <c r="M32" s="526"/>
      <c r="N32" s="526"/>
      <c r="O32" s="526"/>
      <c r="P32" s="526"/>
      <c r="Q32" s="520">
        <f t="shared" ref="Q32:Q33" si="11">SUMPRODUCT($J$5:$P$5,J32:P32)</f>
        <v>0</v>
      </c>
    </row>
    <row r="33" spans="1:17" ht="14.4">
      <c r="A33" s="489"/>
      <c r="B33" s="527" t="s">
        <v>737</v>
      </c>
      <c r="C33" s="525"/>
      <c r="D33" s="525"/>
      <c r="E33" s="525"/>
      <c r="F33" s="525"/>
      <c r="G33" s="525"/>
      <c r="H33" s="522">
        <v>1.4</v>
      </c>
      <c r="I33" s="523">
        <f t="shared" si="4"/>
        <v>0</v>
      </c>
      <c r="J33" s="526"/>
      <c r="K33" s="526"/>
      <c r="L33" s="526"/>
      <c r="M33" s="526"/>
      <c r="N33" s="526"/>
      <c r="O33" s="526"/>
      <c r="P33" s="526"/>
      <c r="Q33" s="520">
        <f t="shared" si="11"/>
        <v>0</v>
      </c>
    </row>
    <row r="34" spans="1:17" ht="14.4">
      <c r="A34" s="489"/>
      <c r="B34" s="529" t="s">
        <v>64</v>
      </c>
      <c r="C34" s="530">
        <f>C6</f>
        <v>94232915</v>
      </c>
      <c r="D34" s="530">
        <f t="shared" ref="D34:G34" si="12">D6</f>
        <v>0</v>
      </c>
      <c r="E34" s="530">
        <f t="shared" si="12"/>
        <v>9792800</v>
      </c>
      <c r="F34" s="530">
        <f t="shared" si="12"/>
        <v>221045.89</v>
      </c>
      <c r="G34" s="530">
        <f t="shared" si="12"/>
        <v>532198</v>
      </c>
      <c r="H34" s="522">
        <v>1.4</v>
      </c>
      <c r="I34" s="523">
        <f>(F34+G34)*H34</f>
        <v>1054541.446</v>
      </c>
      <c r="J34" s="530">
        <f t="shared" ref="J34:Q34" si="13">J6</f>
        <v>0</v>
      </c>
      <c r="K34" s="530">
        <f t="shared" si="13"/>
        <v>0</v>
      </c>
      <c r="L34" s="530">
        <f t="shared" si="13"/>
        <v>0</v>
      </c>
      <c r="M34" s="530">
        <f t="shared" si="13"/>
        <v>886353.84600000002</v>
      </c>
      <c r="N34" s="530">
        <f t="shared" si="13"/>
        <v>0</v>
      </c>
      <c r="O34" s="530">
        <f t="shared" si="13"/>
        <v>168187.6</v>
      </c>
      <c r="P34" s="530">
        <f t="shared" si="13"/>
        <v>0</v>
      </c>
      <c r="Q34" s="530">
        <f t="shared" si="13"/>
        <v>611364.52299999993</v>
      </c>
    </row>
    <row r="36" spans="1:17">
      <c r="C36" s="624"/>
      <c r="D36" s="624"/>
      <c r="E36" s="624"/>
      <c r="F36" s="624"/>
      <c r="G36" s="624"/>
      <c r="H36" s="624"/>
      <c r="I36" s="624"/>
      <c r="J36" s="624"/>
      <c r="K36" s="624"/>
      <c r="L36" s="624"/>
      <c r="M36" s="624"/>
      <c r="N36" s="624"/>
      <c r="O36" s="624"/>
      <c r="P36" s="624"/>
      <c r="Q36" s="624"/>
    </row>
    <row r="37" spans="1:17">
      <c r="C37" s="624"/>
      <c r="D37" s="624"/>
      <c r="E37" s="624"/>
      <c r="F37" s="624"/>
      <c r="G37" s="624"/>
      <c r="H37" s="624"/>
      <c r="I37" s="624"/>
      <c r="J37" s="624"/>
      <c r="K37" s="624"/>
      <c r="L37" s="624"/>
      <c r="M37" s="624"/>
      <c r="N37" s="624"/>
      <c r="O37" s="624"/>
      <c r="P37" s="624"/>
      <c r="Q37" s="624"/>
    </row>
    <row r="38" spans="1:17">
      <c r="C38" s="624"/>
      <c r="D38" s="624"/>
      <c r="E38" s="624"/>
      <c r="F38" s="624"/>
      <c r="G38" s="624"/>
      <c r="H38" s="624"/>
      <c r="I38" s="624"/>
      <c r="J38" s="624"/>
      <c r="K38" s="624"/>
      <c r="L38" s="624"/>
      <c r="M38" s="624"/>
      <c r="N38" s="624"/>
      <c r="O38" s="624"/>
      <c r="P38" s="624"/>
      <c r="Q38" s="624"/>
    </row>
    <row r="39" spans="1:17">
      <c r="C39" s="624"/>
      <c r="D39" s="624"/>
      <c r="E39" s="624"/>
      <c r="F39" s="624"/>
      <c r="G39" s="624"/>
      <c r="H39" s="624"/>
      <c r="I39" s="624"/>
      <c r="J39" s="624"/>
      <c r="K39" s="624"/>
      <c r="L39" s="624"/>
      <c r="M39" s="624"/>
      <c r="N39" s="624"/>
      <c r="O39" s="624"/>
      <c r="P39" s="624"/>
      <c r="Q39" s="624"/>
    </row>
    <row r="40" spans="1:17">
      <c r="C40" s="624"/>
      <c r="D40" s="624"/>
      <c r="E40" s="624"/>
      <c r="F40" s="624"/>
      <c r="G40" s="624"/>
      <c r="H40" s="624"/>
      <c r="I40" s="624"/>
      <c r="J40" s="624"/>
      <c r="K40" s="624"/>
      <c r="L40" s="624"/>
      <c r="M40" s="624"/>
      <c r="N40" s="624"/>
      <c r="O40" s="624"/>
      <c r="P40" s="624"/>
      <c r="Q40" s="624"/>
    </row>
    <row r="41" spans="1:17">
      <c r="C41" s="624"/>
      <c r="D41" s="624"/>
      <c r="E41" s="624"/>
      <c r="F41" s="624"/>
      <c r="G41" s="624"/>
      <c r="H41" s="624"/>
      <c r="I41" s="624"/>
      <c r="J41" s="624"/>
      <c r="K41" s="624"/>
      <c r="L41" s="624"/>
      <c r="M41" s="624"/>
      <c r="N41" s="624"/>
      <c r="O41" s="624"/>
      <c r="P41" s="624"/>
      <c r="Q41" s="624"/>
    </row>
    <row r="42" spans="1:17">
      <c r="C42" s="624"/>
      <c r="D42" s="624"/>
      <c r="E42" s="624"/>
      <c r="F42" s="624"/>
      <c r="G42" s="624"/>
      <c r="H42" s="624"/>
      <c r="I42" s="624"/>
      <c r="J42" s="624"/>
      <c r="K42" s="624"/>
      <c r="L42" s="624"/>
      <c r="M42" s="624"/>
      <c r="N42" s="624"/>
      <c r="O42" s="624"/>
      <c r="P42" s="624"/>
      <c r="Q42" s="624"/>
    </row>
    <row r="43" spans="1:17">
      <c r="C43" s="624"/>
      <c r="D43" s="624"/>
      <c r="E43" s="624"/>
      <c r="F43" s="624"/>
      <c r="G43" s="624"/>
      <c r="H43" s="624"/>
      <c r="I43" s="624"/>
      <c r="J43" s="624"/>
      <c r="K43" s="624"/>
      <c r="L43" s="624"/>
      <c r="M43" s="624"/>
      <c r="N43" s="624"/>
      <c r="O43" s="624"/>
      <c r="P43" s="624"/>
      <c r="Q43" s="624"/>
    </row>
    <row r="44" spans="1:17">
      <c r="C44" s="624"/>
      <c r="D44" s="624"/>
      <c r="E44" s="624"/>
      <c r="F44" s="624"/>
      <c r="G44" s="624"/>
      <c r="H44" s="624"/>
      <c r="I44" s="624"/>
      <c r="J44" s="624"/>
      <c r="K44" s="624"/>
      <c r="L44" s="624"/>
      <c r="M44" s="624"/>
      <c r="N44" s="624"/>
      <c r="O44" s="624"/>
      <c r="P44" s="624"/>
      <c r="Q44" s="624"/>
    </row>
    <row r="45" spans="1:17">
      <c r="C45" s="624"/>
      <c r="D45" s="624"/>
      <c r="E45" s="624"/>
      <c r="F45" s="624"/>
      <c r="G45" s="624"/>
      <c r="H45" s="624"/>
      <c r="I45" s="624"/>
      <c r="J45" s="624"/>
      <c r="K45" s="624"/>
      <c r="L45" s="624"/>
      <c r="M45" s="624"/>
      <c r="N45" s="624"/>
      <c r="O45" s="624"/>
      <c r="P45" s="624"/>
      <c r="Q45" s="624"/>
    </row>
    <row r="46" spans="1:17">
      <c r="C46" s="624"/>
      <c r="D46" s="624"/>
      <c r="E46" s="624"/>
      <c r="F46" s="624"/>
      <c r="G46" s="624"/>
      <c r="H46" s="624"/>
      <c r="I46" s="624"/>
      <c r="J46" s="624"/>
      <c r="K46" s="624"/>
      <c r="L46" s="624"/>
      <c r="M46" s="624"/>
      <c r="N46" s="624"/>
      <c r="O46" s="624"/>
      <c r="P46" s="624"/>
      <c r="Q46" s="624"/>
    </row>
    <row r="47" spans="1:17">
      <c r="C47" s="624"/>
      <c r="D47" s="624"/>
      <c r="E47" s="624"/>
      <c r="F47" s="624"/>
      <c r="G47" s="624"/>
      <c r="H47" s="624"/>
      <c r="I47" s="624"/>
      <c r="J47" s="624"/>
      <c r="K47" s="624"/>
      <c r="L47" s="624"/>
      <c r="M47" s="624"/>
      <c r="N47" s="624"/>
      <c r="O47" s="624"/>
      <c r="P47" s="624"/>
      <c r="Q47" s="624"/>
    </row>
    <row r="48" spans="1:17">
      <c r="C48" s="624"/>
      <c r="D48" s="624"/>
      <c r="E48" s="624"/>
      <c r="F48" s="624"/>
      <c r="G48" s="624"/>
      <c r="H48" s="624"/>
      <c r="I48" s="624"/>
      <c r="J48" s="624"/>
      <c r="K48" s="624"/>
      <c r="L48" s="624"/>
      <c r="M48" s="624"/>
      <c r="N48" s="624"/>
      <c r="O48" s="624"/>
      <c r="P48" s="624"/>
      <c r="Q48" s="624"/>
    </row>
    <row r="49" spans="3:17">
      <c r="C49" s="624"/>
      <c r="D49" s="624"/>
      <c r="E49" s="624"/>
      <c r="F49" s="624"/>
      <c r="G49" s="624"/>
      <c r="H49" s="624"/>
      <c r="I49" s="624"/>
      <c r="J49" s="624"/>
      <c r="K49" s="624"/>
      <c r="L49" s="624"/>
      <c r="M49" s="624"/>
      <c r="N49" s="624"/>
      <c r="O49" s="624"/>
      <c r="P49" s="624"/>
      <c r="Q49" s="624"/>
    </row>
    <row r="50" spans="3:17">
      <c r="C50" s="624"/>
      <c r="D50" s="624"/>
      <c r="E50" s="624"/>
      <c r="F50" s="624"/>
      <c r="G50" s="624"/>
      <c r="H50" s="624"/>
      <c r="I50" s="624"/>
      <c r="J50" s="624"/>
      <c r="K50" s="624"/>
      <c r="L50" s="624"/>
      <c r="M50" s="624"/>
      <c r="N50" s="624"/>
      <c r="O50" s="624"/>
      <c r="P50" s="624"/>
      <c r="Q50" s="624"/>
    </row>
    <row r="51" spans="3:17">
      <c r="C51" s="624"/>
      <c r="D51" s="624"/>
      <c r="E51" s="624"/>
      <c r="F51" s="624"/>
      <c r="G51" s="624"/>
      <c r="H51" s="624"/>
      <c r="I51" s="624"/>
      <c r="J51" s="624"/>
      <c r="K51" s="624"/>
      <c r="L51" s="624"/>
      <c r="M51" s="624"/>
      <c r="N51" s="624"/>
      <c r="O51" s="624"/>
      <c r="P51" s="624"/>
      <c r="Q51" s="624"/>
    </row>
    <row r="52" spans="3:17">
      <c r="C52" s="624"/>
      <c r="D52" s="624"/>
      <c r="E52" s="624"/>
      <c r="F52" s="624"/>
      <c r="G52" s="624"/>
      <c r="H52" s="624"/>
      <c r="I52" s="624"/>
      <c r="J52" s="624"/>
      <c r="K52" s="624"/>
      <c r="L52" s="624"/>
      <c r="M52" s="624"/>
      <c r="N52" s="624"/>
      <c r="O52" s="624"/>
      <c r="P52" s="624"/>
      <c r="Q52" s="624"/>
    </row>
    <row r="53" spans="3:17">
      <c r="C53" s="624"/>
      <c r="D53" s="624"/>
      <c r="E53" s="624"/>
      <c r="F53" s="624"/>
      <c r="G53" s="624"/>
      <c r="H53" s="624"/>
      <c r="I53" s="624"/>
      <c r="J53" s="624"/>
      <c r="K53" s="624"/>
      <c r="L53" s="624"/>
      <c r="M53" s="624"/>
      <c r="N53" s="624"/>
      <c r="O53" s="624"/>
      <c r="P53" s="624"/>
      <c r="Q53" s="624"/>
    </row>
    <row r="54" spans="3:17">
      <c r="C54" s="624"/>
      <c r="D54" s="624"/>
      <c r="E54" s="624"/>
      <c r="F54" s="624"/>
      <c r="G54" s="624"/>
      <c r="H54" s="624"/>
      <c r="I54" s="624"/>
      <c r="J54" s="624"/>
      <c r="K54" s="624"/>
      <c r="L54" s="624"/>
      <c r="M54" s="624"/>
      <c r="N54" s="624"/>
      <c r="O54" s="624"/>
      <c r="P54" s="624"/>
      <c r="Q54" s="624"/>
    </row>
    <row r="55" spans="3:17">
      <c r="C55" s="624"/>
      <c r="D55" s="624"/>
      <c r="E55" s="624"/>
      <c r="F55" s="624"/>
      <c r="G55" s="624"/>
      <c r="H55" s="624"/>
      <c r="I55" s="624"/>
      <c r="J55" s="624"/>
      <c r="K55" s="624"/>
      <c r="L55" s="624"/>
      <c r="M55" s="624"/>
      <c r="N55" s="624"/>
      <c r="O55" s="624"/>
      <c r="P55" s="624"/>
      <c r="Q55" s="624"/>
    </row>
    <row r="56" spans="3:17">
      <c r="C56" s="624"/>
      <c r="D56" s="624"/>
      <c r="E56" s="624"/>
      <c r="F56" s="624"/>
      <c r="G56" s="624"/>
      <c r="H56" s="624"/>
      <c r="I56" s="624"/>
      <c r="J56" s="624"/>
      <c r="K56" s="624"/>
      <c r="L56" s="624"/>
      <c r="M56" s="624"/>
      <c r="N56" s="624"/>
      <c r="O56" s="624"/>
      <c r="P56" s="624"/>
      <c r="Q56" s="624"/>
    </row>
    <row r="57" spans="3:17">
      <c r="C57" s="624"/>
      <c r="D57" s="624"/>
      <c r="E57" s="624"/>
      <c r="F57" s="624"/>
      <c r="G57" s="624"/>
      <c r="H57" s="624"/>
      <c r="I57" s="624"/>
      <c r="J57" s="624"/>
      <c r="K57" s="624"/>
      <c r="L57" s="624"/>
      <c r="M57" s="624"/>
      <c r="N57" s="624"/>
      <c r="O57" s="624"/>
      <c r="P57" s="624"/>
      <c r="Q57" s="624"/>
    </row>
    <row r="58" spans="3:17">
      <c r="C58" s="624"/>
      <c r="D58" s="624"/>
      <c r="E58" s="624"/>
      <c r="F58" s="624"/>
      <c r="G58" s="624"/>
      <c r="H58" s="624"/>
      <c r="I58" s="624"/>
      <c r="J58" s="624"/>
      <c r="K58" s="624"/>
      <c r="L58" s="624"/>
      <c r="M58" s="624"/>
      <c r="N58" s="624"/>
      <c r="O58" s="624"/>
      <c r="P58" s="624"/>
      <c r="Q58" s="624"/>
    </row>
    <row r="59" spans="3:17">
      <c r="C59" s="624"/>
      <c r="D59" s="624"/>
      <c r="E59" s="624"/>
      <c r="F59" s="624"/>
      <c r="G59" s="624"/>
      <c r="H59" s="624"/>
      <c r="I59" s="624"/>
      <c r="J59" s="624"/>
      <c r="K59" s="624"/>
      <c r="L59" s="624"/>
      <c r="M59" s="624"/>
      <c r="N59" s="624"/>
      <c r="O59" s="624"/>
      <c r="P59" s="624"/>
      <c r="Q59" s="624"/>
    </row>
    <row r="60" spans="3:17">
      <c r="C60" s="624"/>
      <c r="D60" s="624"/>
      <c r="E60" s="624"/>
      <c r="F60" s="624"/>
      <c r="G60" s="624"/>
      <c r="H60" s="624"/>
      <c r="I60" s="624"/>
      <c r="J60" s="624"/>
      <c r="K60" s="624"/>
      <c r="L60" s="624"/>
      <c r="M60" s="624"/>
      <c r="N60" s="624"/>
      <c r="O60" s="624"/>
      <c r="P60" s="624"/>
      <c r="Q60" s="624"/>
    </row>
    <row r="61" spans="3:17">
      <c r="C61" s="624"/>
      <c r="D61" s="624"/>
      <c r="E61" s="624"/>
      <c r="F61" s="624"/>
      <c r="G61" s="624"/>
      <c r="H61" s="624"/>
      <c r="I61" s="624"/>
      <c r="J61" s="624"/>
      <c r="K61" s="624"/>
      <c r="L61" s="624"/>
      <c r="M61" s="624"/>
      <c r="N61" s="624"/>
      <c r="O61" s="624"/>
      <c r="P61" s="624"/>
      <c r="Q61" s="624"/>
    </row>
    <row r="62" spans="3:17">
      <c r="C62" s="624"/>
      <c r="D62" s="624"/>
      <c r="E62" s="624"/>
      <c r="F62" s="624"/>
      <c r="G62" s="624"/>
      <c r="H62" s="624"/>
      <c r="I62" s="624"/>
      <c r="J62" s="624"/>
      <c r="K62" s="624"/>
      <c r="L62" s="624"/>
      <c r="M62" s="624"/>
      <c r="N62" s="624"/>
      <c r="O62" s="624"/>
      <c r="P62" s="624"/>
      <c r="Q62" s="624"/>
    </row>
    <row r="63" spans="3:17">
      <c r="C63" s="624"/>
      <c r="D63" s="624"/>
      <c r="E63" s="624"/>
      <c r="F63" s="624"/>
      <c r="G63" s="624"/>
      <c r="H63" s="624"/>
      <c r="I63" s="624"/>
      <c r="J63" s="624"/>
      <c r="K63" s="624"/>
      <c r="L63" s="624"/>
      <c r="M63" s="624"/>
      <c r="N63" s="624"/>
      <c r="O63" s="624"/>
      <c r="P63" s="624"/>
      <c r="Q63" s="624"/>
    </row>
    <row r="64" spans="3:17">
      <c r="C64" s="624"/>
      <c r="D64" s="624"/>
      <c r="E64" s="624"/>
      <c r="F64" s="624"/>
      <c r="G64" s="624"/>
      <c r="H64" s="624"/>
      <c r="I64" s="624"/>
      <c r="J64" s="624"/>
      <c r="K64" s="624"/>
      <c r="L64" s="624"/>
      <c r="M64" s="624"/>
      <c r="N64" s="624"/>
      <c r="O64" s="624"/>
      <c r="P64" s="624"/>
      <c r="Q64" s="624"/>
    </row>
    <row r="65" spans="3:3">
      <c r="C65" s="624"/>
    </row>
    <row r="66" spans="3:3">
      <c r="C66" s="624"/>
    </row>
    <row r="67" spans="3:3">
      <c r="C67" s="624"/>
    </row>
    <row r="68" spans="3:3">
      <c r="C68" s="624"/>
    </row>
    <row r="69" spans="3:3">
      <c r="C69" s="624"/>
    </row>
    <row r="70" spans="3:3">
      <c r="C70" s="624"/>
    </row>
    <row r="71" spans="3:3">
      <c r="C71" s="624"/>
    </row>
    <row r="72" spans="3:3">
      <c r="C72" s="624"/>
    </row>
    <row r="73" spans="3:3">
      <c r="C73" s="624"/>
    </row>
    <row r="74" spans="3:3">
      <c r="C74" s="624"/>
    </row>
    <row r="75" spans="3:3">
      <c r="C75" s="624"/>
    </row>
    <row r="76" spans="3:3">
      <c r="C76" s="624"/>
    </row>
    <row r="77" spans="3:3">
      <c r="C77" s="624"/>
    </row>
    <row r="78" spans="3:3">
      <c r="C78" s="624"/>
    </row>
    <row r="79" spans="3:3">
      <c r="C79" s="624"/>
    </row>
    <row r="80" spans="3:3">
      <c r="C80" s="624"/>
    </row>
    <row r="81" spans="3:3">
      <c r="C81" s="624"/>
    </row>
    <row r="82" spans="3:3">
      <c r="C82" s="624"/>
    </row>
    <row r="83" spans="3:3">
      <c r="C83" s="624"/>
    </row>
    <row r="84" spans="3:3">
      <c r="C84" s="624"/>
    </row>
    <row r="85" spans="3:3">
      <c r="C85" s="624"/>
    </row>
    <row r="86" spans="3:3">
      <c r="C86" s="624"/>
    </row>
  </sheetData>
  <conditionalFormatting sqref="I7:I34">
    <cfRule type="expression" dxfId="18" priority="1">
      <formula>(C7*#REF!)&lt;&gt;SUM(#REF!)</formula>
    </cfRule>
  </conditionalFormatting>
  <pageMargins left="0.7" right="0.7" top="0.75" bottom="0.75" header="0.3" footer="0.3"/>
  <pageSetup paperSize="9" orientation="portrait" r:id="rId1"/>
  <headerFooter>
    <oddFooter>&amp;C_x000D_&amp;1#&amp;"Calibri"&amp;10&amp;K000000 C1 - FOR INTERNAL USE ONLY</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E2" sqref="E2"/>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13">
      <c r="A1" s="2" t="s">
        <v>30</v>
      </c>
      <c r="B1" s="3" t="str">
        <f>'Info '!C2</f>
        <v xml:space="preserve">PASHA Bank Georgia JSC </v>
      </c>
    </row>
    <row r="2" spans="1:13">
      <c r="A2" s="2" t="s">
        <v>31</v>
      </c>
      <c r="B2" s="269">
        <v>45747</v>
      </c>
    </row>
    <row r="3" spans="1:13" ht="14.4" thickBot="1">
      <c r="A3" s="2"/>
    </row>
    <row r="4" spans="1:13" ht="15" customHeight="1" thickBot="1">
      <c r="A4" s="6" t="s">
        <v>93</v>
      </c>
      <c r="B4" s="7" t="s">
        <v>92</v>
      </c>
      <c r="C4" s="7"/>
      <c r="D4" s="697" t="s">
        <v>664</v>
      </c>
      <c r="E4" s="698"/>
      <c r="F4" s="698"/>
      <c r="G4" s="699"/>
    </row>
    <row r="5" spans="1:13">
      <c r="A5" s="8" t="s">
        <v>6</v>
      </c>
      <c r="B5" s="9"/>
      <c r="C5" s="267" t="str">
        <f>INT((MONTH($B$2))/3)&amp;"Q"&amp;"-"&amp;YEAR($B$2)</f>
        <v>1Q-2025</v>
      </c>
      <c r="D5" s="267" t="str">
        <f>IF(INT(MONTH($B$2))=3, "4"&amp;"Q"&amp;"-"&amp;YEAR($B$2)-1, IF(INT(MONTH($B$2))=6, "1"&amp;"Q"&amp;"-"&amp;YEAR($B$2), IF(INT(MONTH($B$2))=9, "2"&amp;"Q"&amp;"-"&amp;YEAR($B$2),IF(INT(MONTH($B$2))=12, "3"&amp;"Q"&amp;"-"&amp;YEAR($B$2), 0))))</f>
        <v>4Q-2024</v>
      </c>
      <c r="E5" s="267" t="str">
        <f>IF(INT(MONTH($B$2))=3, "3"&amp;"Q"&amp;"-"&amp;YEAR($B$2)-1, IF(INT(MONTH($B$2))=6, "4"&amp;"Q"&amp;"-"&amp;YEAR($B$2)-1, IF(INT(MONTH($B$2))=9, "1"&amp;"Q"&amp;"-"&amp;YEAR($B$2),IF(INT(MONTH($B$2))=12, "2"&amp;"Q"&amp;"-"&amp;YEAR($B$2), 0))))</f>
        <v>3Q-2024</v>
      </c>
      <c r="F5" s="267" t="str">
        <f>IF(INT(MONTH($B$2))=3, "2"&amp;"Q"&amp;"-"&amp;YEAR($B$2)-1, IF(INT(MONTH($B$2))=6, "3"&amp;"Q"&amp;"-"&amp;YEAR($B$2)-1, IF(INT(MONTH($B$2))=9, "4"&amp;"Q"&amp;"-"&amp;YEAR($B$2)-1,IF(INT(MONTH($B$2))=12, "1"&amp;"Q"&amp;"-"&amp;YEAR($B$2), 0))))</f>
        <v>2Q-2024</v>
      </c>
      <c r="G5" s="268" t="str">
        <f>IF(INT(MONTH($B$2))=3, "1"&amp;"Q"&amp;"-"&amp;YEAR($B$2)-1, IF(INT(MONTH($B$2))=6, "2"&amp;"Q"&amp;"-"&amp;YEAR($B$2)-1, IF(INT(MONTH($B$2))=9, "3"&amp;"Q"&amp;"-"&amp;YEAR($B$2)-1,IF(INT(MONTH($B$2))=12, "4"&amp;"Q"&amp;"-"&amp;YEAR($B$2)-1, 0))))</f>
        <v>1Q-2024</v>
      </c>
    </row>
    <row r="6" spans="1:13">
      <c r="B6" s="115" t="s">
        <v>91</v>
      </c>
      <c r="C6" s="270"/>
      <c r="D6" s="270"/>
      <c r="E6" s="270"/>
      <c r="F6" s="270"/>
      <c r="G6" s="271"/>
    </row>
    <row r="7" spans="1:13">
      <c r="A7" s="10"/>
      <c r="B7" s="116" t="s">
        <v>89</v>
      </c>
      <c r="C7" s="270"/>
      <c r="D7" s="270"/>
      <c r="E7" s="270"/>
      <c r="F7" s="270"/>
      <c r="G7" s="271"/>
    </row>
    <row r="8" spans="1:13">
      <c r="A8" s="8">
        <v>1</v>
      </c>
      <c r="B8" s="11" t="s">
        <v>327</v>
      </c>
      <c r="C8" s="557">
        <v>114576078.96000001</v>
      </c>
      <c r="D8" s="557">
        <v>115092463.53</v>
      </c>
      <c r="E8" s="557">
        <v>113245384</v>
      </c>
      <c r="F8" s="557">
        <v>109139841.13</v>
      </c>
      <c r="G8" s="557">
        <v>107195535.98999999</v>
      </c>
      <c r="H8" s="586"/>
      <c r="I8" s="586"/>
      <c r="J8" s="586"/>
      <c r="K8" s="586"/>
      <c r="L8" s="586"/>
      <c r="M8" s="585"/>
    </row>
    <row r="9" spans="1:13">
      <c r="A9" s="8">
        <v>2</v>
      </c>
      <c r="B9" s="11" t="s">
        <v>328</v>
      </c>
      <c r="C9" s="557">
        <v>114576078.96000001</v>
      </c>
      <c r="D9" s="557">
        <v>115092463.53</v>
      </c>
      <c r="E9" s="557">
        <v>113245384</v>
      </c>
      <c r="F9" s="557">
        <v>109139841.13</v>
      </c>
      <c r="G9" s="557">
        <v>107195535.98999999</v>
      </c>
      <c r="H9" s="586"/>
      <c r="I9" s="586"/>
      <c r="J9" s="586"/>
      <c r="K9" s="586"/>
      <c r="L9" s="586"/>
    </row>
    <row r="10" spans="1:13">
      <c r="A10" s="8">
        <v>3</v>
      </c>
      <c r="B10" s="11" t="s">
        <v>142</v>
      </c>
      <c r="C10" s="557">
        <v>146400028.96000001</v>
      </c>
      <c r="D10" s="557">
        <v>147370663.53</v>
      </c>
      <c r="E10" s="557">
        <v>133716639.09549999</v>
      </c>
      <c r="F10" s="557">
        <v>130214052.25</v>
      </c>
      <c r="G10" s="557">
        <v>123365859.92209199</v>
      </c>
      <c r="H10" s="586"/>
      <c r="I10" s="586"/>
      <c r="J10" s="586"/>
      <c r="K10" s="586"/>
      <c r="L10" s="586"/>
    </row>
    <row r="11" spans="1:13">
      <c r="A11" s="8">
        <v>4</v>
      </c>
      <c r="B11" s="11" t="s">
        <v>330</v>
      </c>
      <c r="C11" s="557">
        <v>93003478.205027804</v>
      </c>
      <c r="D11" s="557">
        <v>94637194.606505588</v>
      </c>
      <c r="E11" s="557">
        <v>84519272.377334282</v>
      </c>
      <c r="F11" s="557">
        <v>84854664.549999997</v>
      </c>
      <c r="G11" s="557">
        <v>78126524.569018409</v>
      </c>
      <c r="H11" s="586"/>
      <c r="I11" s="586"/>
      <c r="J11" s="586"/>
      <c r="K11" s="586"/>
      <c r="L11" s="586"/>
    </row>
    <row r="12" spans="1:13">
      <c r="A12" s="8">
        <v>5</v>
      </c>
      <c r="B12" s="11" t="s">
        <v>331</v>
      </c>
      <c r="C12" s="557">
        <v>112597126.85167614</v>
      </c>
      <c r="D12" s="557">
        <v>114802687.37104781</v>
      </c>
      <c r="E12" s="557">
        <v>103196317.83790517</v>
      </c>
      <c r="F12" s="557">
        <v>103805115.92</v>
      </c>
      <c r="G12" s="557">
        <v>95396528.507053524</v>
      </c>
      <c r="H12" s="586"/>
      <c r="I12" s="586"/>
      <c r="J12" s="586"/>
      <c r="K12" s="586"/>
      <c r="L12" s="586"/>
    </row>
    <row r="13" spans="1:13">
      <c r="A13" s="8">
        <v>6</v>
      </c>
      <c r="B13" s="11" t="s">
        <v>329</v>
      </c>
      <c r="C13" s="557">
        <v>138542811.82171732</v>
      </c>
      <c r="D13" s="557">
        <v>141504075.99891743</v>
      </c>
      <c r="E13" s="557">
        <v>127929639.42225404</v>
      </c>
      <c r="F13" s="557">
        <v>128897779.34999999</v>
      </c>
      <c r="G13" s="557">
        <v>118267114.486205</v>
      </c>
      <c r="H13" s="586"/>
      <c r="I13" s="586"/>
      <c r="J13" s="586"/>
      <c r="K13" s="586"/>
      <c r="L13" s="586"/>
    </row>
    <row r="14" spans="1:13">
      <c r="A14" s="10"/>
      <c r="B14" s="115" t="s">
        <v>333</v>
      </c>
      <c r="C14" s="270"/>
      <c r="D14" s="270"/>
      <c r="E14" s="270"/>
      <c r="F14" s="270"/>
      <c r="G14" s="271"/>
      <c r="H14" s="586"/>
      <c r="I14" s="586"/>
      <c r="J14" s="586"/>
      <c r="K14" s="586"/>
      <c r="L14" s="586"/>
    </row>
    <row r="15" spans="1:13" ht="15" customHeight="1">
      <c r="A15" s="8">
        <v>7</v>
      </c>
      <c r="B15" s="11" t="s">
        <v>332</v>
      </c>
      <c r="C15" s="557">
        <v>625359652.91482067</v>
      </c>
      <c r="D15" s="557">
        <v>637812963.19341671</v>
      </c>
      <c r="E15" s="557">
        <v>601394717.67122078</v>
      </c>
      <c r="F15" s="557">
        <v>599864131</v>
      </c>
      <c r="G15" s="557">
        <v>558207030.59996772</v>
      </c>
      <c r="H15" s="586"/>
      <c r="I15" s="586"/>
      <c r="J15" s="586"/>
      <c r="K15" s="586"/>
      <c r="L15" s="586"/>
    </row>
    <row r="16" spans="1:13">
      <c r="A16" s="10"/>
      <c r="B16" s="115" t="s">
        <v>334</v>
      </c>
      <c r="C16" s="270"/>
      <c r="D16" s="270"/>
      <c r="E16" s="270"/>
      <c r="F16" s="270"/>
      <c r="G16" s="271"/>
      <c r="H16" s="586"/>
      <c r="I16" s="586"/>
      <c r="J16" s="586"/>
      <c r="K16" s="586"/>
      <c r="L16" s="586"/>
    </row>
    <row r="17" spans="1:12">
      <c r="A17" s="8"/>
      <c r="B17" s="116" t="s">
        <v>715</v>
      </c>
      <c r="C17" s="555">
        <v>0.1832162954964513</v>
      </c>
      <c r="D17" s="555">
        <v>0.18044861138248491</v>
      </c>
      <c r="E17" s="555">
        <v>0.18830458710798095</v>
      </c>
      <c r="F17" s="555">
        <v>0.18190000000000001</v>
      </c>
      <c r="G17" s="555">
        <v>0.19203544583590237</v>
      </c>
      <c r="H17" s="587"/>
      <c r="I17" s="587"/>
      <c r="J17" s="587"/>
      <c r="K17" s="587"/>
      <c r="L17" s="587"/>
    </row>
    <row r="18" spans="1:12">
      <c r="A18" s="8">
        <v>8</v>
      </c>
      <c r="B18" s="11" t="s">
        <v>327</v>
      </c>
      <c r="C18" s="555">
        <v>0.1832162954964513</v>
      </c>
      <c r="D18" s="555">
        <v>0.18044861138248491</v>
      </c>
      <c r="E18" s="555">
        <v>0.18830458710798095</v>
      </c>
      <c r="F18" s="555">
        <v>0.18190000000000001</v>
      </c>
      <c r="G18" s="555">
        <v>0.19203544583590237</v>
      </c>
      <c r="H18" s="587"/>
      <c r="I18" s="587"/>
      <c r="J18" s="587"/>
      <c r="K18" s="587"/>
      <c r="L18" s="587"/>
    </row>
    <row r="19" spans="1:12" ht="15" customHeight="1">
      <c r="A19" s="8">
        <v>9</v>
      </c>
      <c r="B19" s="11" t="s">
        <v>328</v>
      </c>
      <c r="C19" s="555">
        <v>0.23410533167214251</v>
      </c>
      <c r="D19" s="555">
        <v>0.23105623754045568</v>
      </c>
      <c r="E19" s="555">
        <v>0.22234421947251315</v>
      </c>
      <c r="F19" s="555">
        <v>0.21709999999999999</v>
      </c>
      <c r="G19" s="555">
        <v>0.22100377307949143</v>
      </c>
      <c r="H19" s="587"/>
      <c r="I19" s="587"/>
      <c r="J19" s="587"/>
      <c r="K19" s="587"/>
      <c r="L19" s="587"/>
    </row>
    <row r="20" spans="1:12">
      <c r="A20" s="8">
        <v>10</v>
      </c>
      <c r="B20" s="11" t="s">
        <v>142</v>
      </c>
      <c r="C20" s="555">
        <v>0.14871998500628514</v>
      </c>
      <c r="D20" s="555">
        <v>0.1483776593888495</v>
      </c>
      <c r="E20" s="555">
        <v>0.14053876745811478</v>
      </c>
      <c r="F20" s="555">
        <v>0.14149999999999999</v>
      </c>
      <c r="G20" s="555">
        <v>0.13995976454299952</v>
      </c>
      <c r="H20" s="587"/>
      <c r="I20" s="587"/>
      <c r="J20" s="587"/>
      <c r="K20" s="587"/>
      <c r="L20" s="587"/>
    </row>
    <row r="21" spans="1:12">
      <c r="A21" s="8">
        <v>11</v>
      </c>
      <c r="B21" s="11" t="s">
        <v>330</v>
      </c>
      <c r="C21" s="555">
        <v>0.18005179311913944</v>
      </c>
      <c r="D21" s="555">
        <v>0.17999428358472216</v>
      </c>
      <c r="E21" s="555">
        <v>0.17159498546563895</v>
      </c>
      <c r="F21" s="555">
        <v>0.17299999999999999</v>
      </c>
      <c r="G21" s="555">
        <v>0.17089811356284812</v>
      </c>
      <c r="H21" s="587"/>
      <c r="I21" s="587"/>
      <c r="J21" s="587"/>
      <c r="K21" s="587"/>
      <c r="L21" s="587"/>
    </row>
    <row r="22" spans="1:12">
      <c r="A22" s="8">
        <v>12</v>
      </c>
      <c r="B22" s="11" t="s">
        <v>331</v>
      </c>
      <c r="C22" s="555">
        <v>0.22154101432026355</v>
      </c>
      <c r="D22" s="555">
        <v>0.2218582627898178</v>
      </c>
      <c r="E22" s="555">
        <v>0.21272158810711816</v>
      </c>
      <c r="F22" s="555">
        <v>0.21490000000000001</v>
      </c>
      <c r="G22" s="555">
        <v>0.21186962543107002</v>
      </c>
      <c r="H22" s="587"/>
      <c r="I22" s="587"/>
      <c r="J22" s="587"/>
      <c r="K22" s="587"/>
      <c r="L22" s="587"/>
    </row>
    <row r="23" spans="1:12">
      <c r="A23" s="8">
        <v>13</v>
      </c>
      <c r="B23" s="11" t="s">
        <v>329</v>
      </c>
      <c r="C23" s="173"/>
      <c r="D23" s="12"/>
      <c r="E23" s="12"/>
      <c r="F23" s="12"/>
      <c r="G23" s="13"/>
      <c r="H23" s="587"/>
      <c r="I23" s="587"/>
      <c r="J23" s="587"/>
      <c r="K23" s="587"/>
      <c r="L23" s="587"/>
    </row>
    <row r="24" spans="1:12">
      <c r="A24" s="487"/>
      <c r="B24" s="115" t="s">
        <v>700</v>
      </c>
      <c r="C24" s="183"/>
      <c r="D24" s="183"/>
      <c r="E24" s="183"/>
      <c r="F24" s="183"/>
      <c r="G24" s="486"/>
      <c r="H24" s="586"/>
      <c r="I24" s="586"/>
      <c r="J24" s="586"/>
      <c r="K24" s="586"/>
      <c r="L24" s="586"/>
    </row>
    <row r="25" spans="1:12" ht="26.4">
      <c r="A25" s="8">
        <v>14</v>
      </c>
      <c r="B25" s="11" t="s">
        <v>701</v>
      </c>
      <c r="C25" s="555">
        <v>0</v>
      </c>
      <c r="D25" s="555">
        <v>0</v>
      </c>
      <c r="E25" s="555">
        <v>0</v>
      </c>
      <c r="F25" s="555">
        <v>0</v>
      </c>
      <c r="G25" s="555">
        <v>0</v>
      </c>
      <c r="H25" s="586"/>
      <c r="I25" s="586"/>
      <c r="J25" s="586"/>
      <c r="K25" s="586"/>
      <c r="L25" s="586"/>
    </row>
    <row r="26" spans="1:12">
      <c r="A26" s="10"/>
      <c r="B26" s="115" t="s">
        <v>88</v>
      </c>
      <c r="C26" s="270"/>
      <c r="D26" s="270"/>
      <c r="E26" s="270"/>
      <c r="F26" s="270"/>
      <c r="G26" s="271"/>
      <c r="H26" s="586"/>
      <c r="I26" s="586"/>
      <c r="J26" s="586"/>
      <c r="K26" s="586"/>
      <c r="L26" s="586"/>
    </row>
    <row r="27" spans="1:12" ht="15" customHeight="1">
      <c r="A27" s="272">
        <v>15</v>
      </c>
      <c r="B27" s="11" t="s">
        <v>87</v>
      </c>
      <c r="C27" s="555">
        <v>7.5199785725246507E-2</v>
      </c>
      <c r="D27" s="555">
        <v>8.4455794896949363E-2</v>
      </c>
      <c r="E27" s="555">
        <v>8.677151535176017E-2</v>
      </c>
      <c r="F27" s="555">
        <v>8.9700000000000002E-2</v>
      </c>
      <c r="G27" s="555">
        <v>9.5886030903459929E-2</v>
      </c>
      <c r="H27" s="586"/>
      <c r="I27" s="586"/>
      <c r="J27" s="586"/>
      <c r="K27" s="586"/>
      <c r="L27" s="586"/>
    </row>
    <row r="28" spans="1:12">
      <c r="A28" s="272">
        <v>16</v>
      </c>
      <c r="B28" s="11" t="s">
        <v>86</v>
      </c>
      <c r="C28" s="555">
        <v>3.9735782325567508E-2</v>
      </c>
      <c r="D28" s="555">
        <v>3.9135507161925723E-2</v>
      </c>
      <c r="E28" s="555">
        <v>3.8882615767060091E-2</v>
      </c>
      <c r="F28" s="555">
        <v>3.9399999999999998E-2</v>
      </c>
      <c r="G28" s="555">
        <v>4.0520378067413598E-2</v>
      </c>
      <c r="H28" s="586"/>
      <c r="I28" s="586"/>
      <c r="J28" s="586"/>
      <c r="K28" s="586"/>
      <c r="L28" s="586"/>
    </row>
    <row r="29" spans="1:12">
      <c r="A29" s="272">
        <v>17</v>
      </c>
      <c r="B29" s="11" t="s">
        <v>85</v>
      </c>
      <c r="C29" s="555">
        <v>7.9801559988163823E-2</v>
      </c>
      <c r="D29" s="555">
        <v>0.10430778313433346</v>
      </c>
      <c r="E29" s="555">
        <v>0.10159692135706903</v>
      </c>
      <c r="F29" s="555">
        <v>0.1106</v>
      </c>
      <c r="G29" s="555">
        <v>0.12619778138159277</v>
      </c>
      <c r="H29" s="586"/>
      <c r="I29" s="586"/>
      <c r="J29" s="586"/>
      <c r="K29" s="586"/>
      <c r="L29" s="586"/>
    </row>
    <row r="30" spans="1:12">
      <c r="A30" s="272">
        <v>18</v>
      </c>
      <c r="B30" s="11" t="s">
        <v>84</v>
      </c>
      <c r="C30" s="555">
        <v>3.5464003399679006E-2</v>
      </c>
      <c r="D30" s="555">
        <v>4.5320287735023633E-2</v>
      </c>
      <c r="E30" s="555">
        <v>4.7888899584700093E-2</v>
      </c>
      <c r="F30" s="555">
        <v>5.0299999999999997E-2</v>
      </c>
      <c r="G30" s="555">
        <v>5.536565283604631E-2</v>
      </c>
      <c r="H30" s="586"/>
      <c r="I30" s="586"/>
      <c r="J30" s="586"/>
      <c r="K30" s="586"/>
      <c r="L30" s="586"/>
    </row>
    <row r="31" spans="1:12">
      <c r="A31" s="272">
        <v>19</v>
      </c>
      <c r="B31" s="11" t="s">
        <v>154</v>
      </c>
      <c r="C31" s="555">
        <v>-5.2582282465460026E-3</v>
      </c>
      <c r="D31" s="555">
        <v>1.2417834068845579E-2</v>
      </c>
      <c r="E31" s="555">
        <v>1.4640520666768901E-2</v>
      </c>
      <c r="F31" s="555">
        <v>1.15E-2</v>
      </c>
      <c r="G31" s="555">
        <v>1.0442800918214147E-2</v>
      </c>
      <c r="H31" s="586"/>
      <c r="I31" s="586"/>
      <c r="J31" s="586"/>
      <c r="K31" s="586"/>
      <c r="L31" s="586"/>
    </row>
    <row r="32" spans="1:12">
      <c r="A32" s="272">
        <v>20</v>
      </c>
      <c r="B32" s="11" t="s">
        <v>155</v>
      </c>
      <c r="C32" s="555">
        <v>-3.0128498143912601E-2</v>
      </c>
      <c r="D32" s="555">
        <v>6.2709020380734518E-2</v>
      </c>
      <c r="E32" s="555">
        <v>7.1343561980496531E-2</v>
      </c>
      <c r="F32" s="555">
        <v>5.5199999999999999E-2</v>
      </c>
      <c r="G32" s="555">
        <v>4.8665875549575688E-2</v>
      </c>
      <c r="H32" s="586"/>
      <c r="I32" s="586"/>
      <c r="J32" s="586"/>
      <c r="K32" s="586"/>
      <c r="L32" s="586"/>
    </row>
    <row r="33" spans="1:12">
      <c r="A33" s="10"/>
      <c r="B33" s="115" t="s">
        <v>216</v>
      </c>
      <c r="C33" s="270"/>
      <c r="D33" s="270"/>
      <c r="E33" s="270"/>
      <c r="F33" s="270"/>
      <c r="G33" s="271"/>
      <c r="H33" s="586"/>
      <c r="I33" s="586"/>
      <c r="J33" s="586"/>
      <c r="K33" s="586"/>
      <c r="L33" s="586"/>
    </row>
    <row r="34" spans="1:12">
      <c r="A34" s="272">
        <v>21</v>
      </c>
      <c r="B34" s="11" t="s">
        <v>83</v>
      </c>
      <c r="C34" s="556">
        <v>7.6862849782852474E-2</v>
      </c>
      <c r="D34" s="556">
        <v>5.6073456554977676E-2</v>
      </c>
      <c r="E34" s="556">
        <v>7.9918818717348045E-2</v>
      </c>
      <c r="F34" s="556">
        <v>8.2199999999999995E-2</v>
      </c>
      <c r="G34" s="556">
        <v>8.3754507254769309E-2</v>
      </c>
      <c r="H34" s="586"/>
      <c r="I34" s="586"/>
      <c r="J34" s="586"/>
      <c r="K34" s="586"/>
      <c r="L34" s="586"/>
    </row>
    <row r="35" spans="1:12" ht="15" customHeight="1">
      <c r="A35" s="272">
        <v>22</v>
      </c>
      <c r="B35" s="11" t="s">
        <v>674</v>
      </c>
      <c r="C35" s="556">
        <v>2.8485640639040008E-2</v>
      </c>
      <c r="D35" s="556">
        <v>2.065458141958804E-2</v>
      </c>
      <c r="E35" s="556">
        <v>2.6961203129576065E-2</v>
      </c>
      <c r="F35" s="556">
        <v>2.93E-2</v>
      </c>
      <c r="G35" s="556">
        <v>3.141989674239444E-2</v>
      </c>
      <c r="H35" s="586"/>
      <c r="I35" s="586"/>
      <c r="J35" s="586"/>
      <c r="K35" s="586"/>
      <c r="L35" s="586"/>
    </row>
    <row r="36" spans="1:12">
      <c r="A36" s="272">
        <v>23</v>
      </c>
      <c r="B36" s="11" t="s">
        <v>82</v>
      </c>
      <c r="C36" s="556">
        <v>0.57157109710675547</v>
      </c>
      <c r="D36" s="556">
        <v>0.55120954788240673</v>
      </c>
      <c r="E36" s="556">
        <v>0.54307916303550308</v>
      </c>
      <c r="F36" s="556">
        <v>0.57150000000000001</v>
      </c>
      <c r="G36" s="556">
        <v>0.5644798810516557</v>
      </c>
      <c r="H36" s="586"/>
      <c r="I36" s="586"/>
      <c r="J36" s="586"/>
      <c r="K36" s="586"/>
      <c r="L36" s="586"/>
    </row>
    <row r="37" spans="1:12" ht="15" customHeight="1">
      <c r="A37" s="272">
        <v>24</v>
      </c>
      <c r="B37" s="11" t="s">
        <v>81</v>
      </c>
      <c r="C37" s="556">
        <v>0.56608425379687843</v>
      </c>
      <c r="D37" s="556">
        <v>0.55913895601917318</v>
      </c>
      <c r="E37" s="556">
        <v>0.57547857249439538</v>
      </c>
      <c r="F37" s="556">
        <v>0.57279999999999998</v>
      </c>
      <c r="G37" s="556">
        <v>0.51931668441942525</v>
      </c>
      <c r="H37" s="586"/>
      <c r="I37" s="586"/>
      <c r="J37" s="586"/>
      <c r="K37" s="586"/>
      <c r="L37" s="586"/>
    </row>
    <row r="38" spans="1:12">
      <c r="A38" s="272">
        <v>25</v>
      </c>
      <c r="B38" s="11" t="s">
        <v>80</v>
      </c>
      <c r="C38" s="556">
        <v>9.6740630104112046E-2</v>
      </c>
      <c r="D38" s="556">
        <v>0.16073765380705596</v>
      </c>
      <c r="E38" s="556">
        <v>-1.1304129831490872E-4</v>
      </c>
      <c r="F38" s="556">
        <v>-2.0899999999999998E-2</v>
      </c>
      <c r="G38" s="556">
        <v>-0.12857628734455473</v>
      </c>
      <c r="H38" s="586"/>
      <c r="I38" s="586"/>
      <c r="J38" s="586"/>
      <c r="K38" s="586"/>
      <c r="L38" s="586"/>
    </row>
    <row r="39" spans="1:12" ht="15" customHeight="1">
      <c r="A39" s="10"/>
      <c r="B39" s="115" t="s">
        <v>217</v>
      </c>
      <c r="C39" s="270"/>
      <c r="D39" s="270"/>
      <c r="E39" s="270"/>
      <c r="F39" s="270"/>
      <c r="G39" s="271"/>
      <c r="H39" s="586"/>
      <c r="I39" s="586"/>
      <c r="J39" s="586"/>
      <c r="K39" s="586"/>
      <c r="L39" s="586"/>
    </row>
    <row r="40" spans="1:12" ht="15" customHeight="1">
      <c r="A40" s="272">
        <v>26</v>
      </c>
      <c r="B40" s="11" t="s">
        <v>79</v>
      </c>
      <c r="C40" s="556">
        <v>0.12215729579927162</v>
      </c>
      <c r="D40" s="556">
        <v>0.16431717314614264</v>
      </c>
      <c r="E40" s="556">
        <v>0.28634070765830338</v>
      </c>
      <c r="F40" s="556">
        <v>0.30470000000000003</v>
      </c>
      <c r="G40" s="556">
        <v>0.17952791231305065</v>
      </c>
      <c r="H40" s="586"/>
      <c r="I40" s="586"/>
      <c r="J40" s="586"/>
      <c r="K40" s="586"/>
      <c r="L40" s="586"/>
    </row>
    <row r="41" spans="1:12" ht="15" customHeight="1">
      <c r="A41" s="272">
        <v>27</v>
      </c>
      <c r="B41" s="11" t="s">
        <v>78</v>
      </c>
      <c r="C41" s="556">
        <v>0.70682418956217785</v>
      </c>
      <c r="D41" s="556">
        <v>0.72156082962024748</v>
      </c>
      <c r="E41" s="556">
        <v>0.72450984632381921</v>
      </c>
      <c r="F41" s="556">
        <v>0.74619999999999997</v>
      </c>
      <c r="G41" s="556">
        <v>0.67763894205345754</v>
      </c>
      <c r="H41" s="586"/>
      <c r="I41" s="586"/>
      <c r="J41" s="586"/>
      <c r="K41" s="586"/>
      <c r="L41" s="586"/>
    </row>
    <row r="42" spans="1:12" ht="15" customHeight="1">
      <c r="A42" s="272">
        <v>28</v>
      </c>
      <c r="B42" s="11" t="s">
        <v>77</v>
      </c>
      <c r="C42" s="556">
        <v>0.23130777812520195</v>
      </c>
      <c r="D42" s="556">
        <v>0.14870800097122061</v>
      </c>
      <c r="E42" s="556">
        <v>0.20877098946386982</v>
      </c>
      <c r="F42" s="556">
        <v>0.28189999999999998</v>
      </c>
      <c r="G42" s="556">
        <v>0.19201429243507395</v>
      </c>
      <c r="H42" s="586"/>
      <c r="I42" s="586"/>
      <c r="J42" s="586"/>
      <c r="K42" s="586"/>
      <c r="L42" s="586"/>
    </row>
    <row r="43" spans="1:12" ht="15" customHeight="1">
      <c r="A43" s="273"/>
      <c r="B43" s="115" t="s">
        <v>258</v>
      </c>
      <c r="C43" s="270"/>
      <c r="D43" s="270"/>
      <c r="E43" s="270"/>
      <c r="F43" s="270"/>
      <c r="G43" s="271"/>
      <c r="H43" s="586"/>
      <c r="I43" s="586"/>
      <c r="J43" s="586"/>
      <c r="K43" s="586"/>
      <c r="L43" s="586"/>
    </row>
    <row r="44" spans="1:12">
      <c r="A44" s="272">
        <v>29</v>
      </c>
      <c r="B44" s="11" t="s">
        <v>241</v>
      </c>
      <c r="C44" s="557">
        <v>224546181.81196672</v>
      </c>
      <c r="D44" s="557">
        <v>227775251.46565872</v>
      </c>
      <c r="E44" s="557">
        <v>203264763.41620654</v>
      </c>
      <c r="F44" s="557">
        <v>181579068.78381318</v>
      </c>
      <c r="G44" s="557">
        <v>139702649.14356813</v>
      </c>
      <c r="H44" s="586"/>
      <c r="I44" s="586"/>
      <c r="J44" s="586"/>
      <c r="K44" s="586"/>
      <c r="L44" s="586"/>
    </row>
    <row r="45" spans="1:12" ht="15" customHeight="1">
      <c r="A45" s="272">
        <v>30</v>
      </c>
      <c r="B45" s="11" t="s">
        <v>253</v>
      </c>
      <c r="C45" s="557">
        <v>184337199.69594449</v>
      </c>
      <c r="D45" s="557">
        <v>175405862.61822349</v>
      </c>
      <c r="E45" s="557">
        <v>159429601.24470124</v>
      </c>
      <c r="F45" s="557">
        <v>122603437.92307965</v>
      </c>
      <c r="G45" s="557">
        <v>94433712.680466294</v>
      </c>
      <c r="H45" s="586"/>
      <c r="I45" s="586"/>
      <c r="J45" s="586"/>
      <c r="K45" s="586"/>
      <c r="L45" s="586"/>
    </row>
    <row r="46" spans="1:12" ht="15" customHeight="1">
      <c r="A46" s="309">
        <v>31</v>
      </c>
      <c r="B46" s="310" t="s">
        <v>242</v>
      </c>
      <c r="C46" s="556">
        <v>1.2181273350270323</v>
      </c>
      <c r="D46" s="556">
        <v>1.2985612229017618</v>
      </c>
      <c r="E46" s="556">
        <v>1.2749499580333561</v>
      </c>
      <c r="F46" s="556">
        <v>1.4810275458811712</v>
      </c>
      <c r="G46" s="556">
        <v>1.4793726221087753</v>
      </c>
      <c r="H46" s="586"/>
      <c r="I46" s="586"/>
      <c r="J46" s="586"/>
      <c r="K46" s="586"/>
      <c r="L46" s="586"/>
    </row>
    <row r="47" spans="1:12" ht="15" customHeight="1">
      <c r="A47" s="309"/>
      <c r="B47" s="115" t="s">
        <v>337</v>
      </c>
      <c r="C47" s="311"/>
      <c r="D47" s="312"/>
      <c r="E47" s="312"/>
      <c r="F47" s="312"/>
      <c r="G47" s="313"/>
      <c r="H47" s="586"/>
      <c r="I47" s="586"/>
      <c r="J47" s="586"/>
      <c r="K47" s="586"/>
      <c r="L47" s="586"/>
    </row>
    <row r="48" spans="1:12" ht="15" customHeight="1">
      <c r="A48" s="309">
        <v>32</v>
      </c>
      <c r="B48" s="310" t="s">
        <v>344</v>
      </c>
      <c r="C48" s="557">
        <v>402681589.8039</v>
      </c>
      <c r="D48" s="557">
        <v>412250716.22105998</v>
      </c>
      <c r="E48" s="557">
        <v>335313696.52079999</v>
      </c>
      <c r="F48" s="557">
        <v>388661700.29769504</v>
      </c>
      <c r="G48" s="557">
        <v>335903319.85475004</v>
      </c>
      <c r="H48" s="586"/>
      <c r="I48" s="586"/>
      <c r="J48" s="586"/>
      <c r="K48" s="586"/>
      <c r="L48" s="586"/>
    </row>
    <row r="49" spans="1:12" ht="15" customHeight="1">
      <c r="A49" s="309">
        <v>33</v>
      </c>
      <c r="B49" s="310" t="s">
        <v>359</v>
      </c>
      <c r="C49" s="557">
        <v>306246443.26609409</v>
      </c>
      <c r="D49" s="557">
        <v>312469588.36279923</v>
      </c>
      <c r="E49" s="557">
        <v>297846133.32624358</v>
      </c>
      <c r="F49" s="557">
        <v>282232716.80138165</v>
      </c>
      <c r="G49" s="557">
        <v>280388726.74643266</v>
      </c>
      <c r="H49" s="586"/>
      <c r="I49" s="586"/>
      <c r="J49" s="586"/>
      <c r="K49" s="586"/>
      <c r="L49" s="586"/>
    </row>
    <row r="50" spans="1:12" ht="14.4" thickBot="1">
      <c r="A50" s="274">
        <v>34</v>
      </c>
      <c r="B50" s="117" t="s">
        <v>377</v>
      </c>
      <c r="C50" s="556">
        <v>1.3148939315321762</v>
      </c>
      <c r="D50" s="556">
        <v>1.3193306855270914</v>
      </c>
      <c r="E50" s="556">
        <v>1.1257950297226675</v>
      </c>
      <c r="F50" s="556">
        <v>1.3770965489136104</v>
      </c>
      <c r="G50" s="556">
        <v>1.19799153037462</v>
      </c>
      <c r="H50" s="586"/>
      <c r="I50" s="586"/>
      <c r="J50" s="586"/>
      <c r="K50" s="586"/>
      <c r="L50" s="586"/>
    </row>
    <row r="51" spans="1:12">
      <c r="A51" s="14"/>
    </row>
    <row r="52" spans="1:12">
      <c r="B52" s="175"/>
    </row>
    <row r="53" spans="1:12" ht="52.8">
      <c r="B53" s="175" t="s">
        <v>257</v>
      </c>
    </row>
    <row r="55" spans="1:12" ht="14.4">
      <c r="B55" s="174"/>
    </row>
  </sheetData>
  <mergeCells count="1">
    <mergeCell ref="D4:G4"/>
  </mergeCells>
  <pageMargins left="0.7" right="0.7" top="0.75" bottom="0.75" header="0.3" footer="0.3"/>
  <pageSetup paperSize="9" orientation="portrait" r:id="rId1"/>
  <headerFooter>
    <oddFooter>&amp;C_x000D_&amp;1#&amp;"Calibri"&amp;10&amp;K000000 C1 - FOR INTERNAL USE ONLY</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D37"/>
  <sheetViews>
    <sheetView zoomScale="80" zoomScaleNormal="80" workbookViewId="0">
      <selection activeCell="G10" sqref="G10"/>
    </sheetView>
  </sheetViews>
  <sheetFormatPr defaultColWidth="8.77734375" defaultRowHeight="13.8"/>
  <cols>
    <col min="1" max="1" width="11.44140625" style="489" customWidth="1"/>
    <col min="2" max="2" width="76.77734375" style="552" customWidth="1"/>
    <col min="3" max="3" width="22.77734375" style="489" customWidth="1"/>
    <col min="4" max="16384" width="8.77734375" style="489"/>
  </cols>
  <sheetData>
    <row r="1" spans="1:4">
      <c r="A1" s="133" t="s">
        <v>30</v>
      </c>
      <c r="B1" s="488" t="str">
        <f>'Info '!C2</f>
        <v xml:space="preserve">PASHA Bank Georgia JSC </v>
      </c>
    </row>
    <row r="2" spans="1:4">
      <c r="A2" s="133" t="s">
        <v>31</v>
      </c>
      <c r="B2" s="490">
        <f>'1. key ratios '!B2</f>
        <v>45747</v>
      </c>
    </row>
    <row r="3" spans="1:4">
      <c r="B3" s="489"/>
    </row>
    <row r="4" spans="1:4">
      <c r="A4" s="489" t="s">
        <v>295</v>
      </c>
      <c r="B4" s="489" t="s">
        <v>296</v>
      </c>
    </row>
    <row r="5" spans="1:4">
      <c r="A5" s="535" t="s">
        <v>297</v>
      </c>
      <c r="B5" s="536"/>
      <c r="C5" s="537"/>
    </row>
    <row r="6" spans="1:4" ht="27.6">
      <c r="A6" s="541">
        <v>1</v>
      </c>
      <c r="B6" s="542" t="s">
        <v>751</v>
      </c>
      <c r="C6" s="543">
        <v>700228145.70709991</v>
      </c>
      <c r="D6" s="565"/>
    </row>
    <row r="7" spans="1:4">
      <c r="A7" s="541">
        <v>2</v>
      </c>
      <c r="B7" s="542" t="s">
        <v>298</v>
      </c>
      <c r="C7" s="543">
        <v>-7379020.6299999999</v>
      </c>
      <c r="D7" s="565"/>
    </row>
    <row r="8" spans="1:4" ht="27.6">
      <c r="A8" s="544">
        <v>3</v>
      </c>
      <c r="B8" s="545" t="s">
        <v>299</v>
      </c>
      <c r="C8" s="543">
        <f>C6+C7</f>
        <v>692849125.07709992</v>
      </c>
      <c r="D8" s="565"/>
    </row>
    <row r="9" spans="1:4">
      <c r="A9" s="535" t="s">
        <v>300</v>
      </c>
      <c r="B9" s="536"/>
      <c r="C9" s="538"/>
      <c r="D9" s="565"/>
    </row>
    <row r="10" spans="1:4" ht="25.8" customHeight="1">
      <c r="A10" s="541">
        <v>4</v>
      </c>
      <c r="B10" s="546" t="s">
        <v>749</v>
      </c>
      <c r="C10" s="543">
        <f>'15. CCR '!F34</f>
        <v>221045.89</v>
      </c>
      <c r="D10" s="565"/>
    </row>
    <row r="11" spans="1:4" ht="25.8" customHeight="1">
      <c r="A11" s="541">
        <v>5</v>
      </c>
      <c r="B11" s="547" t="s">
        <v>750</v>
      </c>
      <c r="C11" s="543">
        <f>'15. CCR '!G34</f>
        <v>532198</v>
      </c>
      <c r="D11" s="565"/>
    </row>
    <row r="12" spans="1:4" ht="25.8" customHeight="1">
      <c r="A12" s="541">
        <v>6</v>
      </c>
      <c r="B12" s="547" t="s">
        <v>743</v>
      </c>
      <c r="C12" s="543">
        <f>'15. CCR '!I34</f>
        <v>1054541.446</v>
      </c>
      <c r="D12" s="565"/>
    </row>
    <row r="13" spans="1:4" ht="25.8" customHeight="1">
      <c r="A13" s="548">
        <v>7</v>
      </c>
      <c r="B13" s="546" t="s">
        <v>744</v>
      </c>
      <c r="C13" s="543">
        <f>'15. CCR '!E34</f>
        <v>9792800</v>
      </c>
      <c r="D13" s="565"/>
    </row>
    <row r="14" spans="1:4" ht="25.8" customHeight="1">
      <c r="A14" s="544">
        <v>8</v>
      </c>
      <c r="B14" s="539" t="s">
        <v>301</v>
      </c>
      <c r="C14" s="549">
        <f>C12</f>
        <v>1054541.446</v>
      </c>
      <c r="D14" s="565"/>
    </row>
    <row r="15" spans="1:4">
      <c r="A15" s="535" t="s">
        <v>302</v>
      </c>
      <c r="B15" s="536"/>
      <c r="C15" s="538"/>
      <c r="D15" s="565"/>
    </row>
    <row r="16" spans="1:4" ht="27.6">
      <c r="A16" s="548">
        <v>9</v>
      </c>
      <c r="B16" s="546" t="s">
        <v>303</v>
      </c>
      <c r="C16" s="543"/>
      <c r="D16" s="565"/>
    </row>
    <row r="17" spans="1:4">
      <c r="A17" s="548">
        <v>10</v>
      </c>
      <c r="B17" s="546" t="s">
        <v>304</v>
      </c>
      <c r="C17" s="543"/>
      <c r="D17" s="565"/>
    </row>
    <row r="18" spans="1:4">
      <c r="A18" s="548">
        <v>11</v>
      </c>
      <c r="B18" s="546" t="s">
        <v>305</v>
      </c>
      <c r="C18" s="543"/>
      <c r="D18" s="565"/>
    </row>
    <row r="19" spans="1:4" ht="27.6">
      <c r="A19" s="548">
        <v>12</v>
      </c>
      <c r="B19" s="546" t="s">
        <v>306</v>
      </c>
      <c r="C19" s="543"/>
      <c r="D19" s="565"/>
    </row>
    <row r="20" spans="1:4">
      <c r="A20" s="548">
        <v>14</v>
      </c>
      <c r="B20" s="546" t="s">
        <v>307</v>
      </c>
      <c r="C20" s="543"/>
      <c r="D20" s="565"/>
    </row>
    <row r="21" spans="1:4">
      <c r="A21" s="548">
        <v>14</v>
      </c>
      <c r="B21" s="546" t="s">
        <v>308</v>
      </c>
      <c r="C21" s="543"/>
      <c r="D21" s="565"/>
    </row>
    <row r="22" spans="1:4">
      <c r="A22" s="544">
        <v>15</v>
      </c>
      <c r="B22" s="539" t="s">
        <v>309</v>
      </c>
      <c r="C22" s="549">
        <f>SUM(C16:C21)</f>
        <v>0</v>
      </c>
      <c r="D22" s="565"/>
    </row>
    <row r="23" spans="1:4">
      <c r="A23" s="535" t="s">
        <v>310</v>
      </c>
      <c r="B23" s="536"/>
      <c r="C23" s="538"/>
      <c r="D23" s="565"/>
    </row>
    <row r="24" spans="1:4">
      <c r="A24" s="553">
        <v>16</v>
      </c>
      <c r="B24" s="547" t="s">
        <v>311</v>
      </c>
      <c r="C24" s="543">
        <v>78109987.643474996</v>
      </c>
      <c r="D24" s="565"/>
    </row>
    <row r="25" spans="1:4">
      <c r="A25" s="553">
        <v>17</v>
      </c>
      <c r="B25" s="547" t="s">
        <v>312</v>
      </c>
      <c r="C25" s="543">
        <v>-41517918.245380491</v>
      </c>
      <c r="D25" s="565"/>
    </row>
    <row r="26" spans="1:4">
      <c r="A26" s="554">
        <v>18</v>
      </c>
      <c r="B26" s="539" t="s">
        <v>313</v>
      </c>
      <c r="C26" s="549">
        <f>C24+C25</f>
        <v>36592069.398094505</v>
      </c>
      <c r="D26" s="565"/>
    </row>
    <row r="27" spans="1:4">
      <c r="A27" s="535" t="s">
        <v>314</v>
      </c>
      <c r="B27" s="536"/>
      <c r="C27" s="538"/>
      <c r="D27" s="565"/>
    </row>
    <row r="28" spans="1:4" ht="27.6">
      <c r="A28" s="553">
        <v>19</v>
      </c>
      <c r="B28" s="546" t="s">
        <v>315</v>
      </c>
      <c r="C28" s="550"/>
      <c r="D28" s="565"/>
    </row>
    <row r="29" spans="1:4">
      <c r="A29" s="553">
        <v>20</v>
      </c>
      <c r="B29" s="547" t="s">
        <v>316</v>
      </c>
      <c r="C29" s="550"/>
      <c r="D29" s="565"/>
    </row>
    <row r="30" spans="1:4">
      <c r="A30" s="535" t="s">
        <v>748</v>
      </c>
      <c r="B30" s="536"/>
      <c r="C30" s="538"/>
      <c r="D30" s="565"/>
    </row>
    <row r="31" spans="1:4">
      <c r="A31" s="554">
        <v>21</v>
      </c>
      <c r="B31" s="540" t="s">
        <v>317</v>
      </c>
      <c r="C31" s="549">
        <v>114576078.96000001</v>
      </c>
      <c r="D31" s="565"/>
    </row>
    <row r="32" spans="1:4">
      <c r="A32" s="554">
        <v>22</v>
      </c>
      <c r="B32" s="539" t="s">
        <v>318</v>
      </c>
      <c r="C32" s="549">
        <f>C8+C14+C22+C26</f>
        <v>730495735.92119443</v>
      </c>
      <c r="D32" s="565"/>
    </row>
    <row r="33" spans="1:4">
      <c r="A33" s="535" t="s">
        <v>319</v>
      </c>
      <c r="B33" s="536"/>
      <c r="C33" s="538"/>
      <c r="D33" s="565"/>
    </row>
    <row r="34" spans="1:4">
      <c r="A34" s="544">
        <v>23</v>
      </c>
      <c r="B34" s="539" t="s">
        <v>319</v>
      </c>
      <c r="C34" s="625">
        <f>IFERROR(C31/C32,0)</f>
        <v>0.15684701953189831</v>
      </c>
      <c r="D34" s="565"/>
    </row>
    <row r="35" spans="1:4">
      <c r="A35" s="535" t="s">
        <v>320</v>
      </c>
      <c r="B35" s="536"/>
      <c r="C35" s="538"/>
      <c r="D35" s="565"/>
    </row>
    <row r="36" spans="1:4">
      <c r="A36" s="551" t="s">
        <v>321</v>
      </c>
      <c r="B36" s="546" t="s">
        <v>322</v>
      </c>
      <c r="C36" s="550"/>
      <c r="D36" s="565"/>
    </row>
    <row r="37" spans="1:4" ht="27.6">
      <c r="A37" s="551" t="s">
        <v>323</v>
      </c>
      <c r="B37" s="542" t="s">
        <v>324</v>
      </c>
      <c r="C37" s="550"/>
      <c r="D37" s="565"/>
    </row>
  </sheetData>
  <pageMargins left="0.7" right="0.7" top="0.75" bottom="0.75" header="0.3" footer="0.3"/>
  <headerFooter>
    <oddFooter>&amp;C_x000D_&amp;1#&amp;"Calibri"&amp;10&amp;K000000 C1 - FOR INTERNAL USE ONLY</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15"/>
  <sheetViews>
    <sheetView zoomScale="80" zoomScaleNormal="80" workbookViewId="0">
      <selection activeCell="D24" sqref="D24"/>
    </sheetView>
  </sheetViews>
  <sheetFormatPr defaultColWidth="8.88671875" defaultRowHeight="14.4"/>
  <cols>
    <col min="1" max="1" width="11.44140625" customWidth="1"/>
    <col min="2" max="2" width="76.77734375" style="232" customWidth="1"/>
    <col min="3" max="6" width="25.33203125" customWidth="1"/>
  </cols>
  <sheetData>
    <row r="1" spans="1:6">
      <c r="A1" s="2" t="s">
        <v>30</v>
      </c>
      <c r="B1" s="3" t="str">
        <f>'Info '!C2</f>
        <v xml:space="preserve">PASHA Bank Georgia JSC </v>
      </c>
    </row>
    <row r="2" spans="1:6">
      <c r="A2" s="2" t="s">
        <v>31</v>
      </c>
      <c r="B2" s="269">
        <f>'1. key ratios '!B2</f>
        <v>45747</v>
      </c>
    </row>
    <row r="3" spans="1:6">
      <c r="A3" s="4"/>
      <c r="B3"/>
    </row>
    <row r="4" spans="1:6">
      <c r="A4" s="531" t="s">
        <v>738</v>
      </c>
    </row>
    <row r="5" spans="1:6" ht="43.2">
      <c r="B5" s="526"/>
      <c r="C5" s="532" t="s">
        <v>739</v>
      </c>
      <c r="D5" s="532" t="s">
        <v>741</v>
      </c>
      <c r="E5" s="532" t="s">
        <v>740</v>
      </c>
      <c r="F5" s="532" t="s">
        <v>742</v>
      </c>
    </row>
    <row r="6" spans="1:6">
      <c r="B6" s="533" t="s">
        <v>716</v>
      </c>
      <c r="C6" s="520">
        <f>IF(C7&gt;0,C7,IF(C8&gt;0,C8,IF(C9&gt;0,C9,0)))</f>
        <v>1053650</v>
      </c>
      <c r="D6" s="520">
        <f>IF(D7&gt;0,D7,IF(D8&gt;0,D8,IF(D9&gt;0,D9,0)))</f>
        <v>1150</v>
      </c>
      <c r="E6" s="520">
        <f>IF(E7&gt;0,E7,IF(E8&gt;0,E8,IF(E9&gt;0,E9,0)))</f>
        <v>0</v>
      </c>
      <c r="F6" s="520">
        <f>IF(F7&gt;0,F7,IF(F8&gt;0,F8,IF(F9&gt;0,F9,0)))</f>
        <v>14377</v>
      </c>
    </row>
    <row r="7" spans="1:6">
      <c r="B7" s="521" t="s">
        <v>729</v>
      </c>
      <c r="C7" s="534">
        <v>1053650</v>
      </c>
      <c r="D7" s="534">
        <v>1150</v>
      </c>
      <c r="E7" s="534">
        <v>0</v>
      </c>
      <c r="F7" s="534">
        <v>14377</v>
      </c>
    </row>
    <row r="8" spans="1:6">
      <c r="B8" s="521" t="s">
        <v>730</v>
      </c>
      <c r="C8" s="534"/>
      <c r="D8" s="534"/>
      <c r="E8" s="534"/>
      <c r="F8" s="534"/>
    </row>
    <row r="9" spans="1:6">
      <c r="B9" s="521" t="s">
        <v>737</v>
      </c>
      <c r="C9" s="534"/>
      <c r="D9" s="534"/>
      <c r="E9" s="534"/>
      <c r="F9" s="534"/>
    </row>
    <row r="12" spans="1:6">
      <c r="C12" s="626"/>
      <c r="D12" s="626"/>
      <c r="E12" s="626"/>
      <c r="F12" s="626"/>
    </row>
    <row r="13" spans="1:6">
      <c r="C13" s="626"/>
      <c r="D13" s="626"/>
      <c r="E13" s="626"/>
      <c r="F13" s="626"/>
    </row>
    <row r="14" spans="1:6">
      <c r="C14" s="626"/>
      <c r="D14" s="626"/>
      <c r="E14" s="626"/>
      <c r="F14" s="626"/>
    </row>
    <row r="15" spans="1:6">
      <c r="C15" s="626"/>
      <c r="D15" s="626"/>
      <c r="E15" s="626"/>
      <c r="F15" s="626"/>
    </row>
  </sheetData>
  <pageMargins left="0.7" right="0.7" top="0.75" bottom="0.75" header="0.3" footer="0.3"/>
  <headerFooter>
    <oddFooter>&amp;C_x000D_&amp;1#&amp;"Calibri"&amp;10&amp;K000000 C1 - FOR INTERNAL USE ONLY</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L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42" sqref="G42"/>
    </sheetView>
  </sheetViews>
  <sheetFormatPr defaultRowHeight="14.4"/>
  <cols>
    <col min="1" max="1" width="8.77734375" style="135"/>
    <col min="2" max="2" width="82.6640625" style="142" customWidth="1"/>
    <col min="3" max="7" width="17.5546875" style="135" customWidth="1"/>
    <col min="8" max="8" width="12.5546875" customWidth="1"/>
    <col min="9" max="9" width="11.21875" bestFit="1" customWidth="1"/>
  </cols>
  <sheetData>
    <row r="1" spans="1:12">
      <c r="A1" s="135" t="s">
        <v>30</v>
      </c>
      <c r="B1" s="3" t="str">
        <f>'Info '!C2</f>
        <v xml:space="preserve">PASHA Bank Georgia JSC </v>
      </c>
    </row>
    <row r="2" spans="1:12">
      <c r="A2" s="135" t="s">
        <v>31</v>
      </c>
      <c r="B2" s="269">
        <f>'1. key ratios '!B2</f>
        <v>45747</v>
      </c>
    </row>
    <row r="4" spans="1:12" ht="15" thickBot="1">
      <c r="A4" s="135" t="s">
        <v>376</v>
      </c>
      <c r="B4" s="275" t="s">
        <v>337</v>
      </c>
    </row>
    <row r="5" spans="1:12">
      <c r="A5" s="276"/>
      <c r="B5" s="277"/>
      <c r="C5" s="762" t="s">
        <v>338</v>
      </c>
      <c r="D5" s="762"/>
      <c r="E5" s="762"/>
      <c r="F5" s="762"/>
      <c r="G5" s="763" t="s">
        <v>339</v>
      </c>
    </row>
    <row r="6" spans="1:12">
      <c r="A6" s="278"/>
      <c r="B6" s="279"/>
      <c r="C6" s="280" t="s">
        <v>340</v>
      </c>
      <c r="D6" s="280" t="s">
        <v>341</v>
      </c>
      <c r="E6" s="280" t="s">
        <v>342</v>
      </c>
      <c r="F6" s="280" t="s">
        <v>343</v>
      </c>
      <c r="G6" s="764"/>
    </row>
    <row r="7" spans="1:12">
      <c r="A7" s="281"/>
      <c r="B7" s="282" t="s">
        <v>344</v>
      </c>
      <c r="C7" s="283"/>
      <c r="D7" s="283"/>
      <c r="E7" s="283"/>
      <c r="F7" s="283"/>
      <c r="G7" s="284"/>
    </row>
    <row r="8" spans="1:12">
      <c r="A8" s="285">
        <v>1</v>
      </c>
      <c r="B8" s="286" t="s">
        <v>345</v>
      </c>
      <c r="C8" s="287">
        <f>SUM(C9:C10)</f>
        <v>146400028.96000001</v>
      </c>
      <c r="D8" s="287">
        <f>SUM(D9:D10)</f>
        <v>0</v>
      </c>
      <c r="E8" s="287">
        <f>SUM(E9:E10)</f>
        <v>0</v>
      </c>
      <c r="F8" s="287">
        <f>SUM(F9:F10)</f>
        <v>142303439.61790001</v>
      </c>
      <c r="G8" s="288">
        <f>SUM(G9:G10)</f>
        <v>288703468.57790005</v>
      </c>
      <c r="H8" s="577"/>
      <c r="I8" s="577"/>
      <c r="J8" s="577"/>
      <c r="K8" s="577"/>
      <c r="L8" s="577"/>
    </row>
    <row r="9" spans="1:12">
      <c r="A9" s="285">
        <v>2</v>
      </c>
      <c r="B9" s="289" t="s">
        <v>346</v>
      </c>
      <c r="C9" s="287">
        <v>146400028.96000001</v>
      </c>
      <c r="D9" s="287"/>
      <c r="E9" s="287"/>
      <c r="F9" s="287"/>
      <c r="G9" s="288">
        <v>146400028.96000001</v>
      </c>
      <c r="H9" s="577"/>
      <c r="I9" s="577"/>
      <c r="J9" s="577"/>
      <c r="K9" s="577"/>
      <c r="L9" s="577"/>
    </row>
    <row r="10" spans="1:12" ht="27.6">
      <c r="A10" s="285">
        <v>3</v>
      </c>
      <c r="B10" s="289" t="s">
        <v>347</v>
      </c>
      <c r="C10" s="290"/>
      <c r="D10" s="290"/>
      <c r="E10" s="290"/>
      <c r="F10" s="287">
        <v>142303439.61790001</v>
      </c>
      <c r="G10" s="288">
        <v>142303439.61790001</v>
      </c>
      <c r="H10" s="577"/>
      <c r="I10" s="577"/>
      <c r="J10" s="577"/>
      <c r="K10" s="577"/>
      <c r="L10" s="577"/>
    </row>
    <row r="11" spans="1:12" ht="14.55" customHeight="1">
      <c r="A11" s="285">
        <v>4</v>
      </c>
      <c r="B11" s="286" t="s">
        <v>348</v>
      </c>
      <c r="C11" s="287">
        <f t="shared" ref="C11:F11" si="0">SUM(C12:C13)</f>
        <v>16885480.449999999</v>
      </c>
      <c r="D11" s="287">
        <f t="shared" si="0"/>
        <v>36771447.549999997</v>
      </c>
      <c r="E11" s="287">
        <f t="shared" si="0"/>
        <v>15664016</v>
      </c>
      <c r="F11" s="287">
        <f t="shared" si="0"/>
        <v>2134569.9200000004</v>
      </c>
      <c r="G11" s="288">
        <f>SUM(G12:G13)</f>
        <v>46714197.126000002</v>
      </c>
      <c r="H11" s="577"/>
      <c r="I11" s="577"/>
      <c r="J11" s="577"/>
      <c r="K11" s="577"/>
      <c r="L11" s="577"/>
    </row>
    <row r="12" spans="1:12">
      <c r="A12" s="285">
        <v>5</v>
      </c>
      <c r="B12" s="289" t="s">
        <v>349</v>
      </c>
      <c r="C12" s="287">
        <v>3545846.1399999997</v>
      </c>
      <c r="D12" s="291">
        <v>11809247.859999999</v>
      </c>
      <c r="E12" s="287">
        <v>8472648</v>
      </c>
      <c r="F12" s="287">
        <v>586569.48</v>
      </c>
      <c r="G12" s="288">
        <v>23193595.905999999</v>
      </c>
      <c r="H12" s="577"/>
      <c r="I12" s="577"/>
      <c r="J12" s="577"/>
      <c r="K12" s="577"/>
      <c r="L12" s="577"/>
    </row>
    <row r="13" spans="1:12">
      <c r="A13" s="285">
        <v>6</v>
      </c>
      <c r="B13" s="289" t="s">
        <v>350</v>
      </c>
      <c r="C13" s="287">
        <v>13339634.310000001</v>
      </c>
      <c r="D13" s="291">
        <v>24962199.689999998</v>
      </c>
      <c r="E13" s="287">
        <v>7191368</v>
      </c>
      <c r="F13" s="287">
        <v>1548000.4400000004</v>
      </c>
      <c r="G13" s="288">
        <v>23520601.219999999</v>
      </c>
      <c r="H13" s="577"/>
      <c r="I13" s="577"/>
      <c r="J13" s="577"/>
      <c r="K13" s="577"/>
      <c r="L13" s="577"/>
    </row>
    <row r="14" spans="1:12">
      <c r="A14" s="285">
        <v>7</v>
      </c>
      <c r="B14" s="286" t="s">
        <v>351</v>
      </c>
      <c r="C14" s="287">
        <f t="shared" ref="C14:F14" si="1">SUM(C15:C16)</f>
        <v>149047366.44999999</v>
      </c>
      <c r="D14" s="287">
        <f t="shared" si="1"/>
        <v>152244999.54999998</v>
      </c>
      <c r="E14" s="287">
        <f t="shared" si="1"/>
        <v>15140954</v>
      </c>
      <c r="F14" s="287">
        <f t="shared" si="1"/>
        <v>-0.32999999448657036</v>
      </c>
      <c r="G14" s="288">
        <f>SUM(G15:G16)</f>
        <v>67263924.099999979</v>
      </c>
      <c r="H14" s="577"/>
      <c r="I14" s="577"/>
      <c r="J14" s="577"/>
      <c r="K14" s="577"/>
      <c r="L14" s="577"/>
    </row>
    <row r="15" spans="1:12" ht="41.4">
      <c r="A15" s="285">
        <v>8</v>
      </c>
      <c r="B15" s="289" t="s">
        <v>352</v>
      </c>
      <c r="C15" s="287">
        <v>68107761.349999994</v>
      </c>
      <c r="D15" s="291">
        <v>51279133.179999977</v>
      </c>
      <c r="E15" s="287">
        <v>9789516.0700000003</v>
      </c>
      <c r="F15" s="287">
        <v>-0.32999999448657036</v>
      </c>
      <c r="G15" s="288">
        <v>64588205.134999983</v>
      </c>
      <c r="H15" s="577"/>
      <c r="I15" s="577"/>
      <c r="J15" s="577"/>
      <c r="K15" s="577"/>
      <c r="L15" s="577"/>
    </row>
    <row r="16" spans="1:12" ht="27.6">
      <c r="A16" s="285">
        <v>9</v>
      </c>
      <c r="B16" s="289" t="s">
        <v>353</v>
      </c>
      <c r="C16" s="287">
        <v>80939605.099999994</v>
      </c>
      <c r="D16" s="291">
        <v>100965866.37</v>
      </c>
      <c r="E16" s="287">
        <v>5351437.93</v>
      </c>
      <c r="F16" s="287">
        <v>0</v>
      </c>
      <c r="G16" s="288">
        <v>2675718.9649999999</v>
      </c>
      <c r="H16" s="577"/>
      <c r="I16" s="577"/>
      <c r="J16" s="577"/>
      <c r="K16" s="577"/>
      <c r="L16" s="577"/>
    </row>
    <row r="17" spans="1:12">
      <c r="A17" s="285">
        <v>10</v>
      </c>
      <c r="B17" s="286" t="s">
        <v>354</v>
      </c>
      <c r="C17" s="287">
        <v>0</v>
      </c>
      <c r="D17" s="291"/>
      <c r="E17" s="287">
        <v>0</v>
      </c>
      <c r="F17" s="287">
        <v>0</v>
      </c>
      <c r="G17" s="288"/>
      <c r="H17" s="577"/>
      <c r="I17" s="577"/>
      <c r="J17" s="577"/>
      <c r="K17" s="577"/>
      <c r="L17" s="577"/>
    </row>
    <row r="18" spans="1:12">
      <c r="A18" s="285">
        <v>11</v>
      </c>
      <c r="B18" s="286" t="s">
        <v>355</v>
      </c>
      <c r="C18" s="287">
        <f>SUM(C19:C20)</f>
        <v>0</v>
      </c>
      <c r="D18" s="301">
        <f t="shared" ref="D18:G18" si="2">SUM(D19:D20)</f>
        <v>15472021.550000001</v>
      </c>
      <c r="E18" s="287">
        <f t="shared" si="2"/>
        <v>0</v>
      </c>
      <c r="F18" s="287">
        <f t="shared" si="2"/>
        <v>0</v>
      </c>
      <c r="G18" s="288">
        <f t="shared" si="2"/>
        <v>0</v>
      </c>
      <c r="H18" s="577"/>
      <c r="I18" s="577"/>
      <c r="J18" s="577"/>
      <c r="K18" s="577"/>
      <c r="L18" s="577"/>
    </row>
    <row r="19" spans="1:12">
      <c r="A19" s="285">
        <v>12</v>
      </c>
      <c r="B19" s="289" t="s">
        <v>356</v>
      </c>
      <c r="C19" s="290"/>
      <c r="D19" s="291">
        <v>549092.5</v>
      </c>
      <c r="E19" s="287"/>
      <c r="F19" s="287"/>
      <c r="G19" s="288"/>
      <c r="H19" s="577"/>
      <c r="I19" s="577"/>
      <c r="J19" s="577"/>
      <c r="K19" s="577"/>
      <c r="L19" s="577"/>
    </row>
    <row r="20" spans="1:12">
      <c r="A20" s="285">
        <v>13</v>
      </c>
      <c r="B20" s="289" t="s">
        <v>357</v>
      </c>
      <c r="C20" s="287"/>
      <c r="D20" s="287">
        <v>14922929.050000001</v>
      </c>
      <c r="E20" s="287"/>
      <c r="F20" s="287"/>
      <c r="G20" s="288"/>
      <c r="H20" s="577"/>
      <c r="I20" s="577"/>
      <c r="J20" s="577"/>
      <c r="K20" s="577"/>
      <c r="L20" s="577"/>
    </row>
    <row r="21" spans="1:12">
      <c r="A21" s="292">
        <v>14</v>
      </c>
      <c r="B21" s="293" t="s">
        <v>358</v>
      </c>
      <c r="C21" s="290"/>
      <c r="D21" s="290"/>
      <c r="E21" s="290"/>
      <c r="F21" s="290"/>
      <c r="G21" s="294">
        <f>SUM(G8,G11,G14,G17,G18)</f>
        <v>402681589.8039</v>
      </c>
      <c r="H21" s="577"/>
      <c r="I21" s="577"/>
      <c r="J21" s="577"/>
      <c r="K21" s="577"/>
      <c r="L21" s="577"/>
    </row>
    <row r="22" spans="1:12">
      <c r="A22" s="295"/>
      <c r="B22" s="296" t="s">
        <v>359</v>
      </c>
      <c r="C22" s="297"/>
      <c r="D22" s="298"/>
      <c r="E22" s="297"/>
      <c r="F22" s="297"/>
      <c r="G22" s="299"/>
      <c r="H22" s="577"/>
      <c r="I22" s="577"/>
      <c r="J22" s="577"/>
      <c r="K22" s="577"/>
      <c r="L22" s="577"/>
    </row>
    <row r="23" spans="1:12">
      <c r="A23" s="285">
        <v>15</v>
      </c>
      <c r="B23" s="286" t="s">
        <v>360</v>
      </c>
      <c r="C23" s="300">
        <v>210500874.17939997</v>
      </c>
      <c r="D23" s="301">
        <v>62355600</v>
      </c>
      <c r="E23" s="300">
        <v>0</v>
      </c>
      <c r="F23" s="300">
        <v>0</v>
      </c>
      <c r="G23" s="288">
        <v>9000074.3825000003</v>
      </c>
      <c r="H23" s="577"/>
      <c r="I23" s="577"/>
      <c r="J23" s="577"/>
      <c r="K23" s="577"/>
      <c r="L23" s="577"/>
    </row>
    <row r="24" spans="1:12">
      <c r="A24" s="285">
        <v>16</v>
      </c>
      <c r="B24" s="286" t="s">
        <v>361</v>
      </c>
      <c r="C24" s="287">
        <f>SUM(C25:C27,C29,C31)</f>
        <v>2761904.6547000003</v>
      </c>
      <c r="D24" s="291">
        <f t="shared" ref="D24:G24" si="3">SUM(D25:D27,D29,D31)</f>
        <v>74076712.249115273</v>
      </c>
      <c r="E24" s="287">
        <f t="shared" si="3"/>
        <v>90465821.683666989</v>
      </c>
      <c r="F24" s="287">
        <f t="shared" si="3"/>
        <v>204218773.46863499</v>
      </c>
      <c r="G24" s="288">
        <f t="shared" si="3"/>
        <v>247674502.66216373</v>
      </c>
      <c r="H24" s="577"/>
      <c r="I24" s="577"/>
      <c r="J24" s="577"/>
      <c r="K24" s="577"/>
      <c r="L24" s="577"/>
    </row>
    <row r="25" spans="1:12">
      <c r="A25" s="285">
        <v>17</v>
      </c>
      <c r="B25" s="289" t="s">
        <v>362</v>
      </c>
      <c r="C25" s="287">
        <v>2761904.6547000003</v>
      </c>
      <c r="D25" s="291">
        <v>36216605.476863265</v>
      </c>
      <c r="E25" s="287">
        <v>12006864.520973001</v>
      </c>
      <c r="F25" s="287">
        <v>27192029.7742</v>
      </c>
      <c r="G25" s="288">
        <v>39042238.554420993</v>
      </c>
      <c r="H25" s="577"/>
      <c r="I25" s="577"/>
      <c r="J25" s="577"/>
      <c r="K25" s="577"/>
      <c r="L25" s="577"/>
    </row>
    <row r="26" spans="1:12" ht="27.6">
      <c r="A26" s="285">
        <v>18</v>
      </c>
      <c r="B26" s="289" t="s">
        <v>363</v>
      </c>
      <c r="C26" s="287">
        <v>0</v>
      </c>
      <c r="D26" s="291">
        <v>35094653.867436998</v>
      </c>
      <c r="E26" s="287">
        <v>70712216.349999994</v>
      </c>
      <c r="F26" s="287">
        <v>169748440.74573499</v>
      </c>
      <c r="G26" s="288">
        <v>197189609.74259323</v>
      </c>
      <c r="H26" s="577"/>
      <c r="I26" s="577"/>
      <c r="J26" s="577"/>
      <c r="K26" s="577"/>
      <c r="L26" s="577"/>
    </row>
    <row r="27" spans="1:12">
      <c r="A27" s="285">
        <v>19</v>
      </c>
      <c r="B27" s="289" t="s">
        <v>364</v>
      </c>
      <c r="C27" s="287"/>
      <c r="D27" s="291"/>
      <c r="E27" s="287"/>
      <c r="F27" s="287"/>
      <c r="G27" s="288"/>
      <c r="H27" s="577"/>
      <c r="I27" s="577"/>
      <c r="J27" s="577"/>
      <c r="K27" s="577"/>
      <c r="L27" s="577"/>
    </row>
    <row r="28" spans="1:12">
      <c r="A28" s="285">
        <v>20</v>
      </c>
      <c r="B28" s="302" t="s">
        <v>365</v>
      </c>
      <c r="C28" s="287"/>
      <c r="D28" s="291"/>
      <c r="E28" s="287"/>
      <c r="F28" s="287"/>
      <c r="G28" s="288"/>
      <c r="H28" s="577"/>
      <c r="I28" s="577"/>
      <c r="J28" s="577"/>
      <c r="K28" s="577"/>
      <c r="L28" s="577"/>
    </row>
    <row r="29" spans="1:12">
      <c r="A29" s="285">
        <v>21</v>
      </c>
      <c r="B29" s="289" t="s">
        <v>366</v>
      </c>
      <c r="C29" s="287"/>
      <c r="D29" s="291"/>
      <c r="E29" s="287"/>
      <c r="F29" s="287"/>
      <c r="G29" s="288"/>
      <c r="H29" s="577"/>
      <c r="I29" s="577"/>
      <c r="J29" s="577"/>
      <c r="K29" s="577"/>
      <c r="L29" s="577"/>
    </row>
    <row r="30" spans="1:12">
      <c r="A30" s="285">
        <v>22</v>
      </c>
      <c r="B30" s="302" t="s">
        <v>365</v>
      </c>
      <c r="C30" s="287"/>
      <c r="D30" s="291"/>
      <c r="E30" s="287"/>
      <c r="F30" s="287"/>
      <c r="G30" s="288"/>
      <c r="H30" s="577"/>
      <c r="I30" s="577"/>
      <c r="J30" s="577"/>
      <c r="K30" s="577"/>
      <c r="L30" s="577"/>
    </row>
    <row r="31" spans="1:12">
      <c r="A31" s="285">
        <v>23</v>
      </c>
      <c r="B31" s="289" t="s">
        <v>367</v>
      </c>
      <c r="C31" s="287">
        <v>0</v>
      </c>
      <c r="D31" s="291">
        <v>2765452.904815</v>
      </c>
      <c r="E31" s="287">
        <v>7746740.8126940001</v>
      </c>
      <c r="F31" s="287">
        <v>7278302.9486999996</v>
      </c>
      <c r="G31" s="288">
        <v>11442654.365149498</v>
      </c>
      <c r="H31" s="577"/>
      <c r="I31" s="577"/>
      <c r="J31" s="577"/>
      <c r="K31" s="577"/>
      <c r="L31" s="577"/>
    </row>
    <row r="32" spans="1:12">
      <c r="A32" s="285">
        <v>24</v>
      </c>
      <c r="B32" s="286" t="s">
        <v>368</v>
      </c>
      <c r="C32" s="287"/>
      <c r="D32" s="291"/>
      <c r="E32" s="287"/>
      <c r="F32" s="287"/>
      <c r="G32" s="288"/>
      <c r="H32" s="577"/>
      <c r="I32" s="577"/>
      <c r="J32" s="577"/>
      <c r="K32" s="577"/>
      <c r="L32" s="577"/>
    </row>
    <row r="33" spans="1:12">
      <c r="A33" s="285">
        <v>25</v>
      </c>
      <c r="B33" s="286" t="s">
        <v>369</v>
      </c>
      <c r="C33" s="300">
        <f>SUM(C34:C35)</f>
        <v>6718453.9200000018</v>
      </c>
      <c r="D33" s="287">
        <f>SUM(D34:D35)</f>
        <v>20677344.276099999</v>
      </c>
      <c r="E33" s="287">
        <f>SUM(E34:E35)</f>
        <v>2247800.6364999996</v>
      </c>
      <c r="F33" s="287">
        <f>SUM(F34:F35)</f>
        <v>22620910.652272001</v>
      </c>
      <c r="G33" s="288">
        <f>SUM(G34:G35)</f>
        <v>41097373.896622002</v>
      </c>
      <c r="H33" s="577"/>
      <c r="I33" s="577"/>
      <c r="J33" s="577"/>
      <c r="K33" s="577"/>
      <c r="L33" s="577"/>
    </row>
    <row r="34" spans="1:12">
      <c r="A34" s="285">
        <v>26</v>
      </c>
      <c r="B34" s="289" t="s">
        <v>370</v>
      </c>
      <c r="C34" s="290"/>
      <c r="D34" s="291">
        <v>590873.73609999998</v>
      </c>
      <c r="E34" s="287">
        <v>0</v>
      </c>
      <c r="F34" s="287">
        <v>0</v>
      </c>
      <c r="G34" s="288">
        <v>590873.73609999998</v>
      </c>
      <c r="H34" s="577"/>
      <c r="I34" s="577"/>
      <c r="J34" s="577"/>
      <c r="K34" s="577"/>
      <c r="L34" s="577"/>
    </row>
    <row r="35" spans="1:12">
      <c r="A35" s="285">
        <v>27</v>
      </c>
      <c r="B35" s="289" t="s">
        <v>371</v>
      </c>
      <c r="C35" s="287">
        <v>6718453.9200000018</v>
      </c>
      <c r="D35" s="291">
        <v>20086470.539999999</v>
      </c>
      <c r="E35" s="287">
        <v>2247800.6364999996</v>
      </c>
      <c r="F35" s="287">
        <v>22620910.652272001</v>
      </c>
      <c r="G35" s="288">
        <v>40506500.160521999</v>
      </c>
      <c r="H35" s="577"/>
      <c r="I35" s="577"/>
      <c r="J35" s="577"/>
      <c r="K35" s="577"/>
      <c r="L35" s="577"/>
    </row>
    <row r="36" spans="1:12">
      <c r="A36" s="285">
        <v>28</v>
      </c>
      <c r="B36" s="286" t="s">
        <v>372</v>
      </c>
      <c r="C36" s="287">
        <v>0</v>
      </c>
      <c r="D36" s="291">
        <v>21170159.166166998</v>
      </c>
      <c r="E36" s="287">
        <v>22424499.16</v>
      </c>
      <c r="F36" s="287">
        <v>34490229.670000002</v>
      </c>
      <c r="G36" s="288">
        <v>8474492.3248083517</v>
      </c>
      <c r="H36" s="577"/>
      <c r="I36" s="577"/>
      <c r="J36" s="577"/>
      <c r="K36" s="577"/>
      <c r="L36" s="577"/>
    </row>
    <row r="37" spans="1:12">
      <c r="A37" s="292">
        <v>29</v>
      </c>
      <c r="B37" s="293" t="s">
        <v>373</v>
      </c>
      <c r="C37" s="290"/>
      <c r="D37" s="290"/>
      <c r="E37" s="290"/>
      <c r="F37" s="290"/>
      <c r="G37" s="294">
        <f>SUM(G23:G24,G32:G33,G36)</f>
        <v>306246443.26609409</v>
      </c>
      <c r="H37" s="577"/>
      <c r="I37" s="577"/>
      <c r="J37" s="577"/>
      <c r="K37" s="577"/>
      <c r="L37" s="577"/>
    </row>
    <row r="38" spans="1:12">
      <c r="A38" s="281"/>
      <c r="B38" s="303"/>
      <c r="C38" s="304"/>
      <c r="D38" s="304"/>
      <c r="E38" s="304"/>
      <c r="F38" s="304"/>
      <c r="G38" s="305"/>
      <c r="H38" s="577"/>
      <c r="I38" s="577"/>
      <c r="J38" s="577"/>
      <c r="K38" s="577"/>
      <c r="L38" s="577"/>
    </row>
    <row r="39" spans="1:12" ht="15" thickBot="1">
      <c r="A39" s="306">
        <v>30</v>
      </c>
      <c r="B39" s="307" t="s">
        <v>374</v>
      </c>
      <c r="C39" s="200"/>
      <c r="D39" s="201"/>
      <c r="E39" s="201"/>
      <c r="F39" s="202"/>
      <c r="G39" s="308">
        <f>IFERROR(G21/G37,0)</f>
        <v>1.3148939315321762</v>
      </c>
      <c r="H39" s="577"/>
      <c r="I39" s="577"/>
      <c r="J39" s="577"/>
      <c r="K39" s="577"/>
      <c r="L39" s="577"/>
    </row>
    <row r="42" spans="1:12" ht="41.4">
      <c r="B42" s="142" t="s">
        <v>375</v>
      </c>
    </row>
  </sheetData>
  <mergeCells count="2">
    <mergeCell ref="C5:F5"/>
    <mergeCell ref="G5:G6"/>
  </mergeCells>
  <pageMargins left="0.7" right="0.7" top="0.75" bottom="0.75" header="0.3" footer="0.3"/>
  <headerFooter>
    <oddFooter>&amp;C_x000D_&amp;1#&amp;"Calibri"&amp;10&amp;K000000 C1 - FOR INTERNAL USE ONLY</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38"/>
  <sheetViews>
    <sheetView showGridLines="0" zoomScale="80" zoomScaleNormal="80" workbookViewId="0">
      <selection activeCell="L18" sqref="L18"/>
    </sheetView>
  </sheetViews>
  <sheetFormatPr defaultColWidth="9.21875" defaultRowHeight="12"/>
  <cols>
    <col min="1" max="1" width="11.77734375" style="316" bestFit="1" customWidth="1"/>
    <col min="2" max="2" width="105.21875" style="316" bestFit="1" customWidth="1"/>
    <col min="3" max="3" width="13.88671875" style="316" bestFit="1" customWidth="1"/>
    <col min="4" max="4" width="13.109375" style="316" bestFit="1" customWidth="1"/>
    <col min="5" max="5" width="17.44140625" style="316" bestFit="1" customWidth="1"/>
    <col min="6" max="6" width="13.109375" style="316" bestFit="1" customWidth="1"/>
    <col min="7" max="7" width="30.44140625" style="316" customWidth="1"/>
    <col min="8" max="8" width="12.44140625" style="316" bestFit="1" customWidth="1"/>
    <col min="9" max="16384" width="9.21875" style="316"/>
  </cols>
  <sheetData>
    <row r="1" spans="1:8" ht="13.8">
      <c r="A1" s="314" t="s">
        <v>30</v>
      </c>
      <c r="B1" s="376" t="str">
        <f>'Info '!C2</f>
        <v xml:space="preserve">PASHA Bank Georgia JSC </v>
      </c>
    </row>
    <row r="2" spans="1:8">
      <c r="A2" s="314" t="s">
        <v>31</v>
      </c>
      <c r="B2" s="375">
        <f>'1. key ratios '!B2</f>
        <v>45747</v>
      </c>
    </row>
    <row r="3" spans="1:8">
      <c r="A3" s="315" t="s">
        <v>380</v>
      </c>
    </row>
    <row r="5" spans="1:8" ht="12" customHeight="1">
      <c r="A5" s="765" t="s">
        <v>381</v>
      </c>
      <c r="B5" s="766"/>
      <c r="C5" s="771" t="s">
        <v>382</v>
      </c>
      <c r="D5" s="772"/>
      <c r="E5" s="772"/>
      <c r="F5" s="772"/>
      <c r="G5" s="772"/>
      <c r="H5" s="773"/>
    </row>
    <row r="6" spans="1:8">
      <c r="A6" s="767"/>
      <c r="B6" s="768"/>
      <c r="C6" s="774"/>
      <c r="D6" s="775"/>
      <c r="E6" s="775"/>
      <c r="F6" s="775"/>
      <c r="G6" s="775"/>
      <c r="H6" s="776"/>
    </row>
    <row r="7" spans="1:8">
      <c r="A7" s="769"/>
      <c r="B7" s="770"/>
      <c r="C7" s="374" t="s">
        <v>383</v>
      </c>
      <c r="D7" s="374" t="s">
        <v>384</v>
      </c>
      <c r="E7" s="374" t="s">
        <v>385</v>
      </c>
      <c r="F7" s="374" t="s">
        <v>386</v>
      </c>
      <c r="G7" s="374" t="s">
        <v>387</v>
      </c>
      <c r="H7" s="374" t="s">
        <v>64</v>
      </c>
    </row>
    <row r="8" spans="1:8">
      <c r="A8" s="370">
        <v>1</v>
      </c>
      <c r="B8" s="369" t="s">
        <v>51</v>
      </c>
      <c r="C8" s="627">
        <v>26458787.163800001</v>
      </c>
      <c r="D8" s="627"/>
      <c r="E8" s="627">
        <v>5346400</v>
      </c>
      <c r="F8" s="627"/>
      <c r="G8" s="627">
        <v>62957596.307899997</v>
      </c>
      <c r="H8" s="628">
        <f t="shared" ref="H8:H21" si="0">SUM(C8:G8)</f>
        <v>94762783.471699998</v>
      </c>
    </row>
    <row r="9" spans="1:8">
      <c r="A9" s="370">
        <v>2</v>
      </c>
      <c r="B9" s="369" t="s">
        <v>52</v>
      </c>
      <c r="C9" s="627"/>
      <c r="D9" s="627"/>
      <c r="E9" s="627"/>
      <c r="F9" s="627"/>
      <c r="G9" s="627"/>
      <c r="H9" s="628">
        <f t="shared" si="0"/>
        <v>0</v>
      </c>
    </row>
    <row r="10" spans="1:8">
      <c r="A10" s="370">
        <v>3</v>
      </c>
      <c r="B10" s="369" t="s">
        <v>152</v>
      </c>
      <c r="C10" s="627"/>
      <c r="D10" s="627"/>
      <c r="E10" s="627"/>
      <c r="F10" s="627"/>
      <c r="G10" s="627"/>
      <c r="H10" s="628">
        <f t="shared" si="0"/>
        <v>0</v>
      </c>
    </row>
    <row r="11" spans="1:8">
      <c r="A11" s="370">
        <v>4</v>
      </c>
      <c r="B11" s="369" t="s">
        <v>53</v>
      </c>
      <c r="C11" s="627"/>
      <c r="D11" s="627"/>
      <c r="E11" s="627"/>
      <c r="F11" s="627"/>
      <c r="G11" s="627"/>
      <c r="H11" s="628">
        <f t="shared" si="0"/>
        <v>0</v>
      </c>
    </row>
    <row r="12" spans="1:8">
      <c r="A12" s="370">
        <v>5</v>
      </c>
      <c r="B12" s="369" t="s">
        <v>54</v>
      </c>
      <c r="C12" s="627"/>
      <c r="D12" s="627"/>
      <c r="E12" s="627"/>
      <c r="F12" s="627"/>
      <c r="G12" s="627"/>
      <c r="H12" s="628">
        <f t="shared" si="0"/>
        <v>0</v>
      </c>
    </row>
    <row r="13" spans="1:8">
      <c r="A13" s="370">
        <v>6</v>
      </c>
      <c r="B13" s="369" t="s">
        <v>55</v>
      </c>
      <c r="C13" s="627">
        <v>30699611.4714</v>
      </c>
      <c r="D13" s="627">
        <v>111059052.82620001</v>
      </c>
      <c r="E13" s="627">
        <v>6746309.1800000006</v>
      </c>
      <c r="F13" s="627"/>
      <c r="G13" s="627"/>
      <c r="H13" s="628">
        <f t="shared" si="0"/>
        <v>148504973.47760001</v>
      </c>
    </row>
    <row r="14" spans="1:8">
      <c r="A14" s="370">
        <v>7</v>
      </c>
      <c r="B14" s="369" t="s">
        <v>56</v>
      </c>
      <c r="C14" s="627"/>
      <c r="D14" s="627">
        <v>48572123.9331</v>
      </c>
      <c r="E14" s="627">
        <v>215551912.53569999</v>
      </c>
      <c r="F14" s="627">
        <v>155890634.94780001</v>
      </c>
      <c r="G14" s="627"/>
      <c r="H14" s="628">
        <f t="shared" si="0"/>
        <v>420014671.41659999</v>
      </c>
    </row>
    <row r="15" spans="1:8">
      <c r="A15" s="370">
        <v>8</v>
      </c>
      <c r="B15" s="371" t="s">
        <v>57</v>
      </c>
      <c r="C15" s="627"/>
      <c r="D15" s="627"/>
      <c r="E15" s="627"/>
      <c r="F15" s="627"/>
      <c r="G15" s="627"/>
      <c r="H15" s="628">
        <f t="shared" si="0"/>
        <v>0</v>
      </c>
    </row>
    <row r="16" spans="1:8">
      <c r="A16" s="370">
        <v>9</v>
      </c>
      <c r="B16" s="369" t="s">
        <v>58</v>
      </c>
      <c r="C16" s="627"/>
      <c r="D16" s="627"/>
      <c r="E16" s="627"/>
      <c r="F16" s="627"/>
      <c r="G16" s="627"/>
      <c r="H16" s="628">
        <f t="shared" si="0"/>
        <v>0</v>
      </c>
    </row>
    <row r="17" spans="1:8">
      <c r="A17" s="370">
        <v>10</v>
      </c>
      <c r="B17" s="373" t="s">
        <v>395</v>
      </c>
      <c r="C17" s="627"/>
      <c r="D17" s="627">
        <v>1272397.4293000002</v>
      </c>
      <c r="E17" s="627">
        <v>1089058.4685</v>
      </c>
      <c r="F17" s="627">
        <v>13592435.336200001</v>
      </c>
      <c r="G17" s="627"/>
      <c r="H17" s="628">
        <f t="shared" si="0"/>
        <v>15953891.234000001</v>
      </c>
    </row>
    <row r="18" spans="1:8">
      <c r="A18" s="370">
        <v>11</v>
      </c>
      <c r="B18" s="369" t="s">
        <v>60</v>
      </c>
      <c r="C18" s="627"/>
      <c r="D18" s="627"/>
      <c r="E18" s="627"/>
      <c r="F18" s="627"/>
      <c r="G18" s="627"/>
      <c r="H18" s="628">
        <f t="shared" si="0"/>
        <v>0</v>
      </c>
    </row>
    <row r="19" spans="1:8">
      <c r="A19" s="370">
        <v>12</v>
      </c>
      <c r="B19" s="369" t="s">
        <v>61</v>
      </c>
      <c r="C19" s="627"/>
      <c r="D19" s="627"/>
      <c r="E19" s="627"/>
      <c r="F19" s="627"/>
      <c r="G19" s="627"/>
      <c r="H19" s="628">
        <f t="shared" si="0"/>
        <v>0</v>
      </c>
    </row>
    <row r="20" spans="1:8">
      <c r="A20" s="372">
        <v>13</v>
      </c>
      <c r="B20" s="371" t="s">
        <v>144</v>
      </c>
      <c r="C20" s="627"/>
      <c r="D20" s="627"/>
      <c r="E20" s="627"/>
      <c r="F20" s="627"/>
      <c r="G20" s="627"/>
      <c r="H20" s="628">
        <f t="shared" si="0"/>
        <v>0</v>
      </c>
    </row>
    <row r="21" spans="1:8">
      <c r="A21" s="370">
        <v>14</v>
      </c>
      <c r="B21" s="369" t="s">
        <v>63</v>
      </c>
      <c r="C21" s="627">
        <v>3438603.0576999998</v>
      </c>
      <c r="D21" s="627">
        <v>24387147.665899999</v>
      </c>
      <c r="E21" s="627"/>
      <c r="F21" s="627"/>
      <c r="G21" s="627">
        <v>1740945.9800000004</v>
      </c>
      <c r="H21" s="628">
        <f t="shared" si="0"/>
        <v>29566696.703600001</v>
      </c>
    </row>
    <row r="22" spans="1:8">
      <c r="A22" s="368">
        <v>15</v>
      </c>
      <c r="B22" s="367" t="s">
        <v>64</v>
      </c>
      <c r="C22" s="367">
        <f>SUM(C18:C21)+SUM(C8:C16)</f>
        <v>60597001.692900002</v>
      </c>
      <c r="D22" s="367">
        <f t="shared" ref="D22:H22" si="1">SUM(D18:D21)+SUM(D8:D16)</f>
        <v>184018324.42519999</v>
      </c>
      <c r="E22" s="367">
        <f t="shared" si="1"/>
        <v>227644621.7157</v>
      </c>
      <c r="F22" s="367">
        <f t="shared" si="1"/>
        <v>155890634.94780001</v>
      </c>
      <c r="G22" s="367">
        <f t="shared" si="1"/>
        <v>64698542.287900001</v>
      </c>
      <c r="H22" s="628">
        <f t="shared" si="1"/>
        <v>692849125.06950009</v>
      </c>
    </row>
    <row r="24" spans="1:8">
      <c r="C24" s="629"/>
      <c r="D24" s="629"/>
      <c r="E24" s="629"/>
      <c r="F24" s="629"/>
      <c r="G24" s="629"/>
      <c r="H24" s="629"/>
    </row>
    <row r="25" spans="1:8">
      <c r="C25" s="629"/>
      <c r="D25" s="629"/>
      <c r="E25" s="629"/>
      <c r="F25" s="629"/>
      <c r="G25" s="629"/>
      <c r="H25" s="629"/>
    </row>
    <row r="26" spans="1:8" ht="24">
      <c r="B26" s="319" t="s">
        <v>482</v>
      </c>
      <c r="C26" s="629"/>
      <c r="D26" s="629"/>
      <c r="E26" s="629"/>
      <c r="F26" s="629"/>
      <c r="G26" s="629"/>
      <c r="H26" s="629"/>
    </row>
    <row r="27" spans="1:8">
      <c r="C27" s="629"/>
      <c r="D27" s="629"/>
      <c r="E27" s="629"/>
      <c r="F27" s="629"/>
      <c r="G27" s="629"/>
      <c r="H27" s="629"/>
    </row>
    <row r="28" spans="1:8">
      <c r="C28" s="629"/>
      <c r="D28" s="629"/>
      <c r="E28" s="629"/>
      <c r="F28" s="629"/>
      <c r="G28" s="629"/>
      <c r="H28" s="629"/>
    </row>
    <row r="29" spans="1:8">
      <c r="C29" s="629"/>
      <c r="D29" s="629"/>
      <c r="E29" s="629"/>
      <c r="F29" s="629"/>
      <c r="G29" s="629"/>
      <c r="H29" s="629"/>
    </row>
    <row r="30" spans="1:8">
      <c r="C30" s="629"/>
      <c r="D30" s="629"/>
      <c r="E30" s="629"/>
      <c r="F30" s="629"/>
      <c r="G30" s="629"/>
      <c r="H30" s="629"/>
    </row>
    <row r="31" spans="1:8">
      <c r="C31" s="629"/>
      <c r="D31" s="629"/>
      <c r="E31" s="629"/>
      <c r="F31" s="629"/>
      <c r="G31" s="629"/>
      <c r="H31" s="629"/>
    </row>
    <row r="32" spans="1:8">
      <c r="C32" s="629"/>
      <c r="D32" s="629"/>
      <c r="E32" s="629"/>
      <c r="F32" s="629"/>
      <c r="G32" s="629"/>
      <c r="H32" s="629"/>
    </row>
    <row r="33" spans="3:8">
      <c r="C33" s="629"/>
      <c r="D33" s="629"/>
      <c r="E33" s="629"/>
      <c r="F33" s="629"/>
      <c r="G33" s="629"/>
      <c r="H33" s="629"/>
    </row>
    <row r="34" spans="3:8">
      <c r="C34" s="629"/>
      <c r="D34" s="629"/>
      <c r="E34" s="629"/>
      <c r="F34" s="629"/>
      <c r="G34" s="629"/>
      <c r="H34" s="629"/>
    </row>
    <row r="35" spans="3:8">
      <c r="C35" s="629"/>
      <c r="D35" s="629"/>
      <c r="E35" s="629"/>
      <c r="F35" s="629"/>
      <c r="G35" s="629"/>
      <c r="H35" s="629"/>
    </row>
    <row r="36" spans="3:8">
      <c r="C36" s="629"/>
      <c r="D36" s="629"/>
      <c r="E36" s="629"/>
      <c r="F36" s="629"/>
      <c r="G36" s="629"/>
      <c r="H36" s="629"/>
    </row>
    <row r="37" spans="3:8">
      <c r="C37" s="629"/>
      <c r="D37" s="629"/>
      <c r="E37" s="629"/>
      <c r="F37" s="629"/>
      <c r="G37" s="629"/>
      <c r="H37" s="629"/>
    </row>
    <row r="38" spans="3:8">
      <c r="C38" s="629"/>
      <c r="D38" s="629"/>
      <c r="E38" s="629"/>
      <c r="F38" s="629"/>
      <c r="G38" s="629"/>
      <c r="H38" s="629"/>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Footer>&amp;C_x000D_&amp;1#&amp;"Calibri"&amp;10&amp;K000000 C1 - FOR INTERNAL USE ONLY</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3"/>
  <sheetViews>
    <sheetView showGridLines="0" zoomScale="80" zoomScaleNormal="80" workbookViewId="0">
      <selection activeCell="C27" sqref="C27"/>
    </sheetView>
  </sheetViews>
  <sheetFormatPr defaultColWidth="9.21875" defaultRowHeight="12"/>
  <cols>
    <col min="1" max="1" width="11.77734375" style="377" bestFit="1" customWidth="1"/>
    <col min="2" max="2" width="86.77734375" style="316" customWidth="1"/>
    <col min="3" max="4" width="31.5546875" style="316" customWidth="1"/>
    <col min="5" max="5" width="15.109375" style="316" bestFit="1" customWidth="1"/>
    <col min="6" max="6" width="11.77734375" style="316" bestFit="1" customWidth="1"/>
    <col min="7" max="7" width="21.5546875" style="316" bestFit="1" customWidth="1"/>
    <col min="8" max="8" width="41.44140625" style="316" customWidth="1"/>
    <col min="9" max="16384" width="9.21875" style="316"/>
  </cols>
  <sheetData>
    <row r="1" spans="1:8" ht="13.8">
      <c r="A1" s="314" t="s">
        <v>30</v>
      </c>
      <c r="B1" s="376" t="str">
        <f>'Info '!C2</f>
        <v xml:space="preserve">PASHA Bank Georgia JSC </v>
      </c>
      <c r="C1" s="389"/>
      <c r="D1" s="389"/>
      <c r="E1" s="389"/>
      <c r="F1" s="389"/>
      <c r="G1" s="389"/>
      <c r="H1" s="389"/>
    </row>
    <row r="2" spans="1:8">
      <c r="A2" s="314" t="s">
        <v>31</v>
      </c>
      <c r="B2" s="375">
        <f>'1. key ratios '!B2</f>
        <v>45747</v>
      </c>
      <c r="C2" s="389"/>
      <c r="D2" s="389"/>
      <c r="E2" s="389"/>
      <c r="F2" s="389"/>
      <c r="G2" s="389"/>
      <c r="H2" s="389"/>
    </row>
    <row r="3" spans="1:8">
      <c r="A3" s="315" t="s">
        <v>388</v>
      </c>
      <c r="B3" s="389"/>
      <c r="C3" s="389"/>
      <c r="D3" s="389"/>
      <c r="E3" s="389"/>
      <c r="F3" s="389"/>
      <c r="G3" s="389"/>
      <c r="H3" s="389"/>
    </row>
    <row r="4" spans="1:8">
      <c r="A4" s="390"/>
      <c r="B4" s="389"/>
      <c r="C4" s="388" t="s">
        <v>0</v>
      </c>
      <c r="D4" s="388" t="s">
        <v>1</v>
      </c>
      <c r="E4" s="388" t="s">
        <v>2</v>
      </c>
      <c r="F4" s="388" t="s">
        <v>3</v>
      </c>
      <c r="G4" s="388" t="s">
        <v>4</v>
      </c>
      <c r="H4" s="388" t="s">
        <v>5</v>
      </c>
    </row>
    <row r="5" spans="1:8" ht="34.049999999999997" customHeight="1">
      <c r="A5" s="765" t="s">
        <v>389</v>
      </c>
      <c r="B5" s="766"/>
      <c r="C5" s="779" t="s">
        <v>390</v>
      </c>
      <c r="D5" s="779"/>
      <c r="E5" s="779" t="s">
        <v>627</v>
      </c>
      <c r="F5" s="777" t="s">
        <v>391</v>
      </c>
      <c r="G5" s="777" t="s">
        <v>392</v>
      </c>
      <c r="H5" s="386" t="s">
        <v>626</v>
      </c>
    </row>
    <row r="6" spans="1:8" ht="24">
      <c r="A6" s="769"/>
      <c r="B6" s="770"/>
      <c r="C6" s="387" t="s">
        <v>393</v>
      </c>
      <c r="D6" s="387" t="s">
        <v>394</v>
      </c>
      <c r="E6" s="779"/>
      <c r="F6" s="778"/>
      <c r="G6" s="778"/>
      <c r="H6" s="386" t="s">
        <v>625</v>
      </c>
    </row>
    <row r="7" spans="1:8">
      <c r="A7" s="384">
        <v>1</v>
      </c>
      <c r="B7" s="369" t="s">
        <v>51</v>
      </c>
      <c r="C7" s="630"/>
      <c r="D7" s="630"/>
      <c r="E7" s="630"/>
      <c r="F7" s="630"/>
      <c r="G7" s="630"/>
      <c r="H7" s="631">
        <f>C7+D7-E7-F7</f>
        <v>0</v>
      </c>
    </row>
    <row r="8" spans="1:8">
      <c r="A8" s="384">
        <v>2</v>
      </c>
      <c r="B8" s="369" t="s">
        <v>52</v>
      </c>
      <c r="C8" s="630"/>
      <c r="D8" s="630">
        <v>94762783.471699998</v>
      </c>
      <c r="E8" s="630"/>
      <c r="F8" s="630"/>
      <c r="G8" s="630"/>
      <c r="H8" s="631">
        <f t="shared" ref="H8:H20" si="0">C8+D8-E8-F8</f>
        <v>94762783.471699998</v>
      </c>
    </row>
    <row r="9" spans="1:8">
      <c r="A9" s="384">
        <v>3</v>
      </c>
      <c r="B9" s="369" t="s">
        <v>152</v>
      </c>
      <c r="C9" s="630"/>
      <c r="D9" s="630"/>
      <c r="E9" s="630"/>
      <c r="F9" s="630"/>
      <c r="G9" s="630"/>
      <c r="H9" s="631">
        <f t="shared" si="0"/>
        <v>0</v>
      </c>
    </row>
    <row r="10" spans="1:8">
      <c r="A10" s="384">
        <v>4</v>
      </c>
      <c r="B10" s="369" t="s">
        <v>53</v>
      </c>
      <c r="C10" s="630"/>
      <c r="D10" s="630"/>
      <c r="E10" s="630"/>
      <c r="F10" s="630"/>
      <c r="G10" s="630"/>
      <c r="H10" s="631">
        <f t="shared" si="0"/>
        <v>0</v>
      </c>
    </row>
    <row r="11" spans="1:8">
      <c r="A11" s="384">
        <v>5</v>
      </c>
      <c r="B11" s="369" t="s">
        <v>54</v>
      </c>
      <c r="C11" s="630"/>
      <c r="D11" s="630"/>
      <c r="E11" s="630"/>
      <c r="F11" s="630"/>
      <c r="G11" s="630"/>
      <c r="H11" s="631">
        <f t="shared" si="0"/>
        <v>0</v>
      </c>
    </row>
    <row r="12" spans="1:8">
      <c r="A12" s="384">
        <v>6</v>
      </c>
      <c r="B12" s="369" t="s">
        <v>55</v>
      </c>
      <c r="C12" s="630"/>
      <c r="D12" s="630">
        <v>148836361.96560001</v>
      </c>
      <c r="E12" s="630">
        <v>331388.48800000001</v>
      </c>
      <c r="F12" s="630"/>
      <c r="G12" s="630"/>
      <c r="H12" s="631">
        <f t="shared" si="0"/>
        <v>148504973.47760001</v>
      </c>
    </row>
    <row r="13" spans="1:8">
      <c r="A13" s="384">
        <v>7</v>
      </c>
      <c r="B13" s="369" t="s">
        <v>56</v>
      </c>
      <c r="C13" s="630">
        <v>30815245.5625</v>
      </c>
      <c r="D13" s="630">
        <v>400920342.33359998</v>
      </c>
      <c r="E13" s="630">
        <v>11720916.479499999</v>
      </c>
      <c r="F13" s="630"/>
      <c r="G13" s="630"/>
      <c r="H13" s="631">
        <f t="shared" si="0"/>
        <v>420014671.41659999</v>
      </c>
    </row>
    <row r="14" spans="1:8">
      <c r="A14" s="384">
        <v>8</v>
      </c>
      <c r="B14" s="371" t="s">
        <v>57</v>
      </c>
      <c r="C14" s="630"/>
      <c r="D14" s="630"/>
      <c r="E14" s="630"/>
      <c r="F14" s="630"/>
      <c r="G14" s="630"/>
      <c r="H14" s="631">
        <f t="shared" si="0"/>
        <v>0</v>
      </c>
    </row>
    <row r="15" spans="1:8">
      <c r="A15" s="384">
        <v>9</v>
      </c>
      <c r="B15" s="369" t="s">
        <v>58</v>
      </c>
      <c r="C15" s="630"/>
      <c r="D15" s="630"/>
      <c r="E15" s="630"/>
      <c r="F15" s="630"/>
      <c r="G15" s="630"/>
      <c r="H15" s="631">
        <f t="shared" si="0"/>
        <v>0</v>
      </c>
    </row>
    <row r="16" spans="1:8">
      <c r="A16" s="384">
        <v>10</v>
      </c>
      <c r="B16" s="373" t="s">
        <v>395</v>
      </c>
      <c r="C16" s="630">
        <v>21687902.2511</v>
      </c>
      <c r="D16" s="630">
        <v>0</v>
      </c>
      <c r="E16" s="630">
        <v>5734011.0207000002</v>
      </c>
      <c r="F16" s="630"/>
      <c r="G16" s="630"/>
      <c r="H16" s="631">
        <f t="shared" si="0"/>
        <v>15953891.2304</v>
      </c>
    </row>
    <row r="17" spans="1:8">
      <c r="A17" s="384">
        <v>11</v>
      </c>
      <c r="B17" s="369" t="s">
        <v>60</v>
      </c>
      <c r="C17" s="630"/>
      <c r="D17" s="630"/>
      <c r="E17" s="630"/>
      <c r="F17" s="630"/>
      <c r="G17" s="630"/>
      <c r="H17" s="631">
        <f t="shared" si="0"/>
        <v>0</v>
      </c>
    </row>
    <row r="18" spans="1:8">
      <c r="A18" s="384">
        <v>12</v>
      </c>
      <c r="B18" s="369" t="s">
        <v>61</v>
      </c>
      <c r="C18" s="630"/>
      <c r="D18" s="630"/>
      <c r="E18" s="630"/>
      <c r="F18" s="630"/>
      <c r="G18" s="630"/>
      <c r="H18" s="631">
        <f t="shared" si="0"/>
        <v>0</v>
      </c>
    </row>
    <row r="19" spans="1:8">
      <c r="A19" s="385">
        <v>13</v>
      </c>
      <c r="B19" s="371" t="s">
        <v>144</v>
      </c>
      <c r="C19" s="630"/>
      <c r="D19" s="630"/>
      <c r="E19" s="630"/>
      <c r="F19" s="630"/>
      <c r="G19" s="630"/>
      <c r="H19" s="631">
        <f t="shared" si="0"/>
        <v>0</v>
      </c>
    </row>
    <row r="20" spans="1:8">
      <c r="A20" s="384">
        <v>14</v>
      </c>
      <c r="B20" s="369" t="s">
        <v>63</v>
      </c>
      <c r="C20" s="630"/>
      <c r="D20" s="630">
        <v>36945717.3336</v>
      </c>
      <c r="E20" s="630"/>
      <c r="F20" s="630"/>
      <c r="G20" s="630"/>
      <c r="H20" s="631">
        <f t="shared" si="0"/>
        <v>36945717.3336</v>
      </c>
    </row>
    <row r="21" spans="1:8" s="381" customFormat="1">
      <c r="A21" s="383">
        <v>15</v>
      </c>
      <c r="B21" s="382" t="s">
        <v>64</v>
      </c>
      <c r="C21" s="632">
        <f t="shared" ref="C21:H21" si="1">SUM(C7:C15)+SUM(C17:C20)</f>
        <v>30815245.5625</v>
      </c>
      <c r="D21" s="632">
        <f t="shared" si="1"/>
        <v>681465205.10450006</v>
      </c>
      <c r="E21" s="632">
        <f t="shared" si="1"/>
        <v>12052304.967499999</v>
      </c>
      <c r="F21" s="632">
        <f t="shared" si="1"/>
        <v>0</v>
      </c>
      <c r="G21" s="632">
        <f t="shared" si="1"/>
        <v>0</v>
      </c>
      <c r="H21" s="631">
        <f t="shared" si="1"/>
        <v>700228145.69950008</v>
      </c>
    </row>
    <row r="22" spans="1:8">
      <c r="A22" s="380">
        <v>16</v>
      </c>
      <c r="B22" s="379" t="s">
        <v>396</v>
      </c>
      <c r="C22" s="630">
        <v>30622361.0625</v>
      </c>
      <c r="D22" s="630">
        <v>331516436.46719998</v>
      </c>
      <c r="E22" s="630">
        <v>11181368.934900001</v>
      </c>
      <c r="F22" s="630"/>
      <c r="G22" s="630"/>
      <c r="H22" s="631">
        <f>C22+D22-E22-F22</f>
        <v>350957428.5948</v>
      </c>
    </row>
    <row r="23" spans="1:8">
      <c r="A23" s="380">
        <v>17</v>
      </c>
      <c r="B23" s="379" t="s">
        <v>397</v>
      </c>
      <c r="C23" s="630"/>
      <c r="D23" s="630">
        <v>69348029.343600005</v>
      </c>
      <c r="E23" s="630">
        <v>373220.2721</v>
      </c>
      <c r="F23" s="630"/>
      <c r="G23" s="630"/>
      <c r="H23" s="631">
        <f>C23+D23-E23-F23</f>
        <v>68974809.071500003</v>
      </c>
    </row>
    <row r="25" spans="1:8">
      <c r="C25" s="629"/>
      <c r="D25" s="629"/>
      <c r="E25" s="629"/>
      <c r="F25" s="629"/>
      <c r="G25" s="629"/>
      <c r="H25" s="629"/>
    </row>
    <row r="26" spans="1:8" ht="42.45" customHeight="1">
      <c r="B26" s="319" t="s">
        <v>482</v>
      </c>
      <c r="C26" s="629"/>
      <c r="D26" s="629"/>
      <c r="E26" s="629"/>
      <c r="F26" s="629"/>
      <c r="G26" s="629"/>
      <c r="H26" s="629"/>
    </row>
    <row r="27" spans="1:8">
      <c r="C27" s="629"/>
      <c r="D27" s="629"/>
      <c r="E27" s="629"/>
      <c r="F27" s="629"/>
      <c r="G27" s="629"/>
      <c r="H27" s="629"/>
    </row>
    <row r="28" spans="1:8">
      <c r="C28" s="629"/>
      <c r="D28" s="629"/>
      <c r="E28" s="629"/>
      <c r="F28" s="629"/>
      <c r="G28" s="629"/>
      <c r="H28" s="629"/>
    </row>
    <row r="29" spans="1:8">
      <c r="C29" s="629"/>
      <c r="D29" s="629"/>
      <c r="E29" s="629"/>
      <c r="F29" s="629"/>
      <c r="G29" s="629"/>
      <c r="H29" s="629"/>
    </row>
    <row r="30" spans="1:8">
      <c r="C30" s="629"/>
      <c r="D30" s="629"/>
      <c r="E30" s="629"/>
      <c r="F30" s="629"/>
      <c r="G30" s="629"/>
      <c r="H30" s="629"/>
    </row>
    <row r="31" spans="1:8">
      <c r="C31" s="629"/>
      <c r="D31" s="629"/>
      <c r="E31" s="629"/>
      <c r="F31" s="629"/>
      <c r="G31" s="629"/>
      <c r="H31" s="629"/>
    </row>
    <row r="32" spans="1:8">
      <c r="C32" s="629"/>
      <c r="D32" s="629"/>
      <c r="E32" s="629"/>
      <c r="F32" s="629"/>
      <c r="G32" s="629"/>
      <c r="H32" s="629"/>
    </row>
    <row r="33" spans="3:8">
      <c r="C33" s="629"/>
      <c r="D33" s="629"/>
      <c r="E33" s="629"/>
      <c r="F33" s="629"/>
      <c r="G33" s="629"/>
      <c r="H33" s="629"/>
    </row>
    <row r="34" spans="3:8">
      <c r="C34" s="629"/>
      <c r="D34" s="629"/>
      <c r="E34" s="629"/>
      <c r="F34" s="629"/>
      <c r="G34" s="629"/>
      <c r="H34" s="629"/>
    </row>
    <row r="35" spans="3:8">
      <c r="C35" s="629"/>
      <c r="D35" s="629"/>
      <c r="E35" s="629"/>
      <c r="F35" s="629"/>
      <c r="G35" s="629"/>
      <c r="H35" s="629"/>
    </row>
    <row r="36" spans="3:8">
      <c r="C36" s="629"/>
      <c r="D36" s="629"/>
      <c r="E36" s="629"/>
      <c r="F36" s="629"/>
      <c r="G36" s="629"/>
      <c r="H36" s="629"/>
    </row>
    <row r="37" spans="3:8">
      <c r="C37" s="629"/>
      <c r="D37" s="629"/>
      <c r="E37" s="629"/>
      <c r="F37" s="629"/>
      <c r="G37" s="629"/>
      <c r="H37" s="629"/>
    </row>
    <row r="38" spans="3:8">
      <c r="C38" s="629"/>
      <c r="D38" s="629"/>
      <c r="E38" s="629"/>
      <c r="F38" s="629"/>
      <c r="G38" s="629"/>
      <c r="H38" s="629"/>
    </row>
    <row r="39" spans="3:8">
      <c r="C39" s="629"/>
      <c r="D39" s="629"/>
      <c r="E39" s="629"/>
      <c r="F39" s="629"/>
      <c r="G39" s="629"/>
      <c r="H39" s="629"/>
    </row>
    <row r="40" spans="3:8">
      <c r="C40" s="629"/>
      <c r="D40" s="629"/>
      <c r="E40" s="629"/>
      <c r="F40" s="629"/>
      <c r="G40" s="629"/>
      <c r="H40" s="629"/>
    </row>
    <row r="41" spans="3:8">
      <c r="C41" s="629"/>
      <c r="D41" s="629"/>
      <c r="E41" s="629"/>
      <c r="F41" s="629"/>
      <c r="G41" s="629"/>
      <c r="H41" s="629"/>
    </row>
    <row r="42" spans="3:8">
      <c r="C42" s="629"/>
      <c r="D42" s="629"/>
      <c r="E42" s="629"/>
      <c r="F42" s="629"/>
      <c r="G42" s="629"/>
      <c r="H42" s="629"/>
    </row>
    <row r="43" spans="3:8">
      <c r="C43" s="629"/>
      <c r="D43" s="629"/>
      <c r="E43" s="629"/>
      <c r="F43" s="629"/>
      <c r="G43" s="629"/>
      <c r="H43" s="629"/>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Footer>&amp;C_x000D_&amp;1#&amp;"Calibri"&amp;10&amp;K000000 C1 - FOR INTERNAL USE ONLY</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65"/>
  <sheetViews>
    <sheetView showGridLines="0" zoomScale="80" zoomScaleNormal="80" workbookViewId="0">
      <selection activeCell="D18" sqref="D18"/>
    </sheetView>
  </sheetViews>
  <sheetFormatPr defaultColWidth="9.21875" defaultRowHeight="12"/>
  <cols>
    <col min="1" max="1" width="11" style="316" bestFit="1" customWidth="1"/>
    <col min="2" max="2" width="93.44140625" style="316" customWidth="1"/>
    <col min="3" max="4" width="35" style="316" customWidth="1"/>
    <col min="5" max="5" width="15.109375" style="316" bestFit="1" customWidth="1"/>
    <col min="6" max="6" width="11.77734375" style="316" bestFit="1" customWidth="1"/>
    <col min="7" max="7" width="22" style="316" customWidth="1"/>
    <col min="8" max="8" width="19.88671875" style="316" customWidth="1"/>
    <col min="9" max="16384" width="9.21875" style="316"/>
  </cols>
  <sheetData>
    <row r="1" spans="1:8" ht="13.8">
      <c r="A1" s="314" t="s">
        <v>30</v>
      </c>
      <c r="B1" s="376" t="str">
        <f>'Info '!C2</f>
        <v xml:space="preserve">PASHA Bank Georgia JSC </v>
      </c>
      <c r="C1" s="389"/>
      <c r="D1" s="389"/>
      <c r="E1" s="389"/>
      <c r="F1" s="389"/>
      <c r="G1" s="389"/>
      <c r="H1" s="389"/>
    </row>
    <row r="2" spans="1:8">
      <c r="A2" s="314" t="s">
        <v>31</v>
      </c>
      <c r="B2" s="375">
        <f>'1. key ratios '!B2</f>
        <v>45747</v>
      </c>
      <c r="C2" s="389"/>
      <c r="D2" s="389"/>
      <c r="E2" s="389"/>
      <c r="F2" s="389"/>
      <c r="G2" s="389"/>
      <c r="H2" s="389"/>
    </row>
    <row r="3" spans="1:8">
      <c r="A3" s="315" t="s">
        <v>398</v>
      </c>
      <c r="B3" s="389"/>
      <c r="C3" s="389"/>
      <c r="D3" s="389"/>
      <c r="E3" s="389"/>
      <c r="F3" s="389"/>
      <c r="G3" s="389"/>
      <c r="H3" s="389"/>
    </row>
    <row r="4" spans="1:8">
      <c r="A4" s="390"/>
      <c r="B4" s="389"/>
      <c r="C4" s="388" t="s">
        <v>0</v>
      </c>
      <c r="D4" s="388" t="s">
        <v>1</v>
      </c>
      <c r="E4" s="388" t="s">
        <v>2</v>
      </c>
      <c r="F4" s="388" t="s">
        <v>3</v>
      </c>
      <c r="G4" s="388" t="s">
        <v>4</v>
      </c>
      <c r="H4" s="388" t="s">
        <v>5</v>
      </c>
    </row>
    <row r="5" spans="1:8" ht="41.55" customHeight="1">
      <c r="A5" s="765" t="s">
        <v>389</v>
      </c>
      <c r="B5" s="766"/>
      <c r="C5" s="779" t="s">
        <v>390</v>
      </c>
      <c r="D5" s="779"/>
      <c r="E5" s="779" t="s">
        <v>627</v>
      </c>
      <c r="F5" s="777" t="s">
        <v>391</v>
      </c>
      <c r="G5" s="777" t="s">
        <v>392</v>
      </c>
      <c r="H5" s="386" t="s">
        <v>626</v>
      </c>
    </row>
    <row r="6" spans="1:8" ht="24">
      <c r="A6" s="769"/>
      <c r="B6" s="770"/>
      <c r="C6" s="387" t="s">
        <v>393</v>
      </c>
      <c r="D6" s="387" t="s">
        <v>394</v>
      </c>
      <c r="E6" s="779"/>
      <c r="F6" s="778"/>
      <c r="G6" s="778"/>
      <c r="H6" s="386" t="s">
        <v>625</v>
      </c>
    </row>
    <row r="7" spans="1:8">
      <c r="A7" s="378">
        <v>1</v>
      </c>
      <c r="B7" s="393" t="s">
        <v>486</v>
      </c>
      <c r="C7" s="630">
        <v>0</v>
      </c>
      <c r="D7" s="630">
        <v>94762783.471699998</v>
      </c>
      <c r="E7" s="630">
        <v>0</v>
      </c>
      <c r="F7" s="630"/>
      <c r="G7" s="630"/>
      <c r="H7" s="631">
        <f t="shared" ref="H7:H34" si="0">C7+D7-E7-F7</f>
        <v>94762783.471699998</v>
      </c>
    </row>
    <row r="8" spans="1:8">
      <c r="A8" s="378">
        <v>2</v>
      </c>
      <c r="B8" s="393" t="s">
        <v>399</v>
      </c>
      <c r="C8" s="630">
        <v>179775.75889999999</v>
      </c>
      <c r="D8" s="630">
        <v>244854239.96730003</v>
      </c>
      <c r="E8" s="630">
        <v>822811.07059999998</v>
      </c>
      <c r="F8" s="630"/>
      <c r="G8" s="630"/>
      <c r="H8" s="631">
        <f t="shared" si="0"/>
        <v>244211204.65560001</v>
      </c>
    </row>
    <row r="9" spans="1:8">
      <c r="A9" s="378">
        <v>3</v>
      </c>
      <c r="B9" s="393" t="s">
        <v>400</v>
      </c>
      <c r="C9" s="630"/>
      <c r="D9" s="630"/>
      <c r="E9" s="630"/>
      <c r="F9" s="630"/>
      <c r="G9" s="630"/>
      <c r="H9" s="631">
        <f t="shared" si="0"/>
        <v>0</v>
      </c>
    </row>
    <row r="10" spans="1:8">
      <c r="A10" s="378">
        <v>4</v>
      </c>
      <c r="B10" s="393" t="s">
        <v>487</v>
      </c>
      <c r="C10" s="630">
        <v>3634423.6039</v>
      </c>
      <c r="D10" s="630">
        <v>35454259.972999997</v>
      </c>
      <c r="E10" s="630">
        <v>2469559.2088000001</v>
      </c>
      <c r="F10" s="630"/>
      <c r="G10" s="630"/>
      <c r="H10" s="631">
        <f t="shared" si="0"/>
        <v>36619124.368099995</v>
      </c>
    </row>
    <row r="11" spans="1:8">
      <c r="A11" s="378">
        <v>5</v>
      </c>
      <c r="B11" s="393" t="s">
        <v>401</v>
      </c>
      <c r="C11" s="630">
        <v>0</v>
      </c>
      <c r="D11" s="630">
        <v>46724235.7152</v>
      </c>
      <c r="E11" s="630">
        <v>110088.0775</v>
      </c>
      <c r="F11" s="630"/>
      <c r="G11" s="630"/>
      <c r="H11" s="631">
        <f t="shared" si="0"/>
        <v>46614147.637699999</v>
      </c>
    </row>
    <row r="12" spans="1:8">
      <c r="A12" s="378">
        <v>6</v>
      </c>
      <c r="B12" s="393" t="s">
        <v>402</v>
      </c>
      <c r="C12" s="630">
        <v>0</v>
      </c>
      <c r="D12" s="630">
        <v>40072.267599999999</v>
      </c>
      <c r="E12" s="630">
        <v>0</v>
      </c>
      <c r="F12" s="630"/>
      <c r="G12" s="630"/>
      <c r="H12" s="631">
        <f t="shared" si="0"/>
        <v>40072.267599999999</v>
      </c>
    </row>
    <row r="13" spans="1:8">
      <c r="A13" s="378">
        <v>7</v>
      </c>
      <c r="B13" s="393" t="s">
        <v>403</v>
      </c>
      <c r="C13" s="630">
        <v>622.42999999999995</v>
      </c>
      <c r="D13" s="630">
        <v>2877158.0465000002</v>
      </c>
      <c r="E13" s="630">
        <v>2448.2592</v>
      </c>
      <c r="F13" s="630"/>
      <c r="G13" s="630"/>
      <c r="H13" s="631">
        <f t="shared" si="0"/>
        <v>2875332.2173000001</v>
      </c>
    </row>
    <row r="14" spans="1:8">
      <c r="A14" s="378">
        <v>8</v>
      </c>
      <c r="B14" s="393" t="s">
        <v>404</v>
      </c>
      <c r="C14" s="630">
        <v>1233816.2667</v>
      </c>
      <c r="D14" s="630">
        <v>14741834.420399999</v>
      </c>
      <c r="E14" s="630">
        <v>225719.30609999999</v>
      </c>
      <c r="F14" s="630"/>
      <c r="G14" s="630"/>
      <c r="H14" s="631">
        <f t="shared" si="0"/>
        <v>15749931.380999999</v>
      </c>
    </row>
    <row r="15" spans="1:8">
      <c r="A15" s="378">
        <v>9</v>
      </c>
      <c r="B15" s="393" t="s">
        <v>405</v>
      </c>
      <c r="C15" s="630">
        <v>0</v>
      </c>
      <c r="D15" s="630">
        <v>17670703.699999999</v>
      </c>
      <c r="E15" s="630">
        <v>140637.8971</v>
      </c>
      <c r="F15" s="630"/>
      <c r="G15" s="630"/>
      <c r="H15" s="631">
        <f t="shared" si="0"/>
        <v>17530065.802899998</v>
      </c>
    </row>
    <row r="16" spans="1:8">
      <c r="A16" s="378">
        <v>10</v>
      </c>
      <c r="B16" s="393" t="s">
        <v>406</v>
      </c>
      <c r="C16" s="630">
        <v>0</v>
      </c>
      <c r="D16" s="630">
        <v>2765430.9567999998</v>
      </c>
      <c r="E16" s="630">
        <v>6317.7782999999999</v>
      </c>
      <c r="F16" s="630"/>
      <c r="G16" s="630"/>
      <c r="H16" s="631">
        <f t="shared" si="0"/>
        <v>2759113.1784999999</v>
      </c>
    </row>
    <row r="17" spans="1:8">
      <c r="A17" s="378">
        <v>11</v>
      </c>
      <c r="B17" s="393" t="s">
        <v>407</v>
      </c>
      <c r="C17" s="630">
        <v>0</v>
      </c>
      <c r="D17" s="630">
        <v>7371811.1742000002</v>
      </c>
      <c r="E17" s="630">
        <v>79397.285600000003</v>
      </c>
      <c r="F17" s="630"/>
      <c r="G17" s="630"/>
      <c r="H17" s="631">
        <f t="shared" si="0"/>
        <v>7292413.8886000002</v>
      </c>
    </row>
    <row r="18" spans="1:8">
      <c r="A18" s="378">
        <v>12</v>
      </c>
      <c r="B18" s="393" t="s">
        <v>408</v>
      </c>
      <c r="C18" s="630">
        <v>0</v>
      </c>
      <c r="D18" s="630">
        <v>26188354.1076</v>
      </c>
      <c r="E18" s="630">
        <v>118641.17290000001</v>
      </c>
      <c r="F18" s="630"/>
      <c r="G18" s="630"/>
      <c r="H18" s="631">
        <f t="shared" si="0"/>
        <v>26069712.934700001</v>
      </c>
    </row>
    <row r="19" spans="1:8">
      <c r="A19" s="378">
        <v>13</v>
      </c>
      <c r="B19" s="393" t="s">
        <v>409</v>
      </c>
      <c r="C19" s="630">
        <v>494539.26270000002</v>
      </c>
      <c r="D19" s="630">
        <v>2203.5300000000002</v>
      </c>
      <c r="E19" s="630">
        <v>48695.129300000001</v>
      </c>
      <c r="F19" s="630"/>
      <c r="G19" s="630"/>
      <c r="H19" s="631">
        <f t="shared" si="0"/>
        <v>448047.66340000008</v>
      </c>
    </row>
    <row r="20" spans="1:8">
      <c r="A20" s="378">
        <v>14</v>
      </c>
      <c r="B20" s="393" t="s">
        <v>410</v>
      </c>
      <c r="C20" s="630">
        <v>2367488.8566999999</v>
      </c>
      <c r="D20" s="630">
        <v>12126619.089400001</v>
      </c>
      <c r="E20" s="630">
        <v>454091.8811</v>
      </c>
      <c r="F20" s="630"/>
      <c r="G20" s="630"/>
      <c r="H20" s="631">
        <f t="shared" si="0"/>
        <v>14040016.064999999</v>
      </c>
    </row>
    <row r="21" spans="1:8">
      <c r="A21" s="378">
        <v>15</v>
      </c>
      <c r="B21" s="393" t="s">
        <v>411</v>
      </c>
      <c r="C21" s="630">
        <v>9338181.7234000005</v>
      </c>
      <c r="D21" s="630">
        <v>9493173.3663999997</v>
      </c>
      <c r="E21" s="630">
        <v>1538462.6938</v>
      </c>
      <c r="F21" s="630"/>
      <c r="G21" s="630"/>
      <c r="H21" s="631">
        <f t="shared" si="0"/>
        <v>17292892.396000002</v>
      </c>
    </row>
    <row r="22" spans="1:8">
      <c r="A22" s="378">
        <v>16</v>
      </c>
      <c r="B22" s="393" t="s">
        <v>412</v>
      </c>
      <c r="C22" s="630"/>
      <c r="D22" s="630"/>
      <c r="E22" s="630"/>
      <c r="F22" s="630"/>
      <c r="G22" s="630"/>
      <c r="H22" s="631">
        <f t="shared" si="0"/>
        <v>0</v>
      </c>
    </row>
    <row r="23" spans="1:8">
      <c r="A23" s="378">
        <v>17</v>
      </c>
      <c r="B23" s="393" t="s">
        <v>490</v>
      </c>
      <c r="C23" s="630">
        <v>0</v>
      </c>
      <c r="D23" s="630">
        <v>8720133.1251999997</v>
      </c>
      <c r="E23" s="630">
        <v>23055.236099999998</v>
      </c>
      <c r="F23" s="630"/>
      <c r="G23" s="630"/>
      <c r="H23" s="631">
        <f t="shared" si="0"/>
        <v>8697077.8891000003</v>
      </c>
    </row>
    <row r="24" spans="1:8">
      <c r="A24" s="378">
        <v>18</v>
      </c>
      <c r="B24" s="393" t="s">
        <v>413</v>
      </c>
      <c r="C24" s="630">
        <v>0</v>
      </c>
      <c r="D24" s="630">
        <v>91310527.836899996</v>
      </c>
      <c r="E24" s="630">
        <v>684858.15650000004</v>
      </c>
      <c r="F24" s="630"/>
      <c r="G24" s="630"/>
      <c r="H24" s="631">
        <f t="shared" si="0"/>
        <v>90625669.680399999</v>
      </c>
    </row>
    <row r="25" spans="1:8">
      <c r="A25" s="378">
        <v>19</v>
      </c>
      <c r="B25" s="393" t="s">
        <v>414</v>
      </c>
      <c r="C25" s="630"/>
      <c r="D25" s="630"/>
      <c r="E25" s="630"/>
      <c r="F25" s="630"/>
      <c r="G25" s="630"/>
      <c r="H25" s="631">
        <f t="shared" si="0"/>
        <v>0</v>
      </c>
    </row>
    <row r="26" spans="1:8">
      <c r="A26" s="378">
        <v>20</v>
      </c>
      <c r="B26" s="393" t="s">
        <v>489</v>
      </c>
      <c r="C26" s="630">
        <v>0</v>
      </c>
      <c r="D26" s="630">
        <v>7969436.4689999996</v>
      </c>
      <c r="E26" s="630">
        <v>165459.09719999999</v>
      </c>
      <c r="F26" s="630"/>
      <c r="G26" s="630"/>
      <c r="H26" s="631">
        <f t="shared" si="0"/>
        <v>7803977.3717999998</v>
      </c>
    </row>
    <row r="27" spans="1:8">
      <c r="A27" s="378">
        <v>21</v>
      </c>
      <c r="B27" s="393" t="s">
        <v>415</v>
      </c>
      <c r="C27" s="630"/>
      <c r="D27" s="630"/>
      <c r="E27" s="630"/>
      <c r="F27" s="630"/>
      <c r="G27" s="630"/>
      <c r="H27" s="631">
        <f t="shared" si="0"/>
        <v>0</v>
      </c>
    </row>
    <row r="28" spans="1:8">
      <c r="A28" s="378">
        <v>22</v>
      </c>
      <c r="B28" s="393" t="s">
        <v>416</v>
      </c>
      <c r="C28" s="630">
        <v>0</v>
      </c>
      <c r="D28" s="630">
        <v>5151482.93</v>
      </c>
      <c r="E28" s="630">
        <v>36472.548799999997</v>
      </c>
      <c r="F28" s="630"/>
      <c r="G28" s="630"/>
      <c r="H28" s="631">
        <f t="shared" si="0"/>
        <v>5115010.3811999997</v>
      </c>
    </row>
    <row r="29" spans="1:8">
      <c r="A29" s="378">
        <v>23</v>
      </c>
      <c r="B29" s="393" t="s">
        <v>417</v>
      </c>
      <c r="C29" s="630">
        <v>2442903.2729000002</v>
      </c>
      <c r="D29" s="630">
        <v>14251949.3564</v>
      </c>
      <c r="E29" s="630">
        <v>355594.7499</v>
      </c>
      <c r="F29" s="630"/>
      <c r="G29" s="630"/>
      <c r="H29" s="631">
        <f t="shared" si="0"/>
        <v>16339257.8794</v>
      </c>
    </row>
    <row r="30" spans="1:8">
      <c r="A30" s="378">
        <v>24</v>
      </c>
      <c r="B30" s="393" t="s">
        <v>488</v>
      </c>
      <c r="C30" s="630">
        <v>11123248.837099999</v>
      </c>
      <c r="D30" s="630">
        <v>1505681.47</v>
      </c>
      <c r="E30" s="630">
        <v>4769669.3727000002</v>
      </c>
      <c r="F30" s="630"/>
      <c r="G30" s="630"/>
      <c r="H30" s="631">
        <f t="shared" si="0"/>
        <v>7859260.9343999997</v>
      </c>
    </row>
    <row r="31" spans="1:8">
      <c r="A31" s="378">
        <v>25</v>
      </c>
      <c r="B31" s="393" t="s">
        <v>418</v>
      </c>
      <c r="C31" s="630">
        <v>0</v>
      </c>
      <c r="D31" s="630">
        <v>506068.98930000002</v>
      </c>
      <c r="E31" s="630">
        <v>22.774000000000001</v>
      </c>
      <c r="F31" s="630"/>
      <c r="G31" s="630"/>
      <c r="H31" s="631">
        <f t="shared" si="0"/>
        <v>506046.21530000004</v>
      </c>
    </row>
    <row r="32" spans="1:8">
      <c r="A32" s="378">
        <v>26</v>
      </c>
      <c r="B32" s="393" t="s">
        <v>485</v>
      </c>
      <c r="C32" s="630">
        <v>245.55</v>
      </c>
      <c r="D32" s="630">
        <v>31327.808300000001</v>
      </c>
      <c r="E32" s="630">
        <v>303.27199999999999</v>
      </c>
      <c r="F32" s="630"/>
      <c r="G32" s="630"/>
      <c r="H32" s="631">
        <f t="shared" si="0"/>
        <v>31270.086299999999</v>
      </c>
    </row>
    <row r="33" spans="1:8">
      <c r="A33" s="378">
        <v>27</v>
      </c>
      <c r="B33" s="378" t="s">
        <v>419</v>
      </c>
      <c r="C33" s="630"/>
      <c r="D33" s="630">
        <v>29566696.703599997</v>
      </c>
      <c r="E33" s="630"/>
      <c r="F33" s="630"/>
      <c r="G33" s="630"/>
      <c r="H33" s="631">
        <f t="shared" si="0"/>
        <v>29566696.703599997</v>
      </c>
    </row>
    <row r="34" spans="1:8">
      <c r="A34" s="378">
        <v>28</v>
      </c>
      <c r="B34" s="382" t="s">
        <v>64</v>
      </c>
      <c r="C34" s="632">
        <f>SUM(C7:C33)</f>
        <v>30815245.5623</v>
      </c>
      <c r="D34" s="632">
        <f>SUM(D7:D33)</f>
        <v>674086184.47479999</v>
      </c>
      <c r="E34" s="632">
        <f>SUM(E7:E33)</f>
        <v>12052304.967500001</v>
      </c>
      <c r="F34" s="632">
        <f>SUM(F7:F33)</f>
        <v>0</v>
      </c>
      <c r="G34" s="632">
        <f>SUM(G7:G33)</f>
        <v>0</v>
      </c>
      <c r="H34" s="631">
        <f t="shared" si="0"/>
        <v>692849125.06959999</v>
      </c>
    </row>
    <row r="36" spans="1:8">
      <c r="B36" s="392"/>
    </row>
    <row r="37" spans="1:8">
      <c r="C37" s="629"/>
      <c r="D37" s="629"/>
      <c r="E37" s="629"/>
      <c r="F37" s="629"/>
      <c r="G37" s="629"/>
      <c r="H37" s="629"/>
    </row>
    <row r="38" spans="1:8">
      <c r="C38" s="629"/>
      <c r="D38" s="629"/>
      <c r="E38" s="629"/>
      <c r="F38" s="629"/>
      <c r="G38" s="629"/>
      <c r="H38" s="629"/>
    </row>
    <row r="39" spans="1:8">
      <c r="C39" s="629"/>
      <c r="D39" s="629"/>
      <c r="E39" s="629"/>
      <c r="F39" s="629"/>
      <c r="G39" s="629"/>
      <c r="H39" s="629"/>
    </row>
    <row r="40" spans="1:8">
      <c r="C40" s="629"/>
      <c r="D40" s="629"/>
      <c r="E40" s="629"/>
      <c r="F40" s="629"/>
      <c r="G40" s="629"/>
      <c r="H40" s="629"/>
    </row>
    <row r="41" spans="1:8">
      <c r="C41" s="629"/>
      <c r="D41" s="629"/>
      <c r="E41" s="629"/>
      <c r="F41" s="629"/>
      <c r="G41" s="629"/>
      <c r="H41" s="629"/>
    </row>
    <row r="42" spans="1:8">
      <c r="C42" s="629"/>
      <c r="D42" s="629"/>
      <c r="E42" s="629"/>
      <c r="F42" s="629"/>
      <c r="G42" s="629"/>
      <c r="H42" s="629"/>
    </row>
    <row r="43" spans="1:8">
      <c r="C43" s="629"/>
      <c r="D43" s="629"/>
      <c r="E43" s="629"/>
      <c r="F43" s="629"/>
      <c r="G43" s="629"/>
      <c r="H43" s="629"/>
    </row>
    <row r="44" spans="1:8">
      <c r="C44" s="629"/>
      <c r="D44" s="629"/>
      <c r="E44" s="629"/>
      <c r="F44" s="629"/>
      <c r="G44" s="629"/>
      <c r="H44" s="629"/>
    </row>
    <row r="45" spans="1:8">
      <c r="C45" s="629"/>
      <c r="D45" s="629"/>
      <c r="E45" s="629"/>
      <c r="F45" s="629"/>
      <c r="G45" s="629"/>
      <c r="H45" s="629"/>
    </row>
    <row r="46" spans="1:8">
      <c r="C46" s="629"/>
      <c r="D46" s="629"/>
      <c r="E46" s="629"/>
      <c r="F46" s="629"/>
      <c r="G46" s="629"/>
      <c r="H46" s="629"/>
    </row>
    <row r="47" spans="1:8">
      <c r="C47" s="629"/>
      <c r="D47" s="629"/>
      <c r="E47" s="629"/>
      <c r="F47" s="629"/>
      <c r="G47" s="629"/>
      <c r="H47" s="629"/>
    </row>
    <row r="48" spans="1:8">
      <c r="C48" s="629"/>
      <c r="D48" s="629"/>
      <c r="E48" s="629"/>
      <c r="F48" s="629"/>
      <c r="G48" s="629"/>
      <c r="H48" s="629"/>
    </row>
    <row r="49" spans="3:8">
      <c r="C49" s="629"/>
      <c r="D49" s="629"/>
      <c r="E49" s="629"/>
      <c r="F49" s="629"/>
      <c r="G49" s="629"/>
      <c r="H49" s="629"/>
    </row>
    <row r="50" spans="3:8">
      <c r="C50" s="629"/>
      <c r="D50" s="629"/>
      <c r="E50" s="629"/>
      <c r="F50" s="629"/>
      <c r="G50" s="629"/>
      <c r="H50" s="629"/>
    </row>
    <row r="51" spans="3:8">
      <c r="C51" s="629"/>
      <c r="D51" s="629"/>
      <c r="E51" s="629"/>
      <c r="F51" s="629"/>
      <c r="G51" s="629"/>
      <c r="H51" s="629"/>
    </row>
    <row r="52" spans="3:8">
      <c r="C52" s="629"/>
      <c r="D52" s="629"/>
      <c r="E52" s="629"/>
      <c r="F52" s="629"/>
      <c r="G52" s="629"/>
      <c r="H52" s="629"/>
    </row>
    <row r="53" spans="3:8">
      <c r="C53" s="629"/>
      <c r="D53" s="629"/>
      <c r="E53" s="629"/>
      <c r="F53" s="629"/>
      <c r="G53" s="629"/>
      <c r="H53" s="629"/>
    </row>
    <row r="54" spans="3:8">
      <c r="C54" s="629"/>
      <c r="D54" s="629"/>
      <c r="E54" s="629"/>
      <c r="F54" s="629"/>
      <c r="G54" s="629"/>
      <c r="H54" s="629"/>
    </row>
    <row r="55" spans="3:8">
      <c r="C55" s="629"/>
      <c r="D55" s="629"/>
      <c r="E55" s="629"/>
      <c r="F55" s="629"/>
      <c r="G55" s="629"/>
      <c r="H55" s="629"/>
    </row>
    <row r="56" spans="3:8">
      <c r="C56" s="629"/>
      <c r="D56" s="629"/>
      <c r="E56" s="629"/>
      <c r="F56" s="629"/>
      <c r="G56" s="629"/>
      <c r="H56" s="629"/>
    </row>
    <row r="57" spans="3:8">
      <c r="C57" s="629"/>
      <c r="D57" s="629"/>
      <c r="E57" s="629"/>
      <c r="F57" s="629"/>
      <c r="G57" s="629"/>
      <c r="H57" s="629"/>
    </row>
    <row r="58" spans="3:8">
      <c r="C58" s="629"/>
      <c r="D58" s="629"/>
      <c r="E58" s="629"/>
      <c r="F58" s="629"/>
      <c r="G58" s="629"/>
      <c r="H58" s="629"/>
    </row>
    <row r="59" spans="3:8">
      <c r="C59" s="629"/>
      <c r="D59" s="629"/>
      <c r="E59" s="629"/>
      <c r="F59" s="629"/>
      <c r="G59" s="629"/>
      <c r="H59" s="629"/>
    </row>
    <row r="60" spans="3:8">
      <c r="C60" s="629"/>
      <c r="D60" s="629"/>
      <c r="E60" s="629"/>
      <c r="F60" s="629"/>
      <c r="G60" s="629"/>
      <c r="H60" s="629"/>
    </row>
    <row r="61" spans="3:8">
      <c r="C61" s="629"/>
      <c r="D61" s="629"/>
      <c r="E61" s="629"/>
      <c r="F61" s="629"/>
      <c r="G61" s="629"/>
      <c r="H61" s="629"/>
    </row>
    <row r="62" spans="3:8">
      <c r="C62" s="629"/>
      <c r="D62" s="629"/>
      <c r="E62" s="629"/>
      <c r="F62" s="629"/>
      <c r="G62" s="629"/>
      <c r="H62" s="629"/>
    </row>
    <row r="63" spans="3:8">
      <c r="C63" s="629"/>
      <c r="D63" s="629"/>
      <c r="E63" s="629"/>
      <c r="F63" s="629"/>
      <c r="G63" s="629"/>
      <c r="H63" s="629"/>
    </row>
    <row r="64" spans="3:8">
      <c r="C64" s="629"/>
      <c r="D64" s="629"/>
      <c r="E64" s="629"/>
      <c r="F64" s="629"/>
      <c r="G64" s="629"/>
      <c r="H64" s="629"/>
    </row>
    <row r="65" spans="3:3">
      <c r="C65" s="62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Footer>&amp;C_x000D_&amp;1#&amp;"Calibri"&amp;10&amp;K000000 C1 - FOR INTERNAL USE ONLY</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30"/>
  <sheetViews>
    <sheetView showGridLines="0" zoomScale="80" zoomScaleNormal="80" workbookViewId="0">
      <selection activeCell="B19" sqref="B19"/>
    </sheetView>
  </sheetViews>
  <sheetFormatPr defaultColWidth="9.21875" defaultRowHeight="12"/>
  <cols>
    <col min="1" max="1" width="11.77734375" style="316" bestFit="1" customWidth="1"/>
    <col min="2" max="2" width="108" style="316" bestFit="1" customWidth="1"/>
    <col min="3" max="3" width="35.5546875" style="316" customWidth="1"/>
    <col min="4" max="4" width="38.44140625" style="316" customWidth="1"/>
    <col min="5" max="16384" width="9.21875" style="316"/>
  </cols>
  <sheetData>
    <row r="1" spans="1:4" ht="13.8">
      <c r="A1" s="314" t="s">
        <v>30</v>
      </c>
      <c r="B1" s="376" t="str">
        <f>'Info '!C2</f>
        <v xml:space="preserve">PASHA Bank Georgia JSC </v>
      </c>
    </row>
    <row r="2" spans="1:4">
      <c r="A2" s="314" t="s">
        <v>31</v>
      </c>
      <c r="B2" s="375">
        <f>'1. key ratios '!B2</f>
        <v>45747</v>
      </c>
    </row>
    <row r="3" spans="1:4">
      <c r="A3" s="315" t="s">
        <v>420</v>
      </c>
    </row>
    <row r="5" spans="1:4">
      <c r="A5" s="780" t="s">
        <v>634</v>
      </c>
      <c r="B5" s="780"/>
      <c r="C5" s="374" t="s">
        <v>437</v>
      </c>
      <c r="D5" s="374" t="s">
        <v>478</v>
      </c>
    </row>
    <row r="6" spans="1:4">
      <c r="A6" s="401">
        <v>1</v>
      </c>
      <c r="B6" s="394" t="s">
        <v>633</v>
      </c>
      <c r="C6" s="628">
        <v>8446445.3341000006</v>
      </c>
      <c r="D6" s="628">
        <v>501186.05639999994</v>
      </c>
    </row>
    <row r="7" spans="1:4">
      <c r="A7" s="398">
        <v>2</v>
      </c>
      <c r="B7" s="394" t="s">
        <v>632</v>
      </c>
      <c r="C7" s="627">
        <f>SUM(C8:C9)</f>
        <v>4182844.5490999999</v>
      </c>
      <c r="D7" s="627">
        <f>SUM(D8:D9)</f>
        <v>1867.6950999999999</v>
      </c>
    </row>
    <row r="8" spans="1:4">
      <c r="A8" s="400">
        <v>2.1</v>
      </c>
      <c r="B8" s="399" t="s">
        <v>493</v>
      </c>
      <c r="C8" s="627">
        <v>3919800.3914999999</v>
      </c>
      <c r="D8" s="627">
        <v>0</v>
      </c>
    </row>
    <row r="9" spans="1:4">
      <c r="A9" s="400">
        <v>2.2000000000000002</v>
      </c>
      <c r="B9" s="399" t="s">
        <v>491</v>
      </c>
      <c r="C9" s="627">
        <v>263044.15759999998</v>
      </c>
      <c r="D9" s="627">
        <v>1867.6950999999999</v>
      </c>
    </row>
    <row r="10" spans="1:4">
      <c r="A10" s="401">
        <v>3</v>
      </c>
      <c r="B10" s="394" t="s">
        <v>631</v>
      </c>
      <c r="C10" s="627">
        <f>SUM(C11:C13)</f>
        <v>1071943.5493000001</v>
      </c>
      <c r="D10" s="627">
        <f>SUM(D11:D13)</f>
        <v>107456.4025</v>
      </c>
    </row>
    <row r="11" spans="1:4">
      <c r="A11" s="400">
        <v>3.1</v>
      </c>
      <c r="B11" s="399" t="s">
        <v>422</v>
      </c>
      <c r="C11" s="627">
        <v>0</v>
      </c>
      <c r="D11" s="627"/>
    </row>
    <row r="12" spans="1:4">
      <c r="A12" s="400">
        <v>3.2</v>
      </c>
      <c r="B12" s="399" t="s">
        <v>630</v>
      </c>
      <c r="C12" s="627">
        <v>881508.47239999997</v>
      </c>
      <c r="D12" s="627">
        <v>0</v>
      </c>
    </row>
    <row r="13" spans="1:4">
      <c r="A13" s="400">
        <v>3.3</v>
      </c>
      <c r="B13" s="399" t="s">
        <v>492</v>
      </c>
      <c r="C13" s="627">
        <v>190435.07689999999</v>
      </c>
      <c r="D13" s="627">
        <v>107456.4025</v>
      </c>
    </row>
    <row r="14" spans="1:4">
      <c r="A14" s="398">
        <v>4</v>
      </c>
      <c r="B14" s="397" t="s">
        <v>629</v>
      </c>
      <c r="C14" s="627">
        <v>-208592.34929977171</v>
      </c>
      <c r="D14" s="627">
        <v>-22377.080099999901</v>
      </c>
    </row>
    <row r="15" spans="1:4">
      <c r="A15" s="395">
        <v>5</v>
      </c>
      <c r="B15" s="394" t="s">
        <v>628</v>
      </c>
      <c r="C15" s="628">
        <f>C6+C7-C10+C14</f>
        <v>11348753.984600229</v>
      </c>
      <c r="D15" s="628">
        <f>D6+D7-D10+D14</f>
        <v>373220.26890000002</v>
      </c>
    </row>
    <row r="18" spans="3:4">
      <c r="C18" s="629"/>
      <c r="D18" s="629"/>
    </row>
    <row r="19" spans="3:4">
      <c r="C19" s="629"/>
      <c r="D19" s="629"/>
    </row>
    <row r="20" spans="3:4">
      <c r="C20" s="629"/>
      <c r="D20" s="629"/>
    </row>
    <row r="21" spans="3:4">
      <c r="C21" s="629"/>
      <c r="D21" s="629"/>
    </row>
    <row r="22" spans="3:4">
      <c r="C22" s="629"/>
      <c r="D22" s="629"/>
    </row>
    <row r="23" spans="3:4">
      <c r="C23" s="629"/>
      <c r="D23" s="629"/>
    </row>
    <row r="24" spans="3:4">
      <c r="C24" s="629"/>
      <c r="D24" s="629"/>
    </row>
    <row r="25" spans="3:4">
      <c r="C25" s="629"/>
      <c r="D25" s="629"/>
    </row>
    <row r="26" spans="3:4">
      <c r="C26" s="629"/>
      <c r="D26" s="629"/>
    </row>
    <row r="27" spans="3:4">
      <c r="C27" s="629"/>
      <c r="D27" s="629"/>
    </row>
    <row r="28" spans="3:4">
      <c r="C28" s="629"/>
      <c r="D28" s="629"/>
    </row>
    <row r="29" spans="3:4">
      <c r="C29" s="629"/>
      <c r="D29" s="629"/>
    </row>
    <row r="30" spans="3:4">
      <c r="C30" s="629"/>
      <c r="D30" s="629"/>
    </row>
  </sheetData>
  <mergeCells count="1">
    <mergeCell ref="A5:B5"/>
  </mergeCells>
  <pageMargins left="0.7" right="0.7" top="0.75" bottom="0.75" header="0.3" footer="0.3"/>
  <pageSetup orientation="portrait" horizontalDpi="4294967292" verticalDpi="0" r:id="rId1"/>
  <headerFooter>
    <oddFooter>&amp;C_x000D_&amp;1#&amp;"Calibri"&amp;10&amp;K000000 C1 - FOR INTERNAL USE ONLY</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3"/>
  <sheetViews>
    <sheetView showGridLines="0" zoomScale="80" zoomScaleNormal="80" workbookViewId="0">
      <selection activeCell="B28" sqref="B28"/>
    </sheetView>
  </sheetViews>
  <sheetFormatPr defaultColWidth="9.21875" defaultRowHeight="12"/>
  <cols>
    <col min="1" max="1" width="11.77734375" style="316" bestFit="1" customWidth="1"/>
    <col min="2" max="2" width="128.88671875" style="316" bestFit="1" customWidth="1"/>
    <col min="3" max="3" width="37" style="316" customWidth="1"/>
    <col min="4" max="4" width="50.5546875" style="316" customWidth="1"/>
    <col min="5" max="16384" width="9.21875" style="316"/>
  </cols>
  <sheetData>
    <row r="1" spans="1:4" ht="13.8">
      <c r="A1" s="314" t="s">
        <v>30</v>
      </c>
      <c r="B1" s="376" t="str">
        <f>'Info '!C2</f>
        <v xml:space="preserve">PASHA Bank Georgia JSC </v>
      </c>
    </row>
    <row r="2" spans="1:4">
      <c r="A2" s="314" t="s">
        <v>31</v>
      </c>
      <c r="B2" s="375">
        <f>'1. key ratios '!B2</f>
        <v>45747</v>
      </c>
    </row>
    <row r="3" spans="1:4">
      <c r="A3" s="315" t="s">
        <v>424</v>
      </c>
    </row>
    <row r="4" spans="1:4">
      <c r="A4" s="315"/>
    </row>
    <row r="5" spans="1:4" ht="15" customHeight="1">
      <c r="A5" s="781" t="s">
        <v>494</v>
      </c>
      <c r="B5" s="782"/>
      <c r="C5" s="785" t="s">
        <v>425</v>
      </c>
      <c r="D5" s="785" t="s">
        <v>426</v>
      </c>
    </row>
    <row r="6" spans="1:4">
      <c r="A6" s="783"/>
      <c r="B6" s="784"/>
      <c r="C6" s="785"/>
      <c r="D6" s="785"/>
    </row>
    <row r="7" spans="1:4">
      <c r="A7" s="367">
        <v>1</v>
      </c>
      <c r="B7" s="367" t="s">
        <v>421</v>
      </c>
      <c r="C7" s="627">
        <v>22930572.9333</v>
      </c>
      <c r="D7" s="402"/>
    </row>
    <row r="8" spans="1:4">
      <c r="A8" s="396">
        <v>2</v>
      </c>
      <c r="B8" s="396" t="s">
        <v>427</v>
      </c>
      <c r="C8" s="627">
        <v>8539188.7096999995</v>
      </c>
      <c r="D8" s="402"/>
    </row>
    <row r="9" spans="1:4">
      <c r="A9" s="396">
        <v>3</v>
      </c>
      <c r="B9" s="405" t="s">
        <v>637</v>
      </c>
      <c r="C9" s="627">
        <v>158416.0692</v>
      </c>
      <c r="D9" s="402"/>
    </row>
    <row r="10" spans="1:4">
      <c r="A10" s="396">
        <v>4</v>
      </c>
      <c r="B10" s="396" t="s">
        <v>428</v>
      </c>
      <c r="C10" s="627">
        <f>SUM(C11:C17)</f>
        <v>1005816.6497000003</v>
      </c>
      <c r="D10" s="402"/>
    </row>
    <row r="11" spans="1:4">
      <c r="A11" s="396">
        <v>5</v>
      </c>
      <c r="B11" s="404" t="s">
        <v>636</v>
      </c>
      <c r="C11" s="627">
        <v>376231.2219</v>
      </c>
      <c r="D11" s="402"/>
    </row>
    <row r="12" spans="1:4">
      <c r="A12" s="396">
        <v>6</v>
      </c>
      <c r="B12" s="404" t="s">
        <v>429</v>
      </c>
      <c r="C12" s="627">
        <v>399081.36726500001</v>
      </c>
      <c r="D12" s="402"/>
    </row>
    <row r="13" spans="1:4">
      <c r="A13" s="396">
        <v>7</v>
      </c>
      <c r="B13" s="404" t="s">
        <v>432</v>
      </c>
      <c r="C13" s="627"/>
      <c r="D13" s="402"/>
    </row>
    <row r="14" spans="1:4">
      <c r="A14" s="396">
        <v>8</v>
      </c>
      <c r="B14" s="404" t="s">
        <v>430</v>
      </c>
      <c r="C14" s="627">
        <v>121658.671535</v>
      </c>
      <c r="D14" s="396"/>
    </row>
    <row r="15" spans="1:4">
      <c r="A15" s="396">
        <v>9</v>
      </c>
      <c r="B15" s="404" t="s">
        <v>431</v>
      </c>
      <c r="C15" s="627"/>
      <c r="D15" s="396"/>
    </row>
    <row r="16" spans="1:4">
      <c r="A16" s="396">
        <v>10</v>
      </c>
      <c r="B16" s="404" t="s">
        <v>433</v>
      </c>
      <c r="C16" s="627"/>
      <c r="D16" s="396"/>
    </row>
    <row r="17" spans="1:4">
      <c r="A17" s="396">
        <v>11</v>
      </c>
      <c r="B17" s="404" t="s">
        <v>635</v>
      </c>
      <c r="C17" s="627">
        <v>108845.3890000003</v>
      </c>
      <c r="D17" s="402"/>
    </row>
    <row r="18" spans="1:4">
      <c r="A18" s="367">
        <v>12</v>
      </c>
      <c r="B18" s="403" t="s">
        <v>423</v>
      </c>
      <c r="C18" s="628">
        <f>C7+C8+C9-C10</f>
        <v>30622361.0625</v>
      </c>
      <c r="D18" s="402"/>
    </row>
    <row r="21" spans="1:4">
      <c r="B21" s="314"/>
      <c r="C21" s="629"/>
    </row>
    <row r="22" spans="1:4">
      <c r="B22" s="314"/>
      <c r="C22" s="629"/>
    </row>
    <row r="23" spans="1:4">
      <c r="B23" s="315"/>
      <c r="C23" s="629"/>
    </row>
    <row r="24" spans="1:4">
      <c r="C24" s="629"/>
    </row>
    <row r="25" spans="1:4">
      <c r="C25" s="629"/>
    </row>
    <row r="26" spans="1:4">
      <c r="C26" s="629"/>
    </row>
    <row r="27" spans="1:4">
      <c r="C27" s="629"/>
    </row>
    <row r="28" spans="1:4">
      <c r="C28" s="629"/>
    </row>
    <row r="29" spans="1:4">
      <c r="C29" s="629"/>
    </row>
    <row r="30" spans="1:4">
      <c r="C30" s="629"/>
    </row>
    <row r="31" spans="1:4">
      <c r="C31" s="629"/>
    </row>
    <row r="32" spans="1:4">
      <c r="C32" s="629"/>
    </row>
    <row r="33" spans="3:3">
      <c r="C33" s="629"/>
    </row>
  </sheetData>
  <mergeCells count="3">
    <mergeCell ref="A5:B6"/>
    <mergeCell ref="C5:C6"/>
    <mergeCell ref="D5:D6"/>
  </mergeCells>
  <pageMargins left="0.7" right="0.7" top="0.75" bottom="0.75" header="0.3" footer="0.3"/>
  <pageSetup paperSize="9" orientation="portrait" r:id="rId1"/>
  <headerFooter>
    <oddFooter>&amp;C_x000D_&amp;1#&amp;"Calibri"&amp;10&amp;K000000 C1 - FOR INTERNAL USE ONLY</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7"/>
  <sheetViews>
    <sheetView showGridLines="0" zoomScale="80" zoomScaleNormal="80" workbookViewId="0">
      <selection activeCell="J45" sqref="J45"/>
    </sheetView>
  </sheetViews>
  <sheetFormatPr defaultColWidth="9.21875" defaultRowHeight="12"/>
  <cols>
    <col min="1" max="1" width="11.77734375" style="389" bestFit="1" customWidth="1"/>
    <col min="2" max="2" width="63.88671875" style="389" customWidth="1"/>
    <col min="3" max="3" width="15.5546875" style="389" customWidth="1"/>
    <col min="4" max="18" width="22.21875" style="389" customWidth="1"/>
    <col min="19" max="19" width="23.21875" style="389" bestFit="1" customWidth="1"/>
    <col min="20" max="26" width="22.21875" style="389" customWidth="1"/>
    <col min="27" max="27" width="23.21875" style="389" bestFit="1" customWidth="1"/>
    <col min="28" max="28" width="20" style="389" customWidth="1"/>
    <col min="29" max="16384" width="9.21875" style="389"/>
  </cols>
  <sheetData>
    <row r="1" spans="1:28" ht="13.8">
      <c r="A1" s="314" t="s">
        <v>30</v>
      </c>
      <c r="B1" s="376" t="str">
        <f>'Info '!C2</f>
        <v xml:space="preserve">PASHA Bank Georgia JSC </v>
      </c>
    </row>
    <row r="2" spans="1:28">
      <c r="A2" s="314" t="s">
        <v>31</v>
      </c>
      <c r="B2" s="375">
        <f>'1. key ratios '!B2</f>
        <v>45747</v>
      </c>
      <c r="C2" s="390"/>
    </row>
    <row r="3" spans="1:28">
      <c r="A3" s="315" t="s">
        <v>434</v>
      </c>
    </row>
    <row r="5" spans="1:28" ht="15" customHeight="1">
      <c r="A5" s="787" t="s">
        <v>649</v>
      </c>
      <c r="B5" s="788"/>
      <c r="C5" s="793" t="s">
        <v>435</v>
      </c>
      <c r="D5" s="794"/>
      <c r="E5" s="794"/>
      <c r="F5" s="794"/>
      <c r="G5" s="794"/>
      <c r="H5" s="794"/>
      <c r="I5" s="794"/>
      <c r="J5" s="794"/>
      <c r="K5" s="794"/>
      <c r="L5" s="794"/>
      <c r="M5" s="794"/>
      <c r="N5" s="794"/>
      <c r="O5" s="794"/>
      <c r="P5" s="794"/>
      <c r="Q5" s="794"/>
      <c r="R5" s="794"/>
      <c r="S5" s="794"/>
      <c r="T5" s="413"/>
      <c r="U5" s="413"/>
      <c r="V5" s="413"/>
      <c r="W5" s="413"/>
      <c r="X5" s="413"/>
      <c r="Y5" s="413"/>
      <c r="Z5" s="413"/>
      <c r="AA5" s="412"/>
      <c r="AB5" s="407"/>
    </row>
    <row r="6" spans="1:28" ht="12" customHeight="1">
      <c r="A6" s="789"/>
      <c r="B6" s="790"/>
      <c r="C6" s="795" t="s">
        <v>64</v>
      </c>
      <c r="D6" s="797" t="s">
        <v>648</v>
      </c>
      <c r="E6" s="797"/>
      <c r="F6" s="797"/>
      <c r="G6" s="797"/>
      <c r="H6" s="797" t="s">
        <v>647</v>
      </c>
      <c r="I6" s="797"/>
      <c r="J6" s="797"/>
      <c r="K6" s="797"/>
      <c r="L6" s="410"/>
      <c r="M6" s="798" t="s">
        <v>646</v>
      </c>
      <c r="N6" s="798"/>
      <c r="O6" s="798"/>
      <c r="P6" s="798"/>
      <c r="Q6" s="798"/>
      <c r="R6" s="798"/>
      <c r="S6" s="778"/>
      <c r="T6" s="411"/>
      <c r="U6" s="786" t="s">
        <v>645</v>
      </c>
      <c r="V6" s="786"/>
      <c r="W6" s="786"/>
      <c r="X6" s="786"/>
      <c r="Y6" s="786"/>
      <c r="Z6" s="786"/>
      <c r="AA6" s="779"/>
      <c r="AB6" s="410"/>
    </row>
    <row r="7" spans="1:28" ht="24">
      <c r="A7" s="791"/>
      <c r="B7" s="792"/>
      <c r="C7" s="796"/>
      <c r="D7" s="409"/>
      <c r="E7" s="386" t="s">
        <v>436</v>
      </c>
      <c r="F7" s="386" t="s">
        <v>643</v>
      </c>
      <c r="G7" s="388" t="s">
        <v>644</v>
      </c>
      <c r="H7" s="390"/>
      <c r="I7" s="386" t="s">
        <v>436</v>
      </c>
      <c r="J7" s="386" t="s">
        <v>643</v>
      </c>
      <c r="K7" s="388" t="s">
        <v>644</v>
      </c>
      <c r="L7" s="408"/>
      <c r="M7" s="386" t="s">
        <v>436</v>
      </c>
      <c r="N7" s="386" t="s">
        <v>643</v>
      </c>
      <c r="O7" s="386" t="s">
        <v>642</v>
      </c>
      <c r="P7" s="386" t="s">
        <v>641</v>
      </c>
      <c r="Q7" s="386" t="s">
        <v>640</v>
      </c>
      <c r="R7" s="386" t="s">
        <v>639</v>
      </c>
      <c r="S7" s="386" t="s">
        <v>638</v>
      </c>
      <c r="T7" s="408"/>
      <c r="U7" s="386" t="s">
        <v>436</v>
      </c>
      <c r="V7" s="386" t="s">
        <v>643</v>
      </c>
      <c r="W7" s="386" t="s">
        <v>642</v>
      </c>
      <c r="X7" s="386" t="s">
        <v>641</v>
      </c>
      <c r="Y7" s="386" t="s">
        <v>640</v>
      </c>
      <c r="Z7" s="386" t="s">
        <v>639</v>
      </c>
      <c r="AA7" s="386" t="s">
        <v>638</v>
      </c>
      <c r="AB7" s="407"/>
    </row>
    <row r="8" spans="1:28">
      <c r="A8" s="406">
        <v>1</v>
      </c>
      <c r="B8" s="382" t="s">
        <v>437</v>
      </c>
      <c r="C8" s="633">
        <f>SUM(C9:C14)</f>
        <v>398402624.26970005</v>
      </c>
      <c r="D8" s="633">
        <f t="shared" ref="D8:AA8" si="0">SUM(D9:D14)</f>
        <v>360835659.08029997</v>
      </c>
      <c r="E8" s="633">
        <f t="shared" si="0"/>
        <v>5530083.9192000004</v>
      </c>
      <c r="F8" s="633">
        <f t="shared" si="0"/>
        <v>13128480.380000001</v>
      </c>
      <c r="G8" s="633">
        <f t="shared" si="0"/>
        <v>0</v>
      </c>
      <c r="H8" s="633">
        <f t="shared" si="0"/>
        <v>6944604.1271000002</v>
      </c>
      <c r="I8" s="633">
        <f t="shared" si="0"/>
        <v>0</v>
      </c>
      <c r="J8" s="633">
        <f t="shared" si="0"/>
        <v>2496364.92</v>
      </c>
      <c r="K8" s="633">
        <f t="shared" si="0"/>
        <v>0</v>
      </c>
      <c r="L8" s="633">
        <f t="shared" si="0"/>
        <v>28161270.929200001</v>
      </c>
      <c r="M8" s="633">
        <f t="shared" si="0"/>
        <v>0</v>
      </c>
      <c r="N8" s="633">
        <f t="shared" si="0"/>
        <v>0</v>
      </c>
      <c r="O8" s="633">
        <f t="shared" si="0"/>
        <v>396603.88650000002</v>
      </c>
      <c r="P8" s="633">
        <f t="shared" si="0"/>
        <v>4315730.2229000004</v>
      </c>
      <c r="Q8" s="633">
        <f t="shared" si="0"/>
        <v>2660349.4005</v>
      </c>
      <c r="R8" s="633">
        <f t="shared" si="0"/>
        <v>11666244.107899999</v>
      </c>
      <c r="S8" s="633">
        <f t="shared" si="0"/>
        <v>0</v>
      </c>
      <c r="T8" s="633">
        <f t="shared" si="0"/>
        <v>2461090.1331000002</v>
      </c>
      <c r="U8" s="633">
        <f t="shared" si="0"/>
        <v>0</v>
      </c>
      <c r="V8" s="633">
        <f t="shared" si="0"/>
        <v>0</v>
      </c>
      <c r="W8" s="633">
        <f t="shared" si="0"/>
        <v>0</v>
      </c>
      <c r="X8" s="633">
        <f t="shared" si="0"/>
        <v>0</v>
      </c>
      <c r="Y8" s="633">
        <f t="shared" si="0"/>
        <v>2461090.1331000002</v>
      </c>
      <c r="Z8" s="633">
        <f t="shared" si="0"/>
        <v>0</v>
      </c>
      <c r="AA8" s="633">
        <f t="shared" si="0"/>
        <v>0</v>
      </c>
    </row>
    <row r="9" spans="1:28">
      <c r="A9" s="378">
        <v>1.1000000000000001</v>
      </c>
      <c r="B9" s="398" t="s">
        <v>438</v>
      </c>
      <c r="C9" s="634"/>
      <c r="D9" s="635"/>
      <c r="E9" s="635"/>
      <c r="F9" s="635"/>
      <c r="G9" s="635"/>
      <c r="H9" s="636"/>
      <c r="I9" s="635"/>
      <c r="J9" s="635"/>
      <c r="K9" s="635"/>
      <c r="L9" s="635"/>
      <c r="M9" s="635"/>
      <c r="N9" s="635"/>
      <c r="O9" s="635"/>
      <c r="P9" s="635"/>
      <c r="Q9" s="635"/>
      <c r="R9" s="635"/>
      <c r="S9" s="635"/>
      <c r="T9" s="635"/>
      <c r="U9" s="635"/>
      <c r="V9" s="635"/>
      <c r="W9" s="635"/>
      <c r="X9" s="635"/>
      <c r="Y9" s="635"/>
      <c r="Z9" s="635"/>
      <c r="AA9" s="635"/>
    </row>
    <row r="10" spans="1:28">
      <c r="A10" s="378">
        <v>1.2</v>
      </c>
      <c r="B10" s="398" t="s">
        <v>439</v>
      </c>
      <c r="C10" s="634"/>
      <c r="D10" s="635"/>
      <c r="E10" s="635"/>
      <c r="F10" s="635"/>
      <c r="G10" s="635"/>
      <c r="H10" s="636"/>
      <c r="I10" s="635"/>
      <c r="J10" s="635"/>
      <c r="K10" s="635"/>
      <c r="L10" s="635"/>
      <c r="M10" s="635"/>
      <c r="N10" s="635"/>
      <c r="O10" s="635"/>
      <c r="P10" s="635"/>
      <c r="Q10" s="635"/>
      <c r="R10" s="635"/>
      <c r="S10" s="635"/>
      <c r="T10" s="635"/>
      <c r="U10" s="635"/>
      <c r="V10" s="635"/>
      <c r="W10" s="635"/>
      <c r="X10" s="635"/>
      <c r="Y10" s="635"/>
      <c r="Z10" s="635"/>
      <c r="AA10" s="635"/>
    </row>
    <row r="11" spans="1:28">
      <c r="A11" s="378">
        <v>1.3</v>
      </c>
      <c r="B11" s="398" t="s">
        <v>440</v>
      </c>
      <c r="C11" s="637">
        <v>36263826.740000002</v>
      </c>
      <c r="D11" s="638">
        <v>36263826.740000002</v>
      </c>
      <c r="E11" s="636"/>
      <c r="F11" s="636"/>
      <c r="G11" s="636"/>
      <c r="H11" s="638"/>
      <c r="I11" s="636"/>
      <c r="J11" s="636"/>
      <c r="K11" s="636"/>
      <c r="L11" s="636"/>
      <c r="M11" s="636"/>
      <c r="N11" s="636"/>
      <c r="O11" s="636"/>
      <c r="P11" s="636"/>
      <c r="Q11" s="636"/>
      <c r="R11" s="636"/>
      <c r="S11" s="636"/>
      <c r="T11" s="636"/>
      <c r="U11" s="636"/>
      <c r="V11" s="636"/>
      <c r="W11" s="636"/>
      <c r="X11" s="636"/>
      <c r="Y11" s="636"/>
      <c r="Z11" s="636"/>
      <c r="AA11" s="636"/>
    </row>
    <row r="12" spans="1:28">
      <c r="A12" s="378">
        <v>1.4</v>
      </c>
      <c r="B12" s="398" t="s">
        <v>441</v>
      </c>
      <c r="C12" s="637">
        <v>59875606.566600002</v>
      </c>
      <c r="D12" s="638">
        <v>59709568.566600002</v>
      </c>
      <c r="E12" s="636">
        <v>0</v>
      </c>
      <c r="F12" s="636">
        <v>0</v>
      </c>
      <c r="G12" s="636">
        <v>0</v>
      </c>
      <c r="H12" s="636">
        <v>0</v>
      </c>
      <c r="I12" s="636">
        <v>0</v>
      </c>
      <c r="J12" s="636">
        <v>0</v>
      </c>
      <c r="K12" s="636">
        <v>0</v>
      </c>
      <c r="L12" s="636">
        <v>166038</v>
      </c>
      <c r="M12" s="636">
        <v>0</v>
      </c>
      <c r="N12" s="636">
        <v>0</v>
      </c>
      <c r="O12" s="636">
        <v>0</v>
      </c>
      <c r="P12" s="636">
        <v>0</v>
      </c>
      <c r="Q12" s="636">
        <v>0</v>
      </c>
      <c r="R12" s="636">
        <v>166038</v>
      </c>
      <c r="S12" s="636">
        <v>0</v>
      </c>
      <c r="T12" s="636">
        <v>0</v>
      </c>
      <c r="U12" s="636">
        <v>0</v>
      </c>
      <c r="V12" s="636">
        <v>0</v>
      </c>
      <c r="W12" s="636">
        <v>0</v>
      </c>
      <c r="X12" s="636">
        <v>0</v>
      </c>
      <c r="Y12" s="636">
        <v>0</v>
      </c>
      <c r="Z12" s="636">
        <v>0</v>
      </c>
      <c r="AA12" s="636">
        <v>0</v>
      </c>
    </row>
    <row r="13" spans="1:28">
      <c r="A13" s="378">
        <v>1.5</v>
      </c>
      <c r="B13" s="398" t="s">
        <v>442</v>
      </c>
      <c r="C13" s="639">
        <v>295917648.31290001</v>
      </c>
      <c r="D13" s="636">
        <v>261035715.75619999</v>
      </c>
      <c r="E13" s="636">
        <v>5528989.6792000001</v>
      </c>
      <c r="F13" s="636">
        <v>13128480.380000001</v>
      </c>
      <c r="G13" s="636">
        <v>0</v>
      </c>
      <c r="H13" s="636">
        <v>6881503.6096999999</v>
      </c>
      <c r="I13" s="636">
        <v>0</v>
      </c>
      <c r="J13" s="636">
        <v>2496364.92</v>
      </c>
      <c r="K13" s="636">
        <v>0</v>
      </c>
      <c r="L13" s="636">
        <v>25539338.813900001</v>
      </c>
      <c r="M13" s="636">
        <v>0</v>
      </c>
      <c r="N13" s="636">
        <v>0</v>
      </c>
      <c r="O13" s="636">
        <v>382866.12760000001</v>
      </c>
      <c r="P13" s="636">
        <v>4162847.5410000002</v>
      </c>
      <c r="Q13" s="636">
        <v>2660349.4005</v>
      </c>
      <c r="R13" s="636">
        <v>9210932.4333999995</v>
      </c>
      <c r="S13" s="636">
        <v>0</v>
      </c>
      <c r="T13" s="636">
        <v>2461090.1331000002</v>
      </c>
      <c r="U13" s="636">
        <v>0</v>
      </c>
      <c r="V13" s="636">
        <v>0</v>
      </c>
      <c r="W13" s="636">
        <v>0</v>
      </c>
      <c r="X13" s="636">
        <v>0</v>
      </c>
      <c r="Y13" s="636">
        <v>2461090.1331000002</v>
      </c>
      <c r="Z13" s="636">
        <v>0</v>
      </c>
      <c r="AA13" s="636">
        <v>0</v>
      </c>
    </row>
    <row r="14" spans="1:28">
      <c r="A14" s="378">
        <v>1.6</v>
      </c>
      <c r="B14" s="398" t="s">
        <v>443</v>
      </c>
      <c r="C14" s="639">
        <v>6345542.6502</v>
      </c>
      <c r="D14" s="636">
        <v>3826548.0175000001</v>
      </c>
      <c r="E14" s="636">
        <v>1094.24</v>
      </c>
      <c r="F14" s="636">
        <v>0</v>
      </c>
      <c r="G14" s="638">
        <v>0</v>
      </c>
      <c r="H14" s="636">
        <v>63100.517399999997</v>
      </c>
      <c r="I14" s="636">
        <v>0</v>
      </c>
      <c r="J14" s="636">
        <v>0</v>
      </c>
      <c r="K14" s="636">
        <v>0</v>
      </c>
      <c r="L14" s="636">
        <v>2455894.1153000002</v>
      </c>
      <c r="M14" s="636">
        <v>0</v>
      </c>
      <c r="N14" s="636">
        <v>0</v>
      </c>
      <c r="O14" s="636">
        <v>13737.758900000001</v>
      </c>
      <c r="P14" s="636">
        <v>152882.6819</v>
      </c>
      <c r="Q14" s="636">
        <v>0</v>
      </c>
      <c r="R14" s="636">
        <v>2289273.6745000002</v>
      </c>
      <c r="S14" s="636">
        <v>0</v>
      </c>
      <c r="T14" s="636">
        <v>0</v>
      </c>
      <c r="U14" s="636">
        <v>0</v>
      </c>
      <c r="V14" s="636">
        <v>0</v>
      </c>
      <c r="W14" s="636">
        <v>0</v>
      </c>
      <c r="X14" s="636">
        <v>0</v>
      </c>
      <c r="Y14" s="636">
        <v>0</v>
      </c>
      <c r="Z14" s="636">
        <v>0</v>
      </c>
      <c r="AA14" s="636">
        <v>0</v>
      </c>
    </row>
    <row r="15" spans="1:28">
      <c r="A15" s="406">
        <v>2</v>
      </c>
      <c r="B15" s="382" t="s">
        <v>444</v>
      </c>
      <c r="C15" s="633">
        <f>SUM(C16:C21)</f>
        <v>81604021.5836</v>
      </c>
      <c r="D15" s="633">
        <f t="shared" ref="D15:AA15" si="1">SUM(D16:D21)</f>
        <v>81604021.5836</v>
      </c>
      <c r="E15" s="633">
        <f t="shared" si="1"/>
        <v>0</v>
      </c>
      <c r="F15" s="633">
        <f t="shared" si="1"/>
        <v>0</v>
      </c>
      <c r="G15" s="633">
        <f t="shared" si="1"/>
        <v>0</v>
      </c>
      <c r="H15" s="633">
        <f t="shared" si="1"/>
        <v>0</v>
      </c>
      <c r="I15" s="633">
        <f t="shared" si="1"/>
        <v>0</v>
      </c>
      <c r="J15" s="633">
        <f t="shared" si="1"/>
        <v>0</v>
      </c>
      <c r="K15" s="633">
        <f t="shared" si="1"/>
        <v>0</v>
      </c>
      <c r="L15" s="633">
        <f t="shared" si="1"/>
        <v>0</v>
      </c>
      <c r="M15" s="633">
        <f t="shared" si="1"/>
        <v>0</v>
      </c>
      <c r="N15" s="633">
        <f t="shared" si="1"/>
        <v>0</v>
      </c>
      <c r="O15" s="633">
        <f t="shared" si="1"/>
        <v>0</v>
      </c>
      <c r="P15" s="633">
        <f t="shared" si="1"/>
        <v>0</v>
      </c>
      <c r="Q15" s="633">
        <f t="shared" si="1"/>
        <v>0</v>
      </c>
      <c r="R15" s="633">
        <f t="shared" si="1"/>
        <v>0</v>
      </c>
      <c r="S15" s="633">
        <f t="shared" si="1"/>
        <v>0</v>
      </c>
      <c r="T15" s="633">
        <f t="shared" si="1"/>
        <v>0</v>
      </c>
      <c r="U15" s="633">
        <f t="shared" si="1"/>
        <v>0</v>
      </c>
      <c r="V15" s="633">
        <f t="shared" si="1"/>
        <v>0</v>
      </c>
      <c r="W15" s="633">
        <f t="shared" si="1"/>
        <v>0</v>
      </c>
      <c r="X15" s="633">
        <f t="shared" si="1"/>
        <v>0</v>
      </c>
      <c r="Y15" s="633">
        <f t="shared" si="1"/>
        <v>0</v>
      </c>
      <c r="Z15" s="633">
        <f t="shared" si="1"/>
        <v>0</v>
      </c>
      <c r="AA15" s="633">
        <f t="shared" si="1"/>
        <v>0</v>
      </c>
    </row>
    <row r="16" spans="1:28">
      <c r="A16" s="378">
        <v>2.1</v>
      </c>
      <c r="B16" s="398" t="s">
        <v>438</v>
      </c>
      <c r="C16" s="639"/>
      <c r="D16" s="636"/>
      <c r="E16" s="636"/>
      <c r="F16" s="636"/>
      <c r="G16" s="636"/>
      <c r="H16" s="636"/>
      <c r="I16" s="636"/>
      <c r="J16" s="636"/>
      <c r="K16" s="636"/>
      <c r="L16" s="636"/>
      <c r="M16" s="636"/>
      <c r="N16" s="636"/>
      <c r="O16" s="636"/>
      <c r="P16" s="636"/>
      <c r="Q16" s="636"/>
      <c r="R16" s="636"/>
      <c r="S16" s="636"/>
      <c r="T16" s="636"/>
      <c r="U16" s="636"/>
      <c r="V16" s="636"/>
      <c r="W16" s="635"/>
      <c r="X16" s="635"/>
      <c r="Y16" s="635"/>
      <c r="Z16" s="635"/>
      <c r="AA16" s="635"/>
    </row>
    <row r="17" spans="1:27">
      <c r="A17" s="378">
        <v>2.2000000000000002</v>
      </c>
      <c r="B17" s="398" t="s">
        <v>439</v>
      </c>
      <c r="C17" s="637">
        <v>5346400</v>
      </c>
      <c r="D17" s="638">
        <v>5346400</v>
      </c>
      <c r="E17" s="636"/>
      <c r="F17" s="636"/>
      <c r="G17" s="636"/>
      <c r="H17" s="636"/>
      <c r="I17" s="636"/>
      <c r="J17" s="636"/>
      <c r="K17" s="636"/>
      <c r="L17" s="636"/>
      <c r="M17" s="636"/>
      <c r="N17" s="636"/>
      <c r="O17" s="636"/>
      <c r="P17" s="636"/>
      <c r="Q17" s="636"/>
      <c r="R17" s="636"/>
      <c r="S17" s="636"/>
      <c r="T17" s="636"/>
      <c r="U17" s="636"/>
      <c r="V17" s="636"/>
      <c r="W17" s="635"/>
      <c r="X17" s="635"/>
      <c r="Y17" s="635"/>
      <c r="Z17" s="635"/>
      <c r="AA17" s="635"/>
    </row>
    <row r="18" spans="1:27">
      <c r="A18" s="378">
        <v>2.2999999999999998</v>
      </c>
      <c r="B18" s="398" t="s">
        <v>440</v>
      </c>
      <c r="C18" s="637">
        <v>6909592.2400000002</v>
      </c>
      <c r="D18" s="638">
        <v>6909592.2400000002</v>
      </c>
      <c r="E18" s="636">
        <v>0</v>
      </c>
      <c r="F18" s="636">
        <v>0</v>
      </c>
      <c r="G18" s="636">
        <v>0</v>
      </c>
      <c r="H18" s="636">
        <v>0</v>
      </c>
      <c r="I18" s="636">
        <v>0</v>
      </c>
      <c r="J18" s="636">
        <v>0</v>
      </c>
      <c r="K18" s="636">
        <v>0</v>
      </c>
      <c r="L18" s="636">
        <v>0</v>
      </c>
      <c r="M18" s="636">
        <v>0</v>
      </c>
      <c r="N18" s="636">
        <v>0</v>
      </c>
      <c r="O18" s="636">
        <v>0</v>
      </c>
      <c r="P18" s="636">
        <v>0</v>
      </c>
      <c r="Q18" s="636">
        <v>0</v>
      </c>
      <c r="R18" s="636">
        <v>0</v>
      </c>
      <c r="S18" s="636">
        <v>0</v>
      </c>
      <c r="T18" s="636">
        <v>0</v>
      </c>
      <c r="U18" s="636">
        <v>0</v>
      </c>
      <c r="V18" s="636">
        <v>0</v>
      </c>
      <c r="W18" s="635">
        <v>0</v>
      </c>
      <c r="X18" s="635">
        <v>0</v>
      </c>
      <c r="Y18" s="635">
        <v>0</v>
      </c>
      <c r="Z18" s="635">
        <v>0</v>
      </c>
      <c r="AA18" s="635">
        <v>0</v>
      </c>
    </row>
    <row r="19" spans="1:27">
      <c r="A19" s="378">
        <v>2.4</v>
      </c>
      <c r="B19" s="398" t="s">
        <v>441</v>
      </c>
      <c r="C19" s="637">
        <v>36132532.489999995</v>
      </c>
      <c r="D19" s="638">
        <v>36132532.489999995</v>
      </c>
      <c r="E19" s="636">
        <v>0</v>
      </c>
      <c r="F19" s="636">
        <v>0</v>
      </c>
      <c r="G19" s="636">
        <v>0</v>
      </c>
      <c r="H19" s="636">
        <v>0</v>
      </c>
      <c r="I19" s="636">
        <v>0</v>
      </c>
      <c r="J19" s="636">
        <v>0</v>
      </c>
      <c r="K19" s="636">
        <v>0</v>
      </c>
      <c r="L19" s="636">
        <v>0</v>
      </c>
      <c r="M19" s="636">
        <v>0</v>
      </c>
      <c r="N19" s="636">
        <v>0</v>
      </c>
      <c r="O19" s="636">
        <v>0</v>
      </c>
      <c r="P19" s="636">
        <v>0</v>
      </c>
      <c r="Q19" s="636">
        <v>0</v>
      </c>
      <c r="R19" s="636">
        <v>0</v>
      </c>
      <c r="S19" s="636">
        <v>0</v>
      </c>
      <c r="T19" s="636">
        <v>0</v>
      </c>
      <c r="U19" s="636">
        <v>0</v>
      </c>
      <c r="V19" s="636">
        <v>0</v>
      </c>
      <c r="W19" s="635">
        <v>0</v>
      </c>
      <c r="X19" s="635">
        <v>0</v>
      </c>
      <c r="Y19" s="635">
        <v>0</v>
      </c>
      <c r="Z19" s="635">
        <v>0</v>
      </c>
      <c r="AA19" s="635">
        <v>0</v>
      </c>
    </row>
    <row r="20" spans="1:27">
      <c r="A20" s="378">
        <v>2.5</v>
      </c>
      <c r="B20" s="398" t="s">
        <v>442</v>
      </c>
      <c r="C20" s="637">
        <v>33215496.853599999</v>
      </c>
      <c r="D20" s="638">
        <v>33215496.853599999</v>
      </c>
      <c r="E20" s="636">
        <v>0</v>
      </c>
      <c r="F20" s="636">
        <v>0</v>
      </c>
      <c r="G20" s="636">
        <v>0</v>
      </c>
      <c r="H20" s="636">
        <v>0</v>
      </c>
      <c r="I20" s="636">
        <v>0</v>
      </c>
      <c r="J20" s="636">
        <v>0</v>
      </c>
      <c r="K20" s="636">
        <v>0</v>
      </c>
      <c r="L20" s="636">
        <v>0</v>
      </c>
      <c r="M20" s="636">
        <v>0</v>
      </c>
      <c r="N20" s="636">
        <v>0</v>
      </c>
      <c r="O20" s="636">
        <v>0</v>
      </c>
      <c r="P20" s="636">
        <v>0</v>
      </c>
      <c r="Q20" s="636">
        <v>0</v>
      </c>
      <c r="R20" s="636">
        <v>0</v>
      </c>
      <c r="S20" s="636">
        <v>0</v>
      </c>
      <c r="T20" s="636">
        <v>0</v>
      </c>
      <c r="U20" s="636">
        <v>0</v>
      </c>
      <c r="V20" s="636">
        <v>0</v>
      </c>
      <c r="W20" s="635">
        <v>0</v>
      </c>
      <c r="X20" s="635">
        <v>0</v>
      </c>
      <c r="Y20" s="635">
        <v>0</v>
      </c>
      <c r="Z20" s="635">
        <v>0</v>
      </c>
      <c r="AA20" s="635">
        <v>0</v>
      </c>
    </row>
    <row r="21" spans="1:27">
      <c r="A21" s="378">
        <v>2.6</v>
      </c>
      <c r="B21" s="398" t="s">
        <v>443</v>
      </c>
      <c r="C21" s="634"/>
      <c r="D21" s="635"/>
      <c r="E21" s="635"/>
      <c r="F21" s="635"/>
      <c r="G21" s="635"/>
      <c r="H21" s="636"/>
      <c r="I21" s="635"/>
      <c r="J21" s="635"/>
      <c r="K21" s="635"/>
      <c r="L21" s="635"/>
      <c r="M21" s="635"/>
      <c r="N21" s="635"/>
      <c r="O21" s="635"/>
      <c r="P21" s="635"/>
      <c r="Q21" s="635"/>
      <c r="R21" s="635"/>
      <c r="S21" s="635"/>
      <c r="T21" s="635"/>
      <c r="U21" s="635"/>
      <c r="V21" s="635"/>
      <c r="W21" s="635"/>
      <c r="X21" s="635"/>
      <c r="Y21" s="635"/>
      <c r="Z21" s="635"/>
      <c r="AA21" s="635"/>
    </row>
    <row r="22" spans="1:27">
      <c r="A22" s="406">
        <v>3</v>
      </c>
      <c r="B22" s="382" t="s">
        <v>484</v>
      </c>
      <c r="C22" s="633">
        <f>SUM(C23:C28)</f>
        <v>78367935.928199992</v>
      </c>
      <c r="D22" s="633">
        <f>SUM(D23:D28)</f>
        <v>78004402.238199994</v>
      </c>
      <c r="E22" s="640"/>
      <c r="F22" s="640"/>
      <c r="G22" s="640"/>
      <c r="H22" s="633">
        <f>SUM(H23:H28)</f>
        <v>363533.69</v>
      </c>
      <c r="I22" s="640"/>
      <c r="J22" s="640"/>
      <c r="K22" s="640"/>
      <c r="L22" s="633">
        <v>0</v>
      </c>
      <c r="M22" s="640"/>
      <c r="N22" s="640"/>
      <c r="O22" s="640"/>
      <c r="P22" s="640"/>
      <c r="Q22" s="640"/>
      <c r="R22" s="640"/>
      <c r="S22" s="640"/>
      <c r="T22" s="633">
        <v>0</v>
      </c>
      <c r="U22" s="640"/>
      <c r="V22" s="640"/>
      <c r="W22" s="640"/>
      <c r="X22" s="640"/>
      <c r="Y22" s="640"/>
      <c r="Z22" s="640"/>
      <c r="AA22" s="640"/>
    </row>
    <row r="23" spans="1:27">
      <c r="A23" s="378">
        <v>3.1</v>
      </c>
      <c r="B23" s="398" t="s">
        <v>438</v>
      </c>
      <c r="C23" s="639"/>
      <c r="D23" s="633"/>
      <c r="E23" s="640"/>
      <c r="F23" s="640"/>
      <c r="G23" s="640"/>
      <c r="H23" s="633"/>
      <c r="I23" s="640"/>
      <c r="J23" s="640"/>
      <c r="K23" s="640"/>
      <c r="L23" s="633"/>
      <c r="M23" s="640"/>
      <c r="N23" s="640"/>
      <c r="O23" s="640"/>
      <c r="P23" s="640"/>
      <c r="Q23" s="640"/>
      <c r="R23" s="640"/>
      <c r="S23" s="640"/>
      <c r="T23" s="633"/>
      <c r="U23" s="640"/>
      <c r="V23" s="640"/>
      <c r="W23" s="640"/>
      <c r="X23" s="640"/>
      <c r="Y23" s="640"/>
      <c r="Z23" s="640"/>
      <c r="AA23" s="640"/>
    </row>
    <row r="24" spans="1:27">
      <c r="A24" s="378">
        <v>3.2</v>
      </c>
      <c r="B24" s="398" t="s">
        <v>439</v>
      </c>
      <c r="C24" s="639"/>
      <c r="D24" s="633"/>
      <c r="E24" s="640"/>
      <c r="F24" s="640"/>
      <c r="G24" s="640"/>
      <c r="H24" s="633"/>
      <c r="I24" s="640"/>
      <c r="J24" s="640"/>
      <c r="K24" s="640"/>
      <c r="L24" s="633"/>
      <c r="M24" s="640"/>
      <c r="N24" s="640"/>
      <c r="O24" s="640"/>
      <c r="P24" s="640"/>
      <c r="Q24" s="640"/>
      <c r="R24" s="640"/>
      <c r="S24" s="640"/>
      <c r="T24" s="633"/>
      <c r="U24" s="640"/>
      <c r="V24" s="640"/>
      <c r="W24" s="640"/>
      <c r="X24" s="640"/>
      <c r="Y24" s="640"/>
      <c r="Z24" s="640"/>
      <c r="AA24" s="640"/>
    </row>
    <row r="25" spans="1:27">
      <c r="A25" s="378">
        <v>3.3</v>
      </c>
      <c r="B25" s="398" t="s">
        <v>440</v>
      </c>
      <c r="C25" s="639">
        <v>1400000</v>
      </c>
      <c r="D25" s="636">
        <v>1400000</v>
      </c>
      <c r="E25" s="640"/>
      <c r="F25" s="640"/>
      <c r="G25" s="640"/>
      <c r="H25" s="633">
        <v>0</v>
      </c>
      <c r="I25" s="640"/>
      <c r="J25" s="640"/>
      <c r="K25" s="640"/>
      <c r="L25" s="633">
        <v>0</v>
      </c>
      <c r="M25" s="640"/>
      <c r="N25" s="640"/>
      <c r="O25" s="640"/>
      <c r="P25" s="640"/>
      <c r="Q25" s="640"/>
      <c r="R25" s="640"/>
      <c r="S25" s="640"/>
      <c r="T25" s="633">
        <v>0</v>
      </c>
      <c r="U25" s="640"/>
      <c r="V25" s="640"/>
      <c r="W25" s="640"/>
      <c r="X25" s="640"/>
      <c r="Y25" s="640"/>
      <c r="Z25" s="640"/>
      <c r="AA25" s="640"/>
    </row>
    <row r="26" spans="1:27">
      <c r="A26" s="378">
        <v>3.4</v>
      </c>
      <c r="B26" s="398" t="s">
        <v>441</v>
      </c>
      <c r="C26" s="639">
        <v>4750555.4530999996</v>
      </c>
      <c r="D26" s="636">
        <v>4750555.4530999996</v>
      </c>
      <c r="E26" s="640"/>
      <c r="F26" s="640"/>
      <c r="G26" s="640"/>
      <c r="H26" s="633">
        <v>0</v>
      </c>
      <c r="I26" s="640"/>
      <c r="J26" s="640"/>
      <c r="K26" s="640"/>
      <c r="L26" s="633">
        <v>0</v>
      </c>
      <c r="M26" s="640"/>
      <c r="N26" s="640"/>
      <c r="O26" s="640"/>
      <c r="P26" s="640"/>
      <c r="Q26" s="640"/>
      <c r="R26" s="640"/>
      <c r="S26" s="640"/>
      <c r="T26" s="633">
        <v>0</v>
      </c>
      <c r="U26" s="640"/>
      <c r="V26" s="640"/>
      <c r="W26" s="640"/>
      <c r="X26" s="640"/>
      <c r="Y26" s="640"/>
      <c r="Z26" s="640"/>
      <c r="AA26" s="640"/>
    </row>
    <row r="27" spans="1:27">
      <c r="A27" s="378">
        <v>3.5</v>
      </c>
      <c r="B27" s="398" t="s">
        <v>442</v>
      </c>
      <c r="C27" s="639">
        <v>70718496.925099999</v>
      </c>
      <c r="D27" s="636">
        <v>70354963.235100001</v>
      </c>
      <c r="E27" s="640"/>
      <c r="F27" s="640"/>
      <c r="G27" s="640"/>
      <c r="H27" s="636">
        <v>363533.69</v>
      </c>
      <c r="I27" s="640"/>
      <c r="J27" s="640"/>
      <c r="K27" s="640"/>
      <c r="L27" s="633">
        <v>0</v>
      </c>
      <c r="M27" s="640"/>
      <c r="N27" s="640"/>
      <c r="O27" s="640"/>
      <c r="P27" s="640"/>
      <c r="Q27" s="640"/>
      <c r="R27" s="640"/>
      <c r="S27" s="640"/>
      <c r="T27" s="633">
        <v>0</v>
      </c>
      <c r="U27" s="640"/>
      <c r="V27" s="640"/>
      <c r="W27" s="640"/>
      <c r="X27" s="640"/>
      <c r="Y27" s="640"/>
      <c r="Z27" s="640"/>
      <c r="AA27" s="640"/>
    </row>
    <row r="28" spans="1:27">
      <c r="A28" s="378">
        <v>3.6</v>
      </c>
      <c r="B28" s="398" t="s">
        <v>443</v>
      </c>
      <c r="C28" s="639">
        <v>1498883.55</v>
      </c>
      <c r="D28" s="636">
        <v>1498883.55</v>
      </c>
      <c r="E28" s="640"/>
      <c r="F28" s="640"/>
      <c r="G28" s="640"/>
      <c r="H28" s="633">
        <v>0</v>
      </c>
      <c r="I28" s="640"/>
      <c r="J28" s="640"/>
      <c r="K28" s="640"/>
      <c r="L28" s="633">
        <v>0</v>
      </c>
      <c r="M28" s="640"/>
      <c r="N28" s="640"/>
      <c r="O28" s="640"/>
      <c r="P28" s="640"/>
      <c r="Q28" s="640"/>
      <c r="R28" s="640"/>
      <c r="S28" s="640"/>
      <c r="T28" s="633">
        <v>0</v>
      </c>
      <c r="U28" s="640"/>
      <c r="V28" s="640"/>
      <c r="W28" s="640"/>
      <c r="X28" s="640"/>
      <c r="Y28" s="640"/>
      <c r="Z28" s="640"/>
      <c r="AA28" s="640"/>
    </row>
    <row r="31" spans="1:27">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row>
    <row r="32" spans="1:27">
      <c r="C32" s="641"/>
      <c r="D32" s="641"/>
      <c r="E32" s="641"/>
      <c r="F32" s="641"/>
      <c r="G32" s="641"/>
      <c r="H32" s="641"/>
      <c r="I32" s="641"/>
      <c r="J32" s="641"/>
      <c r="K32" s="641"/>
      <c r="L32" s="641"/>
      <c r="M32" s="641"/>
      <c r="N32" s="641"/>
      <c r="O32" s="641"/>
      <c r="P32" s="641"/>
      <c r="Q32" s="641"/>
      <c r="R32" s="641"/>
      <c r="S32" s="641"/>
      <c r="T32" s="641"/>
      <c r="U32" s="641"/>
      <c r="V32" s="641"/>
      <c r="W32" s="641"/>
      <c r="X32" s="641"/>
      <c r="Y32" s="641"/>
      <c r="Z32" s="641"/>
      <c r="AA32" s="641"/>
    </row>
    <row r="33" spans="3:27">
      <c r="C33" s="641"/>
      <c r="D33" s="641"/>
      <c r="E33" s="641"/>
      <c r="F33" s="641"/>
      <c r="G33" s="641"/>
      <c r="H33" s="641"/>
      <c r="I33" s="641"/>
      <c r="J33" s="641"/>
      <c r="K33" s="641"/>
      <c r="L33" s="641"/>
      <c r="M33" s="641"/>
      <c r="N33" s="641"/>
      <c r="O33" s="641"/>
      <c r="P33" s="641"/>
      <c r="Q33" s="641"/>
      <c r="R33" s="641"/>
      <c r="S33" s="641"/>
      <c r="T33" s="641"/>
      <c r="U33" s="641"/>
      <c r="V33" s="641"/>
      <c r="W33" s="641"/>
      <c r="X33" s="641"/>
      <c r="Y33" s="641"/>
      <c r="Z33" s="641"/>
      <c r="AA33" s="641"/>
    </row>
    <row r="34" spans="3:27">
      <c r="C34" s="641"/>
      <c r="D34" s="641"/>
      <c r="E34" s="641"/>
      <c r="F34" s="641"/>
      <c r="G34" s="641"/>
      <c r="H34" s="641"/>
      <c r="I34" s="641"/>
      <c r="J34" s="641"/>
      <c r="K34" s="641"/>
      <c r="L34" s="641"/>
      <c r="M34" s="641"/>
      <c r="N34" s="641"/>
      <c r="O34" s="641"/>
      <c r="P34" s="641"/>
      <c r="Q34" s="641"/>
      <c r="R34" s="641"/>
      <c r="S34" s="641"/>
      <c r="T34" s="641"/>
      <c r="U34" s="641"/>
      <c r="V34" s="641"/>
      <c r="W34" s="641"/>
      <c r="X34" s="641"/>
      <c r="Y34" s="641"/>
      <c r="Z34" s="641"/>
      <c r="AA34" s="641"/>
    </row>
    <row r="35" spans="3:27">
      <c r="C35" s="641"/>
      <c r="D35" s="641"/>
      <c r="E35" s="641"/>
      <c r="F35" s="641"/>
      <c r="G35" s="641"/>
      <c r="H35" s="641"/>
      <c r="I35" s="641"/>
      <c r="J35" s="641"/>
      <c r="K35" s="641"/>
      <c r="L35" s="641"/>
      <c r="M35" s="641"/>
      <c r="N35" s="641"/>
      <c r="O35" s="641"/>
      <c r="P35" s="641"/>
      <c r="Q35" s="641"/>
      <c r="R35" s="641"/>
      <c r="S35" s="641"/>
      <c r="T35" s="641"/>
      <c r="U35" s="641"/>
      <c r="V35" s="641"/>
      <c r="W35" s="641"/>
      <c r="X35" s="641"/>
      <c r="Y35" s="641"/>
      <c r="Z35" s="641"/>
      <c r="AA35" s="641"/>
    </row>
    <row r="36" spans="3:27">
      <c r="C36" s="641"/>
      <c r="D36" s="641"/>
      <c r="E36" s="641"/>
      <c r="F36" s="641"/>
      <c r="G36" s="641"/>
      <c r="H36" s="641"/>
      <c r="I36" s="641"/>
      <c r="J36" s="641"/>
      <c r="K36" s="641"/>
      <c r="L36" s="641"/>
      <c r="M36" s="641"/>
      <c r="N36" s="641"/>
      <c r="O36" s="641"/>
      <c r="P36" s="641"/>
      <c r="Q36" s="641"/>
      <c r="R36" s="641"/>
      <c r="S36" s="641"/>
      <c r="T36" s="641"/>
      <c r="U36" s="641"/>
      <c r="V36" s="641"/>
      <c r="W36" s="641"/>
      <c r="X36" s="641"/>
      <c r="Y36" s="641"/>
      <c r="Z36" s="641"/>
      <c r="AA36" s="641"/>
    </row>
    <row r="37" spans="3:27">
      <c r="C37" s="641"/>
      <c r="D37" s="641"/>
      <c r="E37" s="641"/>
      <c r="F37" s="641"/>
      <c r="G37" s="641"/>
      <c r="H37" s="641"/>
      <c r="I37" s="641"/>
      <c r="J37" s="641"/>
      <c r="K37" s="641"/>
      <c r="L37" s="641"/>
      <c r="M37" s="641"/>
      <c r="N37" s="641"/>
      <c r="O37" s="641"/>
      <c r="P37" s="641"/>
      <c r="Q37" s="641"/>
      <c r="R37" s="641"/>
      <c r="S37" s="641"/>
      <c r="T37" s="641"/>
      <c r="U37" s="641"/>
      <c r="V37" s="641"/>
      <c r="W37" s="641"/>
      <c r="X37" s="641"/>
      <c r="Y37" s="641"/>
      <c r="Z37" s="641"/>
      <c r="AA37" s="641"/>
    </row>
    <row r="38" spans="3:27">
      <c r="C38" s="641"/>
      <c r="D38" s="641"/>
      <c r="E38" s="641"/>
      <c r="F38" s="641"/>
      <c r="G38" s="641"/>
      <c r="H38" s="641"/>
      <c r="I38" s="641"/>
      <c r="J38" s="641"/>
      <c r="K38" s="641"/>
      <c r="L38" s="641"/>
      <c r="M38" s="641"/>
      <c r="N38" s="641"/>
      <c r="O38" s="641"/>
      <c r="P38" s="641"/>
      <c r="Q38" s="641"/>
      <c r="R38" s="641"/>
      <c r="S38" s="641"/>
      <c r="T38" s="641"/>
      <c r="U38" s="641"/>
      <c r="V38" s="641"/>
      <c r="W38" s="641"/>
      <c r="X38" s="641"/>
      <c r="Y38" s="641"/>
      <c r="Z38" s="641"/>
      <c r="AA38" s="641"/>
    </row>
    <row r="39" spans="3:27">
      <c r="C39" s="641"/>
      <c r="D39" s="641"/>
      <c r="E39" s="641"/>
      <c r="F39" s="641"/>
      <c r="G39" s="641"/>
      <c r="H39" s="641"/>
      <c r="I39" s="641"/>
      <c r="J39" s="641"/>
      <c r="K39" s="641"/>
      <c r="L39" s="641"/>
      <c r="M39" s="641"/>
      <c r="N39" s="641"/>
      <c r="O39" s="641"/>
      <c r="P39" s="641"/>
      <c r="Q39" s="641"/>
      <c r="R39" s="641"/>
      <c r="S39" s="641"/>
      <c r="T39" s="641"/>
      <c r="U39" s="641"/>
      <c r="V39" s="641"/>
      <c r="W39" s="641"/>
      <c r="X39" s="641"/>
      <c r="Y39" s="641"/>
      <c r="Z39" s="641"/>
      <c r="AA39" s="641"/>
    </row>
    <row r="40" spans="3:27">
      <c r="C40" s="641"/>
      <c r="D40" s="641"/>
      <c r="E40" s="641"/>
      <c r="F40" s="641"/>
      <c r="G40" s="641"/>
      <c r="H40" s="641"/>
      <c r="I40" s="641"/>
      <c r="J40" s="641"/>
      <c r="K40" s="641"/>
      <c r="L40" s="641"/>
      <c r="M40" s="641"/>
      <c r="N40" s="641"/>
      <c r="O40" s="641"/>
      <c r="P40" s="641"/>
      <c r="Q40" s="641"/>
      <c r="R40" s="641"/>
      <c r="S40" s="641"/>
      <c r="T40" s="641"/>
      <c r="U40" s="641"/>
      <c r="V40" s="641"/>
      <c r="W40" s="641"/>
      <c r="X40" s="641"/>
      <c r="Y40" s="641"/>
      <c r="Z40" s="641"/>
      <c r="AA40" s="641"/>
    </row>
    <row r="41" spans="3:27">
      <c r="C41" s="641"/>
      <c r="D41" s="641"/>
      <c r="E41" s="641"/>
      <c r="F41" s="641"/>
      <c r="G41" s="641"/>
      <c r="H41" s="641"/>
      <c r="I41" s="641"/>
      <c r="J41" s="641"/>
      <c r="K41" s="641"/>
      <c r="L41" s="641"/>
      <c r="M41" s="641"/>
      <c r="N41" s="641"/>
      <c r="O41" s="641"/>
      <c r="P41" s="641"/>
      <c r="Q41" s="641"/>
      <c r="R41" s="641"/>
      <c r="S41" s="641"/>
      <c r="T41" s="641"/>
      <c r="U41" s="641"/>
      <c r="V41" s="641"/>
      <c r="W41" s="641"/>
      <c r="X41" s="641"/>
      <c r="Y41" s="641"/>
      <c r="Z41" s="641"/>
      <c r="AA41" s="641"/>
    </row>
    <row r="42" spans="3:27">
      <c r="C42" s="641"/>
      <c r="D42" s="641"/>
      <c r="E42" s="641"/>
      <c r="F42" s="641"/>
      <c r="G42" s="641"/>
      <c r="H42" s="641"/>
      <c r="I42" s="641"/>
      <c r="J42" s="641"/>
      <c r="K42" s="641"/>
      <c r="L42" s="641"/>
      <c r="M42" s="641"/>
      <c r="N42" s="641"/>
      <c r="O42" s="641"/>
      <c r="P42" s="641"/>
      <c r="Q42" s="641"/>
      <c r="R42" s="641"/>
      <c r="S42" s="641"/>
      <c r="T42" s="641"/>
      <c r="U42" s="641"/>
      <c r="V42" s="641"/>
      <c r="W42" s="641"/>
      <c r="X42" s="641"/>
      <c r="Y42" s="641"/>
      <c r="Z42" s="641"/>
      <c r="AA42" s="641"/>
    </row>
    <row r="43" spans="3:27">
      <c r="C43" s="641"/>
      <c r="D43" s="641"/>
      <c r="E43" s="641"/>
      <c r="F43" s="641"/>
      <c r="G43" s="641"/>
      <c r="H43" s="641"/>
      <c r="I43" s="641"/>
      <c r="J43" s="641"/>
      <c r="K43" s="641"/>
      <c r="L43" s="641"/>
      <c r="M43" s="641"/>
      <c r="N43" s="641"/>
      <c r="O43" s="641"/>
      <c r="P43" s="641"/>
      <c r="Q43" s="641"/>
      <c r="R43" s="641"/>
      <c r="S43" s="641"/>
      <c r="T43" s="641"/>
      <c r="U43" s="641"/>
      <c r="V43" s="641"/>
      <c r="W43" s="641"/>
      <c r="X43" s="641"/>
      <c r="Y43" s="641"/>
      <c r="Z43" s="641"/>
      <c r="AA43" s="641"/>
    </row>
    <row r="44" spans="3:27">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row>
    <row r="45" spans="3:27">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row>
    <row r="46" spans="3:27">
      <c r="C46" s="641"/>
      <c r="D46" s="641"/>
      <c r="E46" s="641"/>
      <c r="F46" s="641"/>
      <c r="G46" s="641"/>
      <c r="H46" s="641"/>
      <c r="I46" s="641"/>
      <c r="J46" s="641"/>
      <c r="K46" s="641"/>
      <c r="L46" s="641"/>
      <c r="M46" s="641"/>
      <c r="N46" s="641"/>
      <c r="O46" s="641"/>
      <c r="P46" s="641"/>
      <c r="Q46" s="641"/>
      <c r="R46" s="641"/>
      <c r="S46" s="641"/>
      <c r="T46" s="641"/>
      <c r="U46" s="641"/>
      <c r="V46" s="641"/>
      <c r="W46" s="641"/>
      <c r="X46" s="641"/>
      <c r="Y46" s="641"/>
      <c r="Z46" s="641"/>
      <c r="AA46" s="641"/>
    </row>
    <row r="47" spans="3:27">
      <c r="C47" s="641"/>
      <c r="D47" s="641"/>
      <c r="E47" s="641"/>
      <c r="F47" s="641"/>
      <c r="G47" s="641"/>
      <c r="H47" s="641"/>
      <c r="I47" s="641"/>
      <c r="J47" s="641"/>
      <c r="K47" s="641"/>
      <c r="L47" s="641"/>
      <c r="M47" s="641"/>
      <c r="N47" s="641"/>
      <c r="O47" s="641"/>
      <c r="P47" s="641"/>
      <c r="Q47" s="641"/>
      <c r="R47" s="641"/>
      <c r="S47" s="641"/>
      <c r="T47" s="641"/>
      <c r="U47" s="641"/>
      <c r="V47" s="641"/>
      <c r="W47" s="641"/>
      <c r="X47" s="641"/>
      <c r="Y47" s="641"/>
      <c r="Z47" s="641"/>
      <c r="AA47" s="641"/>
    </row>
    <row r="48" spans="3:27">
      <c r="C48" s="641"/>
      <c r="D48" s="641"/>
      <c r="E48" s="641"/>
      <c r="F48" s="641"/>
      <c r="G48" s="641"/>
      <c r="H48" s="641"/>
      <c r="I48" s="641"/>
      <c r="J48" s="641"/>
      <c r="K48" s="641"/>
      <c r="L48" s="641"/>
      <c r="M48" s="641"/>
      <c r="N48" s="641"/>
      <c r="O48" s="641"/>
      <c r="P48" s="641"/>
      <c r="Q48" s="641"/>
      <c r="R48" s="641"/>
      <c r="S48" s="641"/>
      <c r="T48" s="641"/>
      <c r="U48" s="641"/>
      <c r="V48" s="641"/>
      <c r="W48" s="641"/>
      <c r="X48" s="641"/>
      <c r="Y48" s="641"/>
      <c r="Z48" s="641"/>
      <c r="AA48" s="641"/>
    </row>
    <row r="49" spans="3:27">
      <c r="C49" s="641"/>
      <c r="D49" s="641"/>
      <c r="E49" s="641"/>
      <c r="F49" s="641"/>
      <c r="G49" s="641"/>
      <c r="H49" s="641"/>
      <c r="I49" s="641"/>
      <c r="J49" s="641"/>
      <c r="K49" s="641"/>
      <c r="L49" s="641"/>
      <c r="M49" s="641"/>
      <c r="N49" s="641"/>
      <c r="O49" s="641"/>
      <c r="P49" s="641"/>
      <c r="Q49" s="641"/>
      <c r="R49" s="641"/>
      <c r="S49" s="641"/>
      <c r="T49" s="641"/>
      <c r="U49" s="641"/>
      <c r="V49" s="641"/>
      <c r="W49" s="641"/>
      <c r="X49" s="641"/>
      <c r="Y49" s="641"/>
      <c r="Z49" s="641"/>
      <c r="AA49" s="641"/>
    </row>
    <row r="50" spans="3:27">
      <c r="C50" s="641"/>
      <c r="D50" s="641"/>
      <c r="E50" s="641"/>
      <c r="F50" s="641"/>
      <c r="G50" s="641"/>
      <c r="H50" s="641"/>
      <c r="I50" s="641"/>
      <c r="J50" s="641"/>
      <c r="K50" s="641"/>
      <c r="L50" s="641"/>
      <c r="M50" s="641"/>
      <c r="N50" s="641"/>
      <c r="O50" s="641"/>
      <c r="P50" s="641"/>
      <c r="Q50" s="641"/>
      <c r="R50" s="641"/>
      <c r="S50" s="641"/>
      <c r="T50" s="641"/>
      <c r="U50" s="641"/>
      <c r="V50" s="641"/>
      <c r="W50" s="641"/>
      <c r="X50" s="641"/>
      <c r="Y50" s="641"/>
      <c r="Z50" s="641"/>
      <c r="AA50" s="641"/>
    </row>
    <row r="51" spans="3:27">
      <c r="C51" s="641"/>
      <c r="D51" s="641"/>
      <c r="E51" s="641"/>
      <c r="F51" s="641"/>
      <c r="G51" s="641"/>
      <c r="H51" s="641"/>
      <c r="I51" s="641"/>
      <c r="J51" s="641"/>
      <c r="K51" s="641"/>
      <c r="L51" s="641"/>
      <c r="M51" s="641"/>
      <c r="N51" s="641"/>
      <c r="O51" s="641"/>
      <c r="P51" s="641"/>
      <c r="Q51" s="641"/>
      <c r="R51" s="641"/>
      <c r="S51" s="641"/>
      <c r="T51" s="641"/>
      <c r="U51" s="641"/>
      <c r="V51" s="641"/>
      <c r="W51" s="641"/>
      <c r="X51" s="641"/>
      <c r="Y51" s="641"/>
      <c r="Z51" s="641"/>
      <c r="AA51" s="641"/>
    </row>
    <row r="52" spans="3:27">
      <c r="C52" s="641"/>
    </row>
    <row r="53" spans="3:27">
      <c r="C53" s="641"/>
    </row>
    <row r="54" spans="3:27">
      <c r="C54" s="641"/>
    </row>
    <row r="55" spans="3:27">
      <c r="C55" s="641"/>
    </row>
    <row r="56" spans="3:27">
      <c r="C56" s="641"/>
    </row>
    <row r="57" spans="3:27">
      <c r="C57" s="641"/>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Footer>&amp;C_x000D_&amp;1#&amp;"Calibri"&amp;10&amp;K000000 C1 - FOR INTERNAL USE ONLY</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39"/>
  <sheetViews>
    <sheetView showGridLines="0" zoomScale="80" zoomScaleNormal="80" workbookViewId="0">
      <selection activeCell="F34" sqref="F34"/>
    </sheetView>
  </sheetViews>
  <sheetFormatPr defaultColWidth="9.21875" defaultRowHeight="12"/>
  <cols>
    <col min="1" max="1" width="11.77734375" style="389" bestFit="1" customWidth="1"/>
    <col min="2" max="2" width="90.21875" style="389" bestFit="1" customWidth="1"/>
    <col min="3" max="3" width="20.21875" style="389" customWidth="1"/>
    <col min="4" max="4" width="22.21875" style="389" customWidth="1"/>
    <col min="5" max="7" width="17.109375" style="389" customWidth="1"/>
    <col min="8" max="8" width="22.21875" style="389" customWidth="1"/>
    <col min="9" max="10" width="17.109375" style="389" customWidth="1"/>
    <col min="11" max="27" width="22.21875" style="389" customWidth="1"/>
    <col min="28" max="16384" width="9.21875" style="389"/>
  </cols>
  <sheetData>
    <row r="1" spans="1:27" ht="13.8">
      <c r="A1" s="314" t="s">
        <v>30</v>
      </c>
      <c r="B1" s="376" t="str">
        <f>'Info '!C2</f>
        <v xml:space="preserve">PASHA Bank Georgia JSC </v>
      </c>
    </row>
    <row r="2" spans="1:27">
      <c r="A2" s="314" t="s">
        <v>31</v>
      </c>
      <c r="B2" s="375">
        <f>'1. key ratios '!B2</f>
        <v>45747</v>
      </c>
    </row>
    <row r="3" spans="1:27">
      <c r="A3" s="315" t="s">
        <v>446</v>
      </c>
      <c r="C3" s="391"/>
    </row>
    <row r="4" spans="1:27" ht="12.6" thickBot="1">
      <c r="A4" s="315"/>
      <c r="B4" s="391"/>
      <c r="C4" s="391"/>
    </row>
    <row r="5" spans="1:27" ht="13.5" customHeight="1">
      <c r="A5" s="799" t="s">
        <v>652</v>
      </c>
      <c r="B5" s="800"/>
      <c r="C5" s="808" t="s">
        <v>651</v>
      </c>
      <c r="D5" s="809"/>
      <c r="E5" s="809"/>
      <c r="F5" s="809"/>
      <c r="G5" s="809"/>
      <c r="H5" s="809"/>
      <c r="I5" s="809"/>
      <c r="J5" s="809"/>
      <c r="K5" s="809"/>
      <c r="L5" s="809"/>
      <c r="M5" s="809"/>
      <c r="N5" s="809"/>
      <c r="O5" s="809"/>
      <c r="P5" s="809"/>
      <c r="Q5" s="809"/>
      <c r="R5" s="809"/>
      <c r="S5" s="810"/>
      <c r="T5" s="413"/>
      <c r="U5" s="413"/>
      <c r="V5" s="413"/>
      <c r="W5" s="413"/>
      <c r="X5" s="413"/>
      <c r="Y5" s="413"/>
      <c r="Z5" s="413"/>
      <c r="AA5" s="412"/>
    </row>
    <row r="6" spans="1:27" ht="12" customHeight="1">
      <c r="A6" s="801"/>
      <c r="B6" s="802"/>
      <c r="C6" s="805" t="s">
        <v>64</v>
      </c>
      <c r="D6" s="797" t="s">
        <v>648</v>
      </c>
      <c r="E6" s="797"/>
      <c r="F6" s="797"/>
      <c r="G6" s="797"/>
      <c r="H6" s="797" t="s">
        <v>647</v>
      </c>
      <c r="I6" s="797"/>
      <c r="J6" s="797"/>
      <c r="K6" s="797"/>
      <c r="L6" s="410"/>
      <c r="M6" s="798" t="s">
        <v>646</v>
      </c>
      <c r="N6" s="798"/>
      <c r="O6" s="798"/>
      <c r="P6" s="798"/>
      <c r="Q6" s="798"/>
      <c r="R6" s="798"/>
      <c r="S6" s="807"/>
      <c r="T6" s="413"/>
      <c r="U6" s="786" t="s">
        <v>645</v>
      </c>
      <c r="V6" s="786"/>
      <c r="W6" s="786"/>
      <c r="X6" s="786"/>
      <c r="Y6" s="786"/>
      <c r="Z6" s="786"/>
      <c r="AA6" s="779"/>
    </row>
    <row r="7" spans="1:27" ht="24">
      <c r="A7" s="803"/>
      <c r="B7" s="804"/>
      <c r="C7" s="806"/>
      <c r="D7" s="409"/>
      <c r="E7" s="386" t="s">
        <v>436</v>
      </c>
      <c r="F7" s="386" t="s">
        <v>643</v>
      </c>
      <c r="G7" s="388" t="s">
        <v>644</v>
      </c>
      <c r="H7" s="390"/>
      <c r="I7" s="386" t="s">
        <v>436</v>
      </c>
      <c r="J7" s="386" t="s">
        <v>643</v>
      </c>
      <c r="K7" s="388" t="s">
        <v>644</v>
      </c>
      <c r="L7" s="408"/>
      <c r="M7" s="386" t="s">
        <v>436</v>
      </c>
      <c r="N7" s="386" t="s">
        <v>643</v>
      </c>
      <c r="O7" s="386" t="s">
        <v>642</v>
      </c>
      <c r="P7" s="386" t="s">
        <v>641</v>
      </c>
      <c r="Q7" s="386" t="s">
        <v>640</v>
      </c>
      <c r="R7" s="386" t="s">
        <v>639</v>
      </c>
      <c r="S7" s="434" t="s">
        <v>638</v>
      </c>
      <c r="T7" s="433"/>
      <c r="U7" s="386" t="s">
        <v>436</v>
      </c>
      <c r="V7" s="386" t="s">
        <v>643</v>
      </c>
      <c r="W7" s="386" t="s">
        <v>642</v>
      </c>
      <c r="X7" s="386" t="s">
        <v>641</v>
      </c>
      <c r="Y7" s="386" t="s">
        <v>640</v>
      </c>
      <c r="Z7" s="386" t="s">
        <v>639</v>
      </c>
      <c r="AA7" s="386" t="s">
        <v>638</v>
      </c>
    </row>
    <row r="8" spans="1:27">
      <c r="A8" s="432">
        <v>1</v>
      </c>
      <c r="B8" s="431" t="s">
        <v>437</v>
      </c>
      <c r="C8" s="642">
        <v>362138797.52969998</v>
      </c>
      <c r="D8" s="643">
        <v>324571832.34030002</v>
      </c>
      <c r="E8" s="643">
        <v>5530083.9192000004</v>
      </c>
      <c r="F8" s="643">
        <v>13128480.380000001</v>
      </c>
      <c r="G8" s="643">
        <v>1243.1636000000001</v>
      </c>
      <c r="H8" s="643">
        <v>6944604.1271000002</v>
      </c>
      <c r="I8" s="643">
        <v>0</v>
      </c>
      <c r="J8" s="643">
        <v>2496364.92</v>
      </c>
      <c r="K8" s="643">
        <v>0</v>
      </c>
      <c r="L8" s="643">
        <v>28161270.929200001</v>
      </c>
      <c r="M8" s="643">
        <v>0</v>
      </c>
      <c r="N8" s="643">
        <v>0</v>
      </c>
      <c r="O8" s="643">
        <v>396603.88650000002</v>
      </c>
      <c r="P8" s="643">
        <v>4315730.2229000004</v>
      </c>
      <c r="Q8" s="643">
        <v>2660349.4005</v>
      </c>
      <c r="R8" s="643">
        <v>11666244.107899999</v>
      </c>
      <c r="S8" s="643">
        <v>0</v>
      </c>
      <c r="T8" s="643">
        <v>2461090.1331000002</v>
      </c>
      <c r="U8" s="643">
        <v>0</v>
      </c>
      <c r="V8" s="643">
        <v>0</v>
      </c>
      <c r="W8" s="643">
        <v>0</v>
      </c>
      <c r="X8" s="643">
        <v>0</v>
      </c>
      <c r="Y8" s="643">
        <v>2461090.1331000002</v>
      </c>
      <c r="Z8" s="643">
        <v>0</v>
      </c>
      <c r="AA8" s="644">
        <v>0</v>
      </c>
    </row>
    <row r="9" spans="1:27">
      <c r="A9" s="424">
        <v>1.1000000000000001</v>
      </c>
      <c r="B9" s="430" t="s">
        <v>447</v>
      </c>
      <c r="C9" s="645">
        <v>358663128.44300002</v>
      </c>
      <c r="D9" s="643">
        <v>321185797.56410003</v>
      </c>
      <c r="E9" s="643">
        <v>5528989.6792000001</v>
      </c>
      <c r="F9" s="643">
        <v>13128480.380000001</v>
      </c>
      <c r="G9" s="643">
        <v>0</v>
      </c>
      <c r="H9" s="643">
        <v>6918971.7171</v>
      </c>
      <c r="I9" s="643">
        <v>0</v>
      </c>
      <c r="J9" s="643">
        <v>2496364.92</v>
      </c>
      <c r="K9" s="643">
        <v>0</v>
      </c>
      <c r="L9" s="643">
        <v>28097269.028700002</v>
      </c>
      <c r="M9" s="643">
        <v>0</v>
      </c>
      <c r="N9" s="643">
        <v>0</v>
      </c>
      <c r="O9" s="643">
        <v>382866.12760000001</v>
      </c>
      <c r="P9" s="643">
        <v>4306655.6513</v>
      </c>
      <c r="Q9" s="643">
        <v>2660349.4005</v>
      </c>
      <c r="R9" s="643">
        <v>11625054.537900001</v>
      </c>
      <c r="S9" s="643">
        <v>0</v>
      </c>
      <c r="T9" s="643">
        <v>2461090.1331000002</v>
      </c>
      <c r="U9" s="643">
        <v>0</v>
      </c>
      <c r="V9" s="643">
        <v>0</v>
      </c>
      <c r="W9" s="643">
        <v>0</v>
      </c>
      <c r="X9" s="643">
        <v>0</v>
      </c>
      <c r="Y9" s="643">
        <v>2461090.1331000002</v>
      </c>
      <c r="Z9" s="643">
        <v>0</v>
      </c>
      <c r="AA9" s="644">
        <v>0</v>
      </c>
    </row>
    <row r="10" spans="1:27">
      <c r="A10" s="428" t="s">
        <v>14</v>
      </c>
      <c r="B10" s="429" t="s">
        <v>448</v>
      </c>
      <c r="C10" s="646">
        <v>229642307.57280001</v>
      </c>
      <c r="D10" s="643">
        <v>192331014.69389999</v>
      </c>
      <c r="E10" s="643">
        <v>5528989.6792000001</v>
      </c>
      <c r="F10" s="643">
        <v>13128480.380000001</v>
      </c>
      <c r="G10" s="643">
        <v>0</v>
      </c>
      <c r="H10" s="643">
        <v>6918971.7171</v>
      </c>
      <c r="I10" s="643">
        <v>0</v>
      </c>
      <c r="J10" s="643">
        <v>2496364.92</v>
      </c>
      <c r="K10" s="643">
        <v>0</v>
      </c>
      <c r="L10" s="643">
        <v>27931231.028700002</v>
      </c>
      <c r="M10" s="643">
        <v>0</v>
      </c>
      <c r="N10" s="643">
        <v>0</v>
      </c>
      <c r="O10" s="643">
        <v>382866.12760000001</v>
      </c>
      <c r="P10" s="643">
        <v>4306655.6513</v>
      </c>
      <c r="Q10" s="643">
        <v>2660349.4005</v>
      </c>
      <c r="R10" s="643">
        <v>11459016.537900001</v>
      </c>
      <c r="S10" s="643">
        <v>0</v>
      </c>
      <c r="T10" s="643">
        <v>2461090.1331000002</v>
      </c>
      <c r="U10" s="643">
        <v>0</v>
      </c>
      <c r="V10" s="643">
        <v>0</v>
      </c>
      <c r="W10" s="643">
        <v>0</v>
      </c>
      <c r="X10" s="643">
        <v>0</v>
      </c>
      <c r="Y10" s="643">
        <v>2461090.1331000002</v>
      </c>
      <c r="Z10" s="643">
        <v>0</v>
      </c>
      <c r="AA10" s="644">
        <v>0</v>
      </c>
    </row>
    <row r="11" spans="1:27">
      <c r="A11" s="426" t="s">
        <v>449</v>
      </c>
      <c r="B11" s="427" t="s">
        <v>450</v>
      </c>
      <c r="C11" s="647">
        <v>97286908.241300002</v>
      </c>
      <c r="D11" s="643">
        <v>83264476.322899997</v>
      </c>
      <c r="E11" s="643">
        <v>5528989.6792000001</v>
      </c>
      <c r="F11" s="643">
        <v>0</v>
      </c>
      <c r="G11" s="643">
        <v>0</v>
      </c>
      <c r="H11" s="643">
        <v>5811142.5761000002</v>
      </c>
      <c r="I11" s="643">
        <v>0</v>
      </c>
      <c r="J11" s="643">
        <v>2496364.92</v>
      </c>
      <c r="K11" s="643">
        <v>0</v>
      </c>
      <c r="L11" s="643">
        <v>8211289.3422999997</v>
      </c>
      <c r="M11" s="643">
        <v>0</v>
      </c>
      <c r="N11" s="643">
        <v>0</v>
      </c>
      <c r="O11" s="643">
        <v>382866.12760000001</v>
      </c>
      <c r="P11" s="643">
        <v>2293772.7710000002</v>
      </c>
      <c r="Q11" s="643">
        <v>2596008.9082999998</v>
      </c>
      <c r="R11" s="643">
        <v>2250181.0554</v>
      </c>
      <c r="S11" s="643">
        <v>0</v>
      </c>
      <c r="T11" s="643">
        <v>0</v>
      </c>
      <c r="U11" s="643">
        <v>0</v>
      </c>
      <c r="V11" s="643">
        <v>0</v>
      </c>
      <c r="W11" s="643">
        <v>0</v>
      </c>
      <c r="X11" s="643">
        <v>0</v>
      </c>
      <c r="Y11" s="643">
        <v>0</v>
      </c>
      <c r="Z11" s="643">
        <v>0</v>
      </c>
      <c r="AA11" s="644">
        <v>0</v>
      </c>
    </row>
    <row r="12" spans="1:27">
      <c r="A12" s="426" t="s">
        <v>451</v>
      </c>
      <c r="B12" s="427" t="s">
        <v>452</v>
      </c>
      <c r="C12" s="647">
        <v>50404273.866499998</v>
      </c>
      <c r="D12" s="643">
        <v>45232745.9155</v>
      </c>
      <c r="E12" s="643">
        <v>0</v>
      </c>
      <c r="F12" s="643">
        <v>0</v>
      </c>
      <c r="G12" s="643">
        <v>0</v>
      </c>
      <c r="H12" s="643">
        <v>0</v>
      </c>
      <c r="I12" s="643">
        <v>0</v>
      </c>
      <c r="J12" s="643">
        <v>0</v>
      </c>
      <c r="K12" s="643">
        <v>0</v>
      </c>
      <c r="L12" s="643">
        <v>5171527.9510000004</v>
      </c>
      <c r="M12" s="643">
        <v>0</v>
      </c>
      <c r="N12" s="643">
        <v>0</v>
      </c>
      <c r="O12" s="643">
        <v>0</v>
      </c>
      <c r="P12" s="643">
        <v>0</v>
      </c>
      <c r="Q12" s="643">
        <v>0</v>
      </c>
      <c r="R12" s="643">
        <v>5171527.9510000004</v>
      </c>
      <c r="S12" s="643">
        <v>0</v>
      </c>
      <c r="T12" s="643">
        <v>0</v>
      </c>
      <c r="U12" s="643">
        <v>0</v>
      </c>
      <c r="V12" s="643">
        <v>0</v>
      </c>
      <c r="W12" s="643">
        <v>0</v>
      </c>
      <c r="X12" s="643">
        <v>0</v>
      </c>
      <c r="Y12" s="643">
        <v>0</v>
      </c>
      <c r="Z12" s="643">
        <v>0</v>
      </c>
      <c r="AA12" s="644">
        <v>0</v>
      </c>
    </row>
    <row r="13" spans="1:27">
      <c r="A13" s="426" t="s">
        <v>453</v>
      </c>
      <c r="B13" s="427" t="s">
        <v>454</v>
      </c>
      <c r="C13" s="647">
        <v>12479382.7345</v>
      </c>
      <c r="D13" s="643">
        <v>0</v>
      </c>
      <c r="E13" s="643">
        <v>0</v>
      </c>
      <c r="F13" s="643">
        <v>0</v>
      </c>
      <c r="G13" s="643">
        <v>0</v>
      </c>
      <c r="H13" s="643">
        <v>0</v>
      </c>
      <c r="I13" s="643">
        <v>0</v>
      </c>
      <c r="J13" s="643">
        <v>0</v>
      </c>
      <c r="K13" s="643">
        <v>0</v>
      </c>
      <c r="L13" s="643">
        <v>12479382.7345</v>
      </c>
      <c r="M13" s="643">
        <v>0</v>
      </c>
      <c r="N13" s="643">
        <v>0</v>
      </c>
      <c r="O13" s="643">
        <v>0</v>
      </c>
      <c r="P13" s="643">
        <v>0</v>
      </c>
      <c r="Q13" s="643">
        <v>0</v>
      </c>
      <c r="R13" s="643">
        <v>4042802.1768</v>
      </c>
      <c r="S13" s="643">
        <v>0</v>
      </c>
      <c r="T13" s="643">
        <v>0</v>
      </c>
      <c r="U13" s="643">
        <v>0</v>
      </c>
      <c r="V13" s="643">
        <v>0</v>
      </c>
      <c r="W13" s="643">
        <v>0</v>
      </c>
      <c r="X13" s="643">
        <v>0</v>
      </c>
      <c r="Y13" s="643">
        <v>0</v>
      </c>
      <c r="Z13" s="643">
        <v>0</v>
      </c>
      <c r="AA13" s="644">
        <v>0</v>
      </c>
    </row>
    <row r="14" spans="1:27">
      <c r="A14" s="426" t="s">
        <v>455</v>
      </c>
      <c r="B14" s="427" t="s">
        <v>456</v>
      </c>
      <c r="C14" s="647">
        <v>69749347.355499998</v>
      </c>
      <c r="D14" s="643">
        <v>64100189.209700003</v>
      </c>
      <c r="E14" s="643">
        <v>0</v>
      </c>
      <c r="F14" s="643">
        <v>13128480.380000001</v>
      </c>
      <c r="G14" s="643">
        <v>0</v>
      </c>
      <c r="H14" s="643">
        <v>1110844.6402</v>
      </c>
      <c r="I14" s="643">
        <v>0</v>
      </c>
      <c r="J14" s="643">
        <v>0</v>
      </c>
      <c r="K14" s="643">
        <v>0</v>
      </c>
      <c r="L14" s="643">
        <v>2077223.3725000001</v>
      </c>
      <c r="M14" s="643">
        <v>0</v>
      </c>
      <c r="N14" s="643">
        <v>0</v>
      </c>
      <c r="O14" s="643">
        <v>0</v>
      </c>
      <c r="P14" s="643">
        <v>2012882.8803000001</v>
      </c>
      <c r="Q14" s="643">
        <v>64340.492200000001</v>
      </c>
      <c r="R14" s="643">
        <v>0</v>
      </c>
      <c r="S14" s="643">
        <v>0</v>
      </c>
      <c r="T14" s="643">
        <v>2461090.1331000002</v>
      </c>
      <c r="U14" s="643">
        <v>0</v>
      </c>
      <c r="V14" s="643">
        <v>0</v>
      </c>
      <c r="W14" s="643">
        <v>0</v>
      </c>
      <c r="X14" s="643">
        <v>0</v>
      </c>
      <c r="Y14" s="643">
        <v>2461090.1331000002</v>
      </c>
      <c r="Z14" s="643">
        <v>0</v>
      </c>
      <c r="AA14" s="644">
        <v>0</v>
      </c>
    </row>
    <row r="15" spans="1:27">
      <c r="A15" s="425">
        <v>1.2</v>
      </c>
      <c r="B15" s="423" t="s">
        <v>650</v>
      </c>
      <c r="C15" s="645">
        <v>11068686.609200001</v>
      </c>
      <c r="D15" s="643">
        <v>1669809.4461000001</v>
      </c>
      <c r="E15" s="643">
        <v>13071.7788</v>
      </c>
      <c r="F15" s="643">
        <v>60008.984700000001</v>
      </c>
      <c r="G15" s="643">
        <v>0</v>
      </c>
      <c r="H15" s="643">
        <v>266469.67739999999</v>
      </c>
      <c r="I15" s="643">
        <v>0</v>
      </c>
      <c r="J15" s="643">
        <v>7532.6767</v>
      </c>
      <c r="K15" s="643">
        <v>0</v>
      </c>
      <c r="L15" s="643">
        <v>7918058.5508000003</v>
      </c>
      <c r="M15" s="643">
        <v>0</v>
      </c>
      <c r="N15" s="643">
        <v>0</v>
      </c>
      <c r="O15" s="643">
        <v>36885.955999999998</v>
      </c>
      <c r="P15" s="643">
        <v>2219346.8176000002</v>
      </c>
      <c r="Q15" s="643">
        <v>280654.6274</v>
      </c>
      <c r="R15" s="643">
        <v>1759176.2381</v>
      </c>
      <c r="S15" s="643">
        <v>0</v>
      </c>
      <c r="T15" s="643">
        <v>1214348.9349</v>
      </c>
      <c r="U15" s="643">
        <v>0</v>
      </c>
      <c r="V15" s="643">
        <v>0</v>
      </c>
      <c r="W15" s="643">
        <v>0</v>
      </c>
      <c r="X15" s="643">
        <v>0</v>
      </c>
      <c r="Y15" s="643">
        <v>1214348.9349</v>
      </c>
      <c r="Z15" s="643">
        <v>0</v>
      </c>
      <c r="AA15" s="644">
        <v>0</v>
      </c>
    </row>
    <row r="16" spans="1:27">
      <c r="A16" s="424">
        <v>1.3</v>
      </c>
      <c r="B16" s="423" t="s">
        <v>495</v>
      </c>
      <c r="C16" s="648"/>
      <c r="D16" s="649"/>
      <c r="E16" s="649"/>
      <c r="F16" s="649"/>
      <c r="G16" s="649"/>
      <c r="H16" s="649"/>
      <c r="I16" s="649"/>
      <c r="J16" s="649"/>
      <c r="K16" s="649"/>
      <c r="L16" s="649"/>
      <c r="M16" s="649"/>
      <c r="N16" s="649"/>
      <c r="O16" s="649"/>
      <c r="P16" s="649"/>
      <c r="Q16" s="649"/>
      <c r="R16" s="649"/>
      <c r="S16" s="649"/>
      <c r="T16" s="649"/>
      <c r="U16" s="649"/>
      <c r="V16" s="649"/>
      <c r="W16" s="649"/>
      <c r="X16" s="649"/>
      <c r="Y16" s="649"/>
      <c r="Z16" s="649"/>
      <c r="AA16" s="650"/>
    </row>
    <row r="17" spans="1:27">
      <c r="A17" s="420" t="s">
        <v>457</v>
      </c>
      <c r="B17" s="422" t="s">
        <v>458</v>
      </c>
      <c r="C17" s="651">
        <v>217191794.69010001</v>
      </c>
      <c r="D17" s="643">
        <v>182278779.3813</v>
      </c>
      <c r="E17" s="643">
        <v>5528989.6792000001</v>
      </c>
      <c r="F17" s="643">
        <v>12058703.294199999</v>
      </c>
      <c r="G17" s="643">
        <v>0</v>
      </c>
      <c r="H17" s="643">
        <v>6360296.7418</v>
      </c>
      <c r="I17" s="643">
        <v>0</v>
      </c>
      <c r="J17" s="643">
        <v>2446233.8968000002</v>
      </c>
      <c r="K17" s="643">
        <v>0</v>
      </c>
      <c r="L17" s="643">
        <v>23782625.794799998</v>
      </c>
      <c r="M17" s="643">
        <v>0</v>
      </c>
      <c r="N17" s="643">
        <v>0</v>
      </c>
      <c r="O17" s="643">
        <v>368859.56040000002</v>
      </c>
      <c r="P17" s="643">
        <v>2287407.0230999999</v>
      </c>
      <c r="Q17" s="643">
        <v>2450084.7614000002</v>
      </c>
      <c r="R17" s="643">
        <v>9557963.7892000005</v>
      </c>
      <c r="S17" s="643">
        <v>0</v>
      </c>
      <c r="T17" s="643">
        <v>2321465.7000000002</v>
      </c>
      <c r="U17" s="643">
        <v>0</v>
      </c>
      <c r="V17" s="643">
        <v>0</v>
      </c>
      <c r="W17" s="643">
        <v>0</v>
      </c>
      <c r="X17" s="643">
        <v>0</v>
      </c>
      <c r="Y17" s="643">
        <v>2321465.7000000002</v>
      </c>
      <c r="Z17" s="643">
        <v>0</v>
      </c>
      <c r="AA17" s="644">
        <v>0</v>
      </c>
    </row>
    <row r="18" spans="1:27">
      <c r="A18" s="418" t="s">
        <v>459</v>
      </c>
      <c r="B18" s="419" t="s">
        <v>460</v>
      </c>
      <c r="C18" s="652">
        <v>202754893.9542</v>
      </c>
      <c r="D18" s="643">
        <v>167841878.64539999</v>
      </c>
      <c r="E18" s="643">
        <v>5528989.6792000001</v>
      </c>
      <c r="F18" s="643">
        <v>12058703.294199999</v>
      </c>
      <c r="G18" s="643">
        <v>0</v>
      </c>
      <c r="H18" s="643">
        <v>6360296.7418</v>
      </c>
      <c r="I18" s="643">
        <v>0</v>
      </c>
      <c r="J18" s="643">
        <v>2446233.8968000002</v>
      </c>
      <c r="K18" s="643">
        <v>0</v>
      </c>
      <c r="L18" s="643">
        <v>23782625.794799998</v>
      </c>
      <c r="M18" s="643">
        <v>0</v>
      </c>
      <c r="N18" s="643">
        <v>0</v>
      </c>
      <c r="O18" s="643">
        <v>368859.56040000002</v>
      </c>
      <c r="P18" s="643">
        <v>2287407.0230999999</v>
      </c>
      <c r="Q18" s="643">
        <v>2450084.7614000002</v>
      </c>
      <c r="R18" s="643">
        <v>9557963.7892000005</v>
      </c>
      <c r="S18" s="643">
        <v>0</v>
      </c>
      <c r="T18" s="643">
        <v>2321465.7000000002</v>
      </c>
      <c r="U18" s="643">
        <v>0</v>
      </c>
      <c r="V18" s="643">
        <v>0</v>
      </c>
      <c r="W18" s="643">
        <v>0</v>
      </c>
      <c r="X18" s="643">
        <v>0</v>
      </c>
      <c r="Y18" s="643">
        <v>2321465.7000000002</v>
      </c>
      <c r="Z18" s="643">
        <v>0</v>
      </c>
      <c r="AA18" s="644">
        <v>0</v>
      </c>
    </row>
    <row r="19" spans="1:27">
      <c r="A19" s="420" t="s">
        <v>461</v>
      </c>
      <c r="B19" s="421" t="s">
        <v>462</v>
      </c>
      <c r="C19" s="653">
        <v>284882224.76380002</v>
      </c>
      <c r="D19" s="643">
        <v>257800886.30419999</v>
      </c>
      <c r="E19" s="643">
        <v>2898796.0153000001</v>
      </c>
      <c r="F19" s="643">
        <v>0</v>
      </c>
      <c r="G19" s="643">
        <v>0</v>
      </c>
      <c r="H19" s="643">
        <v>7420477.1801000005</v>
      </c>
      <c r="I19" s="643">
        <v>0</v>
      </c>
      <c r="J19" s="643">
        <v>2035808.328</v>
      </c>
      <c r="K19" s="643">
        <v>0</v>
      </c>
      <c r="L19" s="643">
        <v>19660861.2795</v>
      </c>
      <c r="M19" s="643">
        <v>0</v>
      </c>
      <c r="N19" s="643">
        <v>0</v>
      </c>
      <c r="O19" s="643">
        <v>578064.24269999994</v>
      </c>
      <c r="P19" s="643">
        <v>3796562.7571</v>
      </c>
      <c r="Q19" s="643">
        <v>7437059.0754000004</v>
      </c>
      <c r="R19" s="643">
        <v>4546490.1158999996</v>
      </c>
      <c r="S19" s="643">
        <v>0</v>
      </c>
      <c r="T19" s="643">
        <v>0</v>
      </c>
      <c r="U19" s="643">
        <v>0</v>
      </c>
      <c r="V19" s="643">
        <v>0</v>
      </c>
      <c r="W19" s="643">
        <v>0</v>
      </c>
      <c r="X19" s="643">
        <v>0</v>
      </c>
      <c r="Y19" s="643">
        <v>0</v>
      </c>
      <c r="Z19" s="643">
        <v>0</v>
      </c>
      <c r="AA19" s="644">
        <v>0</v>
      </c>
    </row>
    <row r="20" spans="1:27">
      <c r="A20" s="418" t="s">
        <v>463</v>
      </c>
      <c r="B20" s="419" t="s">
        <v>460</v>
      </c>
      <c r="C20" s="652">
        <v>263368929.29769999</v>
      </c>
      <c r="D20" s="643">
        <v>237057955.2035</v>
      </c>
      <c r="E20" s="643">
        <v>2898796.0153000001</v>
      </c>
      <c r="F20" s="643">
        <v>0</v>
      </c>
      <c r="G20" s="643">
        <v>0</v>
      </c>
      <c r="H20" s="643">
        <v>7420477.1801000005</v>
      </c>
      <c r="I20" s="643">
        <v>0</v>
      </c>
      <c r="J20" s="643">
        <v>2035808.328</v>
      </c>
      <c r="K20" s="643">
        <v>0</v>
      </c>
      <c r="L20" s="643">
        <v>18890496.914099999</v>
      </c>
      <c r="M20" s="643">
        <v>0</v>
      </c>
      <c r="N20" s="643">
        <v>0</v>
      </c>
      <c r="O20" s="643">
        <v>496429.43190000003</v>
      </c>
      <c r="P20" s="643">
        <v>3796562.7017000001</v>
      </c>
      <c r="Q20" s="643">
        <v>7218601.7706000004</v>
      </c>
      <c r="R20" s="643">
        <v>4546490.1158999996</v>
      </c>
      <c r="S20" s="643">
        <v>0</v>
      </c>
      <c r="T20" s="643">
        <v>0</v>
      </c>
      <c r="U20" s="643">
        <v>0</v>
      </c>
      <c r="V20" s="643">
        <v>0</v>
      </c>
      <c r="W20" s="643">
        <v>0</v>
      </c>
      <c r="X20" s="643">
        <v>0</v>
      </c>
      <c r="Y20" s="643">
        <v>0</v>
      </c>
      <c r="Z20" s="643">
        <v>0</v>
      </c>
      <c r="AA20" s="644">
        <v>0</v>
      </c>
    </row>
    <row r="21" spans="1:27">
      <c r="A21" s="417">
        <v>1.4</v>
      </c>
      <c r="B21" s="416" t="s">
        <v>464</v>
      </c>
      <c r="C21" s="654"/>
      <c r="D21" s="643"/>
      <c r="E21" s="643"/>
      <c r="F21" s="643"/>
      <c r="G21" s="643"/>
      <c r="H21" s="643"/>
      <c r="I21" s="643"/>
      <c r="J21" s="643"/>
      <c r="K21" s="643"/>
      <c r="L21" s="643"/>
      <c r="M21" s="643"/>
      <c r="N21" s="643"/>
      <c r="O21" s="643"/>
      <c r="P21" s="643"/>
      <c r="Q21" s="643"/>
      <c r="R21" s="643"/>
      <c r="S21" s="643"/>
      <c r="T21" s="643"/>
      <c r="U21" s="643"/>
      <c r="V21" s="643"/>
      <c r="W21" s="643"/>
      <c r="X21" s="643"/>
      <c r="Y21" s="643"/>
      <c r="Z21" s="643"/>
      <c r="AA21" s="644"/>
    </row>
    <row r="22" spans="1:27" ht="12.6" thickBot="1">
      <c r="A22" s="415">
        <v>1.5</v>
      </c>
      <c r="B22" s="414" t="s">
        <v>465</v>
      </c>
      <c r="C22" s="655">
        <v>539210.23140000005</v>
      </c>
      <c r="D22" s="656">
        <v>539210.23140000005</v>
      </c>
      <c r="E22" s="656">
        <v>0</v>
      </c>
      <c r="F22" s="656">
        <v>0</v>
      </c>
      <c r="G22" s="656">
        <v>0</v>
      </c>
      <c r="H22" s="656">
        <v>0</v>
      </c>
      <c r="I22" s="656">
        <v>0</v>
      </c>
      <c r="J22" s="656">
        <v>0</v>
      </c>
      <c r="K22" s="656">
        <v>0</v>
      </c>
      <c r="L22" s="656">
        <v>0</v>
      </c>
      <c r="M22" s="656">
        <v>0</v>
      </c>
      <c r="N22" s="656">
        <v>0</v>
      </c>
      <c r="O22" s="656">
        <v>0</v>
      </c>
      <c r="P22" s="656">
        <v>0</v>
      </c>
      <c r="Q22" s="656">
        <v>0</v>
      </c>
      <c r="R22" s="656">
        <v>0</v>
      </c>
      <c r="S22" s="656">
        <v>0</v>
      </c>
      <c r="T22" s="656">
        <v>0</v>
      </c>
      <c r="U22" s="656">
        <v>0</v>
      </c>
      <c r="V22" s="656">
        <v>0</v>
      </c>
      <c r="W22" s="656">
        <v>0</v>
      </c>
      <c r="X22" s="656">
        <v>0</v>
      </c>
      <c r="Y22" s="656">
        <v>0</v>
      </c>
      <c r="Z22" s="656">
        <v>0</v>
      </c>
      <c r="AA22" s="657">
        <v>0</v>
      </c>
    </row>
    <row r="25" spans="1:27">
      <c r="C25" s="658"/>
      <c r="D25" s="658"/>
      <c r="E25" s="658"/>
      <c r="F25" s="658"/>
      <c r="G25" s="658"/>
      <c r="H25" s="658"/>
      <c r="I25" s="658"/>
      <c r="J25" s="658"/>
      <c r="K25" s="658"/>
      <c r="L25" s="658"/>
      <c r="M25" s="658"/>
      <c r="N25" s="658"/>
      <c r="O25" s="658"/>
      <c r="P25" s="658"/>
      <c r="Q25" s="658"/>
      <c r="R25" s="658"/>
      <c r="S25" s="658"/>
      <c r="T25" s="658"/>
      <c r="U25" s="658"/>
      <c r="V25" s="658"/>
      <c r="W25" s="658"/>
      <c r="X25" s="658"/>
      <c r="Y25" s="658"/>
      <c r="Z25" s="658"/>
      <c r="AA25" s="658"/>
    </row>
    <row r="26" spans="1:27">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row>
    <row r="27" spans="1:27">
      <c r="C27" s="658"/>
      <c r="D27" s="658"/>
      <c r="E27" s="658"/>
      <c r="F27" s="658"/>
      <c r="G27" s="658"/>
      <c r="H27" s="658"/>
      <c r="I27" s="658"/>
      <c r="J27" s="658"/>
      <c r="K27" s="658"/>
      <c r="L27" s="658"/>
      <c r="M27" s="658"/>
      <c r="N27" s="658"/>
      <c r="O27" s="658"/>
      <c r="P27" s="658"/>
      <c r="Q27" s="658"/>
      <c r="R27" s="658"/>
      <c r="S27" s="658"/>
      <c r="T27" s="658"/>
      <c r="U27" s="658"/>
      <c r="V27" s="658"/>
      <c r="W27" s="658"/>
      <c r="X27" s="658"/>
      <c r="Y27" s="658"/>
      <c r="Z27" s="658"/>
      <c r="AA27" s="658"/>
    </row>
    <row r="28" spans="1:27">
      <c r="C28" s="658"/>
      <c r="D28" s="658"/>
      <c r="E28" s="658"/>
      <c r="F28" s="658"/>
      <c r="G28" s="658"/>
      <c r="H28" s="658"/>
      <c r="I28" s="658"/>
      <c r="J28" s="658"/>
      <c r="K28" s="658"/>
      <c r="L28" s="658"/>
      <c r="M28" s="658"/>
      <c r="N28" s="658"/>
      <c r="O28" s="658"/>
      <c r="P28" s="658"/>
      <c r="Q28" s="658"/>
      <c r="R28" s="658"/>
      <c r="S28" s="658"/>
      <c r="T28" s="658"/>
      <c r="U28" s="658"/>
      <c r="V28" s="658"/>
      <c r="W28" s="658"/>
      <c r="X28" s="658"/>
      <c r="Y28" s="658"/>
      <c r="Z28" s="658"/>
      <c r="AA28" s="658"/>
    </row>
    <row r="29" spans="1:27">
      <c r="C29" s="658"/>
      <c r="D29" s="658"/>
      <c r="E29" s="658"/>
      <c r="F29" s="658"/>
      <c r="G29" s="658"/>
      <c r="H29" s="658"/>
      <c r="I29" s="658"/>
      <c r="J29" s="658"/>
      <c r="K29" s="658"/>
      <c r="L29" s="658"/>
      <c r="M29" s="658"/>
      <c r="N29" s="658"/>
      <c r="O29" s="658"/>
      <c r="P29" s="658"/>
      <c r="Q29" s="658"/>
      <c r="R29" s="658"/>
      <c r="S29" s="658"/>
      <c r="T29" s="658"/>
      <c r="U29" s="658"/>
      <c r="V29" s="658"/>
      <c r="W29" s="658"/>
      <c r="X29" s="658"/>
      <c r="Y29" s="658"/>
      <c r="Z29" s="658"/>
      <c r="AA29" s="658"/>
    </row>
    <row r="30" spans="1:27">
      <c r="C30" s="658"/>
      <c r="D30" s="658"/>
      <c r="E30" s="658"/>
      <c r="F30" s="658"/>
      <c r="G30" s="658"/>
      <c r="H30" s="658"/>
      <c r="I30" s="658"/>
      <c r="J30" s="658"/>
      <c r="K30" s="658"/>
      <c r="L30" s="658"/>
      <c r="M30" s="658"/>
      <c r="N30" s="658"/>
      <c r="O30" s="658"/>
      <c r="P30" s="658"/>
      <c r="Q30" s="658"/>
      <c r="R30" s="658"/>
      <c r="S30" s="658"/>
      <c r="T30" s="658"/>
      <c r="U30" s="658"/>
      <c r="V30" s="658"/>
      <c r="W30" s="658"/>
      <c r="X30" s="658"/>
      <c r="Y30" s="658"/>
      <c r="Z30" s="658"/>
      <c r="AA30" s="658"/>
    </row>
    <row r="31" spans="1:27">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row>
    <row r="32" spans="1:27">
      <c r="C32" s="658"/>
      <c r="D32" s="658"/>
      <c r="E32" s="658"/>
      <c r="F32" s="658"/>
      <c r="G32" s="658"/>
      <c r="H32" s="658"/>
      <c r="I32" s="658"/>
      <c r="J32" s="658"/>
      <c r="K32" s="658"/>
      <c r="L32" s="658"/>
      <c r="M32" s="658"/>
      <c r="N32" s="658"/>
      <c r="O32" s="658"/>
      <c r="P32" s="658"/>
      <c r="Q32" s="658"/>
      <c r="R32" s="658"/>
      <c r="S32" s="658"/>
      <c r="T32" s="658"/>
      <c r="U32" s="658"/>
      <c r="V32" s="658"/>
      <c r="W32" s="658"/>
      <c r="X32" s="658"/>
      <c r="Y32" s="658"/>
      <c r="Z32" s="658"/>
      <c r="AA32" s="658"/>
    </row>
    <row r="33" spans="3:27">
      <c r="C33" s="658"/>
      <c r="D33" s="658"/>
      <c r="E33" s="658"/>
      <c r="F33" s="658"/>
      <c r="G33" s="658"/>
      <c r="H33" s="658"/>
      <c r="I33" s="658"/>
      <c r="J33" s="658"/>
      <c r="K33" s="658"/>
      <c r="L33" s="658"/>
      <c r="M33" s="658"/>
      <c r="N33" s="658"/>
      <c r="O33" s="658"/>
      <c r="P33" s="658"/>
      <c r="Q33" s="658"/>
      <c r="R33" s="658"/>
      <c r="S33" s="658"/>
      <c r="T33" s="658"/>
      <c r="U33" s="658"/>
      <c r="V33" s="658"/>
      <c r="W33" s="658"/>
      <c r="X33" s="658"/>
      <c r="Y33" s="658"/>
      <c r="Z33" s="658"/>
      <c r="AA33" s="658"/>
    </row>
    <row r="34" spans="3:27">
      <c r="C34" s="658"/>
      <c r="D34" s="658"/>
      <c r="E34" s="658"/>
      <c r="F34" s="658"/>
      <c r="G34" s="658"/>
      <c r="H34" s="658"/>
      <c r="I34" s="658"/>
      <c r="J34" s="658"/>
      <c r="K34" s="658"/>
      <c r="L34" s="658"/>
      <c r="M34" s="658"/>
      <c r="N34" s="658"/>
      <c r="O34" s="658"/>
      <c r="P34" s="658"/>
      <c r="Q34" s="658"/>
      <c r="R34" s="658"/>
      <c r="S34" s="658"/>
      <c r="T34" s="658"/>
      <c r="U34" s="658"/>
      <c r="V34" s="658"/>
      <c r="W34" s="658"/>
      <c r="X34" s="658"/>
      <c r="Y34" s="658"/>
      <c r="Z34" s="658"/>
      <c r="AA34" s="658"/>
    </row>
    <row r="35" spans="3:27">
      <c r="C35" s="658"/>
      <c r="D35" s="658"/>
      <c r="E35" s="658"/>
      <c r="F35" s="658"/>
      <c r="G35" s="658"/>
      <c r="H35" s="658"/>
      <c r="I35" s="658"/>
      <c r="J35" s="658"/>
      <c r="K35" s="658"/>
      <c r="L35" s="658"/>
      <c r="M35" s="658"/>
      <c r="N35" s="658"/>
      <c r="O35" s="658"/>
      <c r="P35" s="658"/>
      <c r="Q35" s="658"/>
      <c r="R35" s="658"/>
      <c r="S35" s="658"/>
      <c r="T35" s="658"/>
      <c r="U35" s="658"/>
      <c r="V35" s="658"/>
      <c r="W35" s="658"/>
      <c r="X35" s="658"/>
      <c r="Y35" s="658"/>
      <c r="Z35" s="658"/>
      <c r="AA35" s="658"/>
    </row>
    <row r="36" spans="3:27">
      <c r="C36" s="658"/>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row>
    <row r="37" spans="3:27">
      <c r="C37" s="658"/>
      <c r="D37" s="658"/>
      <c r="E37" s="658"/>
      <c r="F37" s="658"/>
      <c r="G37" s="658"/>
      <c r="H37" s="658"/>
      <c r="I37" s="658"/>
      <c r="J37" s="658"/>
      <c r="K37" s="658"/>
      <c r="L37" s="658"/>
      <c r="M37" s="658"/>
      <c r="N37" s="658"/>
      <c r="O37" s="658"/>
      <c r="P37" s="658"/>
      <c r="Q37" s="658"/>
      <c r="R37" s="658"/>
      <c r="S37" s="658"/>
      <c r="T37" s="658"/>
      <c r="U37" s="658"/>
      <c r="V37" s="658"/>
      <c r="W37" s="658"/>
      <c r="X37" s="658"/>
      <c r="Y37" s="658"/>
      <c r="Z37" s="658"/>
      <c r="AA37" s="658"/>
    </row>
    <row r="38" spans="3:27">
      <c r="C38" s="65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row>
    <row r="39" spans="3:27">
      <c r="C39" s="658"/>
      <c r="D39" s="658"/>
      <c r="E39" s="658"/>
      <c r="F39" s="658"/>
      <c r="G39" s="658"/>
      <c r="H39" s="658"/>
      <c r="I39" s="658"/>
      <c r="J39" s="658"/>
      <c r="K39" s="658"/>
      <c r="L39" s="658"/>
      <c r="M39" s="658"/>
      <c r="N39" s="658"/>
      <c r="O39" s="658"/>
      <c r="P39" s="658"/>
      <c r="Q39" s="658"/>
      <c r="R39" s="658"/>
      <c r="S39" s="658"/>
      <c r="T39" s="658"/>
      <c r="U39" s="658"/>
      <c r="V39" s="658"/>
      <c r="W39" s="658"/>
      <c r="X39" s="658"/>
      <c r="Y39" s="658"/>
      <c r="Z39" s="658"/>
      <c r="AA39" s="658"/>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Footer>&amp;C_x000D_&amp;1#&amp;"Calibri"&amp;10&amp;K000000 C1 - FOR INTERNAL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N69"/>
  <sheetViews>
    <sheetView zoomScale="80" zoomScaleNormal="80" workbookViewId="0">
      <selection activeCell="L14" sqref="L14"/>
    </sheetView>
  </sheetViews>
  <sheetFormatPr defaultColWidth="8.77734375" defaultRowHeight="13.8"/>
  <cols>
    <col min="1" max="1" width="8.77734375" style="500"/>
    <col min="2" max="2" width="69.21875" style="501" customWidth="1"/>
    <col min="3" max="3" width="14.77734375" style="489" bestFit="1" customWidth="1"/>
    <col min="4" max="4" width="14.44140625" style="489" customWidth="1"/>
    <col min="5" max="5" width="14.77734375" style="489" bestFit="1" customWidth="1"/>
    <col min="6" max="6" width="14.33203125" style="489" customWidth="1"/>
    <col min="7" max="8" width="14.77734375" style="489" bestFit="1" customWidth="1"/>
    <col min="9" max="16384" width="8.77734375" style="489"/>
  </cols>
  <sheetData>
    <row r="1" spans="1:14">
      <c r="A1" s="133" t="s">
        <v>30</v>
      </c>
      <c r="B1" s="488" t="str">
        <f>'Info '!C2</f>
        <v xml:space="preserve">PASHA Bank Georgia JSC </v>
      </c>
      <c r="C1" s="488"/>
    </row>
    <row r="2" spans="1:14">
      <c r="A2" s="133" t="s">
        <v>31</v>
      </c>
      <c r="B2" s="490">
        <f>'1. key ratios '!B2</f>
        <v>45747</v>
      </c>
      <c r="C2" s="488"/>
    </row>
    <row r="3" spans="1:14">
      <c r="A3" s="133"/>
      <c r="B3" s="488"/>
      <c r="C3" s="488"/>
    </row>
    <row r="4" spans="1:14" ht="21" customHeight="1">
      <c r="A4" s="703" t="s">
        <v>6</v>
      </c>
      <c r="B4" s="704" t="s">
        <v>521</v>
      </c>
      <c r="C4" s="706" t="s">
        <v>522</v>
      </c>
      <c r="D4" s="706"/>
      <c r="E4" s="706"/>
      <c r="F4" s="706" t="s">
        <v>523</v>
      </c>
      <c r="G4" s="706"/>
      <c r="H4" s="707"/>
    </row>
    <row r="5" spans="1:14" ht="21" customHeight="1">
      <c r="A5" s="703"/>
      <c r="B5" s="705"/>
      <c r="C5" s="491" t="s">
        <v>32</v>
      </c>
      <c r="D5" s="491" t="s">
        <v>33</v>
      </c>
      <c r="E5" s="491" t="s">
        <v>34</v>
      </c>
      <c r="F5" s="491" t="s">
        <v>32</v>
      </c>
      <c r="G5" s="491" t="s">
        <v>33</v>
      </c>
      <c r="H5" s="491" t="s">
        <v>34</v>
      </c>
    </row>
    <row r="6" spans="1:14" ht="26.55" customHeight="1">
      <c r="A6" s="703"/>
      <c r="B6" s="492" t="s">
        <v>524</v>
      </c>
      <c r="C6" s="708"/>
      <c r="D6" s="709"/>
      <c r="E6" s="709"/>
      <c r="F6" s="709"/>
      <c r="G6" s="709"/>
      <c r="H6" s="710"/>
    </row>
    <row r="7" spans="1:14" ht="22.95" customHeight="1">
      <c r="A7" s="493">
        <v>1</v>
      </c>
      <c r="B7" s="680" t="s">
        <v>525</v>
      </c>
      <c r="C7" s="561">
        <f>SUM(C8:C10)</f>
        <v>26890963.09</v>
      </c>
      <c r="D7" s="561">
        <f>SUM(D8:D10)</f>
        <v>171397753.3071</v>
      </c>
      <c r="E7" s="562">
        <f>C7+D7</f>
        <v>198288716.3971</v>
      </c>
      <c r="F7" s="561">
        <f>SUM(F8:F10)</f>
        <v>36278201</v>
      </c>
      <c r="G7" s="561">
        <f>SUM(G8:G10)</f>
        <v>100759260</v>
      </c>
      <c r="H7" s="562">
        <f>F7+G7</f>
        <v>137037461</v>
      </c>
      <c r="I7" s="565"/>
      <c r="J7" s="565"/>
      <c r="K7" s="565"/>
      <c r="L7" s="565"/>
      <c r="M7" s="565"/>
      <c r="N7" s="565"/>
    </row>
    <row r="8" spans="1:14">
      <c r="A8" s="493">
        <v>1.1000000000000001</v>
      </c>
      <c r="B8" s="679" t="s">
        <v>526</v>
      </c>
      <c r="C8" s="561">
        <v>444219.65</v>
      </c>
      <c r="D8" s="561">
        <v>2994383.4077000003</v>
      </c>
      <c r="E8" s="562">
        <f t="shared" ref="E8:E36" si="0">C8+D8</f>
        <v>3438603.0577000002</v>
      </c>
      <c r="F8" s="561">
        <v>383150</v>
      </c>
      <c r="G8" s="561">
        <v>1788782</v>
      </c>
      <c r="H8" s="562">
        <f t="shared" ref="H8:H36" si="1">F8+G8</f>
        <v>2171932</v>
      </c>
      <c r="I8" s="565"/>
      <c r="J8" s="565"/>
      <c r="K8" s="565"/>
      <c r="L8" s="565"/>
      <c r="M8" s="565"/>
      <c r="N8" s="565"/>
    </row>
    <row r="9" spans="1:14">
      <c r="A9" s="493">
        <v>1.2</v>
      </c>
      <c r="B9" s="679" t="s">
        <v>527</v>
      </c>
      <c r="C9" s="561">
        <v>26381683.23</v>
      </c>
      <c r="D9" s="561">
        <v>63034700.241699994</v>
      </c>
      <c r="E9" s="562">
        <f t="shared" si="0"/>
        <v>89416383.471699998</v>
      </c>
      <c r="F9" s="561">
        <v>858508</v>
      </c>
      <c r="G9" s="561">
        <v>31848253</v>
      </c>
      <c r="H9" s="562">
        <f t="shared" si="1"/>
        <v>32706761</v>
      </c>
      <c r="I9" s="565"/>
      <c r="J9" s="565"/>
      <c r="K9" s="565"/>
      <c r="L9" s="565"/>
      <c r="M9" s="565"/>
      <c r="N9" s="565"/>
    </row>
    <row r="10" spans="1:14">
      <c r="A10" s="493">
        <v>1.3</v>
      </c>
      <c r="B10" s="679" t="s">
        <v>528</v>
      </c>
      <c r="C10" s="561">
        <v>65060.21</v>
      </c>
      <c r="D10" s="561">
        <v>105368669.6577</v>
      </c>
      <c r="E10" s="562">
        <f t="shared" si="0"/>
        <v>105433729.8677</v>
      </c>
      <c r="F10" s="561">
        <v>35036543</v>
      </c>
      <c r="G10" s="561">
        <v>67122225</v>
      </c>
      <c r="H10" s="562">
        <f t="shared" si="1"/>
        <v>102158768</v>
      </c>
      <c r="I10" s="565"/>
      <c r="J10" s="565"/>
      <c r="K10" s="565"/>
      <c r="L10" s="565"/>
      <c r="M10" s="565"/>
      <c r="N10" s="565"/>
    </row>
    <row r="11" spans="1:14">
      <c r="A11" s="493">
        <v>2</v>
      </c>
      <c r="B11" s="677" t="s">
        <v>529</v>
      </c>
      <c r="C11" s="561">
        <v>590873.73609999998</v>
      </c>
      <c r="D11" s="561">
        <v>0</v>
      </c>
      <c r="E11" s="562">
        <f t="shared" si="0"/>
        <v>590873.73609999998</v>
      </c>
      <c r="F11" s="561">
        <v>969680</v>
      </c>
      <c r="G11" s="561">
        <v>0</v>
      </c>
      <c r="H11" s="562">
        <f t="shared" si="1"/>
        <v>969680</v>
      </c>
      <c r="I11" s="565"/>
      <c r="J11" s="565"/>
      <c r="K11" s="565"/>
      <c r="L11" s="565"/>
      <c r="M11" s="565"/>
      <c r="N11" s="565"/>
    </row>
    <row r="12" spans="1:14">
      <c r="A12" s="493">
        <v>2.1</v>
      </c>
      <c r="B12" s="678" t="s">
        <v>530</v>
      </c>
      <c r="C12" s="561">
        <v>590873.73609999998</v>
      </c>
      <c r="D12" s="561">
        <v>0</v>
      </c>
      <c r="E12" s="562">
        <f t="shared" si="0"/>
        <v>590873.73609999998</v>
      </c>
      <c r="F12" s="561">
        <v>969680</v>
      </c>
      <c r="G12" s="561"/>
      <c r="H12" s="562">
        <f t="shared" si="1"/>
        <v>969680</v>
      </c>
      <c r="I12" s="565"/>
      <c r="J12" s="565"/>
      <c r="K12" s="565"/>
      <c r="L12" s="565"/>
      <c r="M12" s="565"/>
      <c r="N12" s="565"/>
    </row>
    <row r="13" spans="1:14" ht="26.55" customHeight="1">
      <c r="A13" s="493">
        <v>3</v>
      </c>
      <c r="B13" s="681" t="s">
        <v>531</v>
      </c>
      <c r="C13" s="561"/>
      <c r="D13" s="561"/>
      <c r="E13" s="562">
        <f t="shared" si="0"/>
        <v>0</v>
      </c>
      <c r="F13" s="561"/>
      <c r="G13" s="561"/>
      <c r="H13" s="562">
        <f t="shared" si="1"/>
        <v>0</v>
      </c>
      <c r="I13" s="565"/>
      <c r="J13" s="565"/>
      <c r="K13" s="565"/>
      <c r="L13" s="565"/>
      <c r="M13" s="565"/>
      <c r="N13" s="565"/>
    </row>
    <row r="14" spans="1:14" ht="26.55" customHeight="1">
      <c r="A14" s="493">
        <v>4</v>
      </c>
      <c r="B14" s="672" t="s">
        <v>532</v>
      </c>
      <c r="C14" s="561"/>
      <c r="D14" s="561"/>
      <c r="E14" s="562">
        <f t="shared" si="0"/>
        <v>0</v>
      </c>
      <c r="F14" s="561"/>
      <c r="G14" s="561"/>
      <c r="H14" s="562">
        <f t="shared" si="1"/>
        <v>0</v>
      </c>
      <c r="I14" s="565"/>
      <c r="J14" s="565"/>
      <c r="K14" s="565"/>
      <c r="L14" s="565"/>
      <c r="M14" s="565"/>
      <c r="N14" s="565"/>
    </row>
    <row r="15" spans="1:14" ht="24.45" customHeight="1">
      <c r="A15" s="493">
        <v>5</v>
      </c>
      <c r="B15" s="682" t="s">
        <v>533</v>
      </c>
      <c r="C15" s="563">
        <f>SUM(C16:C18)</f>
        <v>0</v>
      </c>
      <c r="D15" s="563">
        <f>SUM(D16:D18)</f>
        <v>0</v>
      </c>
      <c r="E15" s="564">
        <f t="shared" si="0"/>
        <v>0</v>
      </c>
      <c r="F15" s="563">
        <f>SUM(F16:F18)</f>
        <v>0</v>
      </c>
      <c r="G15" s="563">
        <f>SUM(G16:G18)</f>
        <v>0</v>
      </c>
      <c r="H15" s="564">
        <f t="shared" si="1"/>
        <v>0</v>
      </c>
      <c r="I15" s="565"/>
      <c r="J15" s="565"/>
      <c r="K15" s="565"/>
      <c r="L15" s="565"/>
      <c r="M15" s="565"/>
      <c r="N15" s="565"/>
    </row>
    <row r="16" spans="1:14">
      <c r="A16" s="493">
        <v>5.0999999999999996</v>
      </c>
      <c r="B16" s="683" t="s">
        <v>534</v>
      </c>
      <c r="C16" s="561"/>
      <c r="D16" s="561"/>
      <c r="E16" s="562">
        <f t="shared" si="0"/>
        <v>0</v>
      </c>
      <c r="F16" s="561"/>
      <c r="G16" s="561"/>
      <c r="H16" s="562">
        <f t="shared" si="1"/>
        <v>0</v>
      </c>
      <c r="I16" s="565"/>
      <c r="J16" s="565"/>
      <c r="K16" s="565"/>
      <c r="L16" s="565"/>
      <c r="M16" s="565"/>
      <c r="N16" s="565"/>
    </row>
    <row r="17" spans="1:14">
      <c r="A17" s="493">
        <v>5.2</v>
      </c>
      <c r="B17" s="683" t="s">
        <v>535</v>
      </c>
      <c r="C17" s="561"/>
      <c r="D17" s="561"/>
      <c r="E17" s="562">
        <f t="shared" si="0"/>
        <v>0</v>
      </c>
      <c r="F17" s="561"/>
      <c r="G17" s="561"/>
      <c r="H17" s="562">
        <f t="shared" si="1"/>
        <v>0</v>
      </c>
      <c r="I17" s="565"/>
      <c r="J17" s="565"/>
      <c r="K17" s="565"/>
      <c r="L17" s="565"/>
      <c r="M17" s="565"/>
      <c r="N17" s="565"/>
    </row>
    <row r="18" spans="1:14">
      <c r="A18" s="493">
        <v>5.3</v>
      </c>
      <c r="B18" s="675" t="s">
        <v>536</v>
      </c>
      <c r="C18" s="561"/>
      <c r="D18" s="561"/>
      <c r="E18" s="562">
        <f t="shared" si="0"/>
        <v>0</v>
      </c>
      <c r="F18" s="561"/>
      <c r="G18" s="561"/>
      <c r="H18" s="562">
        <f t="shared" si="1"/>
        <v>0</v>
      </c>
      <c r="I18" s="565"/>
      <c r="J18" s="565"/>
      <c r="K18" s="565"/>
      <c r="L18" s="565"/>
      <c r="M18" s="565"/>
      <c r="N18" s="565"/>
    </row>
    <row r="19" spans="1:14">
      <c r="A19" s="493">
        <v>6</v>
      </c>
      <c r="B19" s="681" t="s">
        <v>537</v>
      </c>
      <c r="C19" s="561">
        <f>SUM(C20:C21)</f>
        <v>243303838.4425</v>
      </c>
      <c r="D19" s="561">
        <f>SUM(D20:D21)</f>
        <v>224817550.0925</v>
      </c>
      <c r="E19" s="562">
        <f t="shared" si="0"/>
        <v>468121388.53499997</v>
      </c>
      <c r="F19" s="561">
        <f>SUM(F20:F21)</f>
        <v>186938990</v>
      </c>
      <c r="G19" s="561">
        <f>SUM(G20:G21)</f>
        <v>172216429</v>
      </c>
      <c r="H19" s="562">
        <f t="shared" si="1"/>
        <v>359155419</v>
      </c>
      <c r="I19" s="565"/>
      <c r="J19" s="565"/>
      <c r="K19" s="565"/>
      <c r="L19" s="565"/>
      <c r="M19" s="565"/>
      <c r="N19" s="565"/>
    </row>
    <row r="20" spans="1:14">
      <c r="A20" s="493">
        <v>6.1</v>
      </c>
      <c r="B20" s="683" t="s">
        <v>535</v>
      </c>
      <c r="C20" s="561">
        <v>75345818.162300006</v>
      </c>
      <c r="D20" s="561">
        <v>5721700.0875000004</v>
      </c>
      <c r="E20" s="562">
        <f t="shared" si="0"/>
        <v>81067518.249800012</v>
      </c>
      <c r="F20" s="561">
        <v>56257493</v>
      </c>
      <c r="G20" s="561">
        <v>5533905</v>
      </c>
      <c r="H20" s="562">
        <f t="shared" si="1"/>
        <v>61791398</v>
      </c>
      <c r="I20" s="565"/>
      <c r="J20" s="565"/>
      <c r="K20" s="565"/>
      <c r="L20" s="565"/>
      <c r="M20" s="565"/>
      <c r="N20" s="565"/>
    </row>
    <row r="21" spans="1:14">
      <c r="A21" s="493">
        <v>6.2</v>
      </c>
      <c r="B21" s="675" t="s">
        <v>536</v>
      </c>
      <c r="C21" s="561">
        <v>167958020.2802</v>
      </c>
      <c r="D21" s="561">
        <v>219095850.005</v>
      </c>
      <c r="E21" s="562">
        <f t="shared" si="0"/>
        <v>387053870.2852</v>
      </c>
      <c r="F21" s="561">
        <v>130681497</v>
      </c>
      <c r="G21" s="561">
        <v>166682524</v>
      </c>
      <c r="H21" s="562">
        <f t="shared" si="1"/>
        <v>297364021</v>
      </c>
      <c r="I21" s="565"/>
      <c r="J21" s="565"/>
      <c r="K21" s="565"/>
      <c r="L21" s="565"/>
      <c r="M21" s="565"/>
      <c r="N21" s="565"/>
    </row>
    <row r="22" spans="1:14">
      <c r="A22" s="493">
        <v>7</v>
      </c>
      <c r="B22" s="677" t="s">
        <v>538</v>
      </c>
      <c r="C22" s="561"/>
      <c r="D22" s="561"/>
      <c r="E22" s="562">
        <f t="shared" si="0"/>
        <v>0</v>
      </c>
      <c r="F22" s="561"/>
      <c r="G22" s="561"/>
      <c r="H22" s="562">
        <f t="shared" si="1"/>
        <v>0</v>
      </c>
      <c r="I22" s="565"/>
      <c r="J22" s="565"/>
      <c r="K22" s="565"/>
      <c r="L22" s="565"/>
      <c r="M22" s="565"/>
      <c r="N22" s="565"/>
    </row>
    <row r="23" spans="1:14">
      <c r="A23" s="493">
        <v>8</v>
      </c>
      <c r="B23" s="677" t="s">
        <v>539</v>
      </c>
      <c r="C23" s="561"/>
      <c r="D23" s="561"/>
      <c r="E23" s="562">
        <f t="shared" si="0"/>
        <v>0</v>
      </c>
      <c r="F23" s="561"/>
      <c r="G23" s="561"/>
      <c r="H23" s="562">
        <f t="shared" si="1"/>
        <v>0</v>
      </c>
      <c r="I23" s="565"/>
      <c r="J23" s="565"/>
      <c r="K23" s="565"/>
      <c r="L23" s="565"/>
      <c r="M23" s="565"/>
      <c r="N23" s="565"/>
    </row>
    <row r="24" spans="1:14">
      <c r="A24" s="493">
        <v>9</v>
      </c>
      <c r="B24" s="672" t="s">
        <v>540</v>
      </c>
      <c r="C24" s="561">
        <f>SUM(C25:C26)</f>
        <v>6718453.9199999999</v>
      </c>
      <c r="D24" s="561">
        <f>SUM(D25:D26)</f>
        <v>0</v>
      </c>
      <c r="E24" s="562">
        <f t="shared" si="0"/>
        <v>6718453.9199999999</v>
      </c>
      <c r="F24" s="561">
        <f>SUM(F25:F26)</f>
        <v>3556502</v>
      </c>
      <c r="G24" s="561">
        <f>SUM(G25:G26)</f>
        <v>0</v>
      </c>
      <c r="H24" s="562">
        <f t="shared" si="1"/>
        <v>3556502</v>
      </c>
      <c r="I24" s="565"/>
      <c r="J24" s="565"/>
      <c r="K24" s="565"/>
      <c r="L24" s="565"/>
      <c r="M24" s="565"/>
      <c r="N24" s="565"/>
    </row>
    <row r="25" spans="1:14">
      <c r="A25" s="493">
        <v>9.1</v>
      </c>
      <c r="B25" s="683" t="s">
        <v>541</v>
      </c>
      <c r="C25" s="561">
        <v>6718453.9199999999</v>
      </c>
      <c r="D25" s="561"/>
      <c r="E25" s="562">
        <f t="shared" si="0"/>
        <v>6718453.9199999999</v>
      </c>
      <c r="F25" s="561">
        <v>3556502</v>
      </c>
      <c r="G25" s="561"/>
      <c r="H25" s="562">
        <f t="shared" si="1"/>
        <v>3556502</v>
      </c>
      <c r="I25" s="565"/>
      <c r="J25" s="565"/>
      <c r="K25" s="565"/>
      <c r="L25" s="565"/>
      <c r="M25" s="565"/>
      <c r="N25" s="565"/>
    </row>
    <row r="26" spans="1:14">
      <c r="A26" s="493">
        <v>9.1999999999999993</v>
      </c>
      <c r="B26" s="683" t="s">
        <v>542</v>
      </c>
      <c r="C26" s="561"/>
      <c r="D26" s="561"/>
      <c r="E26" s="562">
        <f t="shared" si="0"/>
        <v>0</v>
      </c>
      <c r="F26" s="561"/>
      <c r="G26" s="561"/>
      <c r="H26" s="562">
        <f t="shared" si="1"/>
        <v>0</v>
      </c>
      <c r="I26" s="565"/>
      <c r="J26" s="565"/>
      <c r="K26" s="565"/>
      <c r="L26" s="565"/>
      <c r="M26" s="565"/>
      <c r="N26" s="565"/>
    </row>
    <row r="27" spans="1:14">
      <c r="A27" s="493">
        <v>10</v>
      </c>
      <c r="B27" s="672" t="s">
        <v>543</v>
      </c>
      <c r="C27" s="561">
        <f>SUM(C28:C29)</f>
        <v>3583917.36</v>
      </c>
      <c r="D27" s="561">
        <f>SUM(D28:D29)</f>
        <v>0</v>
      </c>
      <c r="E27" s="562">
        <f t="shared" si="0"/>
        <v>3583917.36</v>
      </c>
      <c r="F27" s="561">
        <f>SUM(F28:F29)</f>
        <v>5338487</v>
      </c>
      <c r="G27" s="561">
        <f>SUM(G28:G29)</f>
        <v>0</v>
      </c>
      <c r="H27" s="562">
        <f t="shared" si="1"/>
        <v>5338487</v>
      </c>
      <c r="I27" s="565"/>
      <c r="J27" s="565"/>
      <c r="K27" s="565"/>
      <c r="L27" s="565"/>
      <c r="M27" s="565"/>
      <c r="N27" s="565"/>
    </row>
    <row r="28" spans="1:14">
      <c r="A28" s="493">
        <v>10.1</v>
      </c>
      <c r="B28" s="683" t="s">
        <v>544</v>
      </c>
      <c r="C28" s="561"/>
      <c r="D28" s="561"/>
      <c r="E28" s="562">
        <f t="shared" si="0"/>
        <v>0</v>
      </c>
      <c r="F28" s="561"/>
      <c r="G28" s="561"/>
      <c r="H28" s="562">
        <f t="shared" si="1"/>
        <v>0</v>
      </c>
      <c r="I28" s="565"/>
      <c r="J28" s="565"/>
      <c r="K28" s="565"/>
      <c r="L28" s="565"/>
      <c r="M28" s="565"/>
      <c r="N28" s="565"/>
    </row>
    <row r="29" spans="1:14">
      <c r="A29" s="493">
        <v>10.199999999999999</v>
      </c>
      <c r="B29" s="683" t="s">
        <v>545</v>
      </c>
      <c r="C29" s="561">
        <v>3583917.36</v>
      </c>
      <c r="D29" s="561"/>
      <c r="E29" s="562">
        <f t="shared" si="0"/>
        <v>3583917.36</v>
      </c>
      <c r="F29" s="561">
        <v>5338487</v>
      </c>
      <c r="G29" s="561"/>
      <c r="H29" s="562">
        <f t="shared" si="1"/>
        <v>5338487</v>
      </c>
      <c r="I29" s="565"/>
      <c r="J29" s="565"/>
      <c r="K29" s="565"/>
      <c r="L29" s="565"/>
      <c r="M29" s="565"/>
      <c r="N29" s="565"/>
    </row>
    <row r="30" spans="1:14">
      <c r="A30" s="493">
        <v>11</v>
      </c>
      <c r="B30" s="672" t="s">
        <v>546</v>
      </c>
      <c r="C30" s="561">
        <f>SUM(C31:C32)</f>
        <v>3795103.27</v>
      </c>
      <c r="D30" s="561">
        <f>SUM(D31:D32)</f>
        <v>0</v>
      </c>
      <c r="E30" s="562">
        <f t="shared" si="0"/>
        <v>3795103.27</v>
      </c>
      <c r="F30" s="561">
        <f>SUM(F31:F32)</f>
        <v>0</v>
      </c>
      <c r="G30" s="561">
        <f>SUM(G31:G32)</f>
        <v>0</v>
      </c>
      <c r="H30" s="562">
        <f t="shared" si="1"/>
        <v>0</v>
      </c>
      <c r="I30" s="565"/>
      <c r="J30" s="565"/>
      <c r="K30" s="565"/>
      <c r="L30" s="565"/>
      <c r="M30" s="565"/>
      <c r="N30" s="565"/>
    </row>
    <row r="31" spans="1:14">
      <c r="A31" s="493">
        <v>11.1</v>
      </c>
      <c r="B31" s="683" t="s">
        <v>547</v>
      </c>
      <c r="C31" s="561"/>
      <c r="D31" s="561"/>
      <c r="E31" s="562">
        <f t="shared" si="0"/>
        <v>0</v>
      </c>
      <c r="F31" s="561"/>
      <c r="G31" s="561"/>
      <c r="H31" s="562">
        <f t="shared" si="1"/>
        <v>0</v>
      </c>
      <c r="I31" s="565"/>
      <c r="J31" s="565"/>
      <c r="K31" s="565"/>
      <c r="L31" s="565"/>
      <c r="M31" s="565"/>
      <c r="N31" s="565"/>
    </row>
    <row r="32" spans="1:14">
      <c r="A32" s="493">
        <v>11.2</v>
      </c>
      <c r="B32" s="683" t="s">
        <v>548</v>
      </c>
      <c r="C32" s="561">
        <v>3795103.27</v>
      </c>
      <c r="D32" s="561"/>
      <c r="E32" s="562">
        <f t="shared" si="0"/>
        <v>3795103.27</v>
      </c>
      <c r="F32" s="561"/>
      <c r="G32" s="561"/>
      <c r="H32" s="562">
        <f t="shared" si="1"/>
        <v>0</v>
      </c>
      <c r="I32" s="565"/>
      <c r="J32" s="565"/>
      <c r="K32" s="565"/>
      <c r="L32" s="565"/>
      <c r="M32" s="565"/>
      <c r="N32" s="565"/>
    </row>
    <row r="33" spans="1:14">
      <c r="A33" s="493">
        <v>13</v>
      </c>
      <c r="B33" s="672" t="s">
        <v>549</v>
      </c>
      <c r="C33" s="561">
        <v>18956868.537499998</v>
      </c>
      <c r="D33" s="561">
        <v>172823.4</v>
      </c>
      <c r="E33" s="562">
        <f t="shared" si="0"/>
        <v>19129691.937499996</v>
      </c>
      <c r="F33" s="561">
        <v>19623847</v>
      </c>
      <c r="G33" s="561">
        <v>40424</v>
      </c>
      <c r="H33" s="562">
        <f t="shared" si="1"/>
        <v>19664271</v>
      </c>
      <c r="I33" s="565"/>
      <c r="J33" s="565"/>
      <c r="K33" s="565"/>
      <c r="L33" s="565"/>
      <c r="M33" s="565"/>
      <c r="N33" s="565"/>
    </row>
    <row r="34" spans="1:14">
      <c r="A34" s="493">
        <v>13.1</v>
      </c>
      <c r="B34" s="684" t="s">
        <v>550</v>
      </c>
      <c r="C34" s="561">
        <v>16895117.84</v>
      </c>
      <c r="D34" s="561"/>
      <c r="E34" s="562">
        <f t="shared" si="0"/>
        <v>16895117.84</v>
      </c>
      <c r="F34" s="561">
        <v>15709918</v>
      </c>
      <c r="G34" s="561"/>
      <c r="H34" s="562">
        <f t="shared" si="1"/>
        <v>15709918</v>
      </c>
      <c r="I34" s="565"/>
      <c r="J34" s="565"/>
      <c r="K34" s="565"/>
      <c r="L34" s="565"/>
      <c r="M34" s="565"/>
      <c r="N34" s="565"/>
    </row>
    <row r="35" spans="1:14">
      <c r="A35" s="493">
        <v>13.2</v>
      </c>
      <c r="B35" s="684" t="s">
        <v>551</v>
      </c>
      <c r="C35" s="561"/>
      <c r="D35" s="561"/>
      <c r="E35" s="562">
        <f t="shared" si="0"/>
        <v>0</v>
      </c>
      <c r="F35" s="561"/>
      <c r="G35" s="561"/>
      <c r="H35" s="562">
        <f t="shared" si="1"/>
        <v>0</v>
      </c>
      <c r="I35" s="565"/>
      <c r="J35" s="565"/>
      <c r="K35" s="565"/>
      <c r="L35" s="565"/>
      <c r="M35" s="565"/>
      <c r="N35" s="565"/>
    </row>
    <row r="36" spans="1:14">
      <c r="A36" s="493">
        <v>14</v>
      </c>
      <c r="B36" s="672" t="s">
        <v>552</v>
      </c>
      <c r="C36" s="561">
        <f>SUM(C7,C11,C13,C14,C15,C19,C22,C23,C24,C27,C30,C33)</f>
        <v>303840018.35610002</v>
      </c>
      <c r="D36" s="561">
        <f>SUM(D7,D11,D13,D14,D15,D19,D22,D23,D24,D27,D30,D33)</f>
        <v>396388126.79960001</v>
      </c>
      <c r="E36" s="562">
        <f t="shared" si="0"/>
        <v>700228145.15569997</v>
      </c>
      <c r="F36" s="561">
        <f>SUM(F7,F11,F13,F14,F15,F19,F22,F23,F24,F27,F30,F33)</f>
        <v>252705707</v>
      </c>
      <c r="G36" s="561">
        <f>SUM(G7,G11,G13,G14,G15,G19,G22,G23,G24,G27,G30,G33)</f>
        <v>273016113</v>
      </c>
      <c r="H36" s="562">
        <f t="shared" si="1"/>
        <v>525721820</v>
      </c>
      <c r="I36" s="565"/>
      <c r="J36" s="565"/>
      <c r="K36" s="565"/>
      <c r="L36" s="565"/>
      <c r="M36" s="565"/>
      <c r="N36" s="565"/>
    </row>
    <row r="37" spans="1:14" ht="22.5" customHeight="1">
      <c r="A37" s="493"/>
      <c r="B37" s="494" t="s">
        <v>553</v>
      </c>
      <c r="C37" s="711"/>
      <c r="D37" s="712"/>
      <c r="E37" s="712"/>
      <c r="F37" s="712"/>
      <c r="G37" s="712"/>
      <c r="H37" s="713"/>
      <c r="I37" s="565"/>
      <c r="J37" s="565"/>
      <c r="K37" s="565"/>
      <c r="L37" s="565"/>
      <c r="M37" s="565"/>
      <c r="N37" s="565"/>
    </row>
    <row r="38" spans="1:14">
      <c r="A38" s="493">
        <v>15</v>
      </c>
      <c r="B38" s="677" t="s">
        <v>554</v>
      </c>
      <c r="C38" s="558">
        <f>C39</f>
        <v>549092.5</v>
      </c>
      <c r="D38" s="558"/>
      <c r="E38" s="559">
        <f>C38+D38</f>
        <v>549092.5</v>
      </c>
      <c r="F38" s="558">
        <v>454492.42</v>
      </c>
      <c r="G38" s="558"/>
      <c r="H38" s="559">
        <f>F38+G38</f>
        <v>454492.42</v>
      </c>
      <c r="I38" s="565"/>
      <c r="J38" s="565"/>
      <c r="K38" s="565"/>
      <c r="L38" s="565"/>
      <c r="M38" s="565"/>
      <c r="N38" s="565"/>
    </row>
    <row r="39" spans="1:14">
      <c r="A39" s="495">
        <v>15.1</v>
      </c>
      <c r="B39" s="678" t="s">
        <v>530</v>
      </c>
      <c r="C39" s="558">
        <v>549092.5</v>
      </c>
      <c r="D39" s="558">
        <v>0</v>
      </c>
      <c r="E39" s="559">
        <f t="shared" ref="E39:E53" si="2">C39+D39</f>
        <v>549092.5</v>
      </c>
      <c r="F39" s="558">
        <v>454492.42</v>
      </c>
      <c r="G39" s="558"/>
      <c r="H39" s="559">
        <f t="shared" ref="H39:H53" si="3">F39+G39</f>
        <v>454492.42</v>
      </c>
      <c r="I39" s="565"/>
      <c r="J39" s="565"/>
      <c r="K39" s="565"/>
      <c r="L39" s="565"/>
      <c r="M39" s="565"/>
      <c r="N39" s="565"/>
    </row>
    <row r="40" spans="1:14" ht="24" customHeight="1">
      <c r="A40" s="495">
        <v>16</v>
      </c>
      <c r="B40" s="677" t="s">
        <v>555</v>
      </c>
      <c r="C40" s="558"/>
      <c r="D40" s="558"/>
      <c r="E40" s="559">
        <f t="shared" si="2"/>
        <v>0</v>
      </c>
      <c r="F40" s="558"/>
      <c r="G40" s="558"/>
      <c r="H40" s="559">
        <f t="shared" si="3"/>
        <v>0</v>
      </c>
      <c r="I40" s="565"/>
      <c r="J40" s="565"/>
      <c r="K40" s="565"/>
      <c r="L40" s="565"/>
      <c r="M40" s="565"/>
      <c r="N40" s="565"/>
    </row>
    <row r="41" spans="1:14">
      <c r="A41" s="495">
        <v>17</v>
      </c>
      <c r="B41" s="677" t="s">
        <v>556</v>
      </c>
      <c r="C41" s="558">
        <f>SUM(C42:C45)</f>
        <v>161784907.31</v>
      </c>
      <c r="D41" s="558">
        <f>SUM(D42:D45)</f>
        <v>373622851.63730001</v>
      </c>
      <c r="E41" s="559">
        <f t="shared" si="2"/>
        <v>535407758.94730002</v>
      </c>
      <c r="F41" s="558">
        <f>SUM(F42:F45)</f>
        <v>121258272.49000001</v>
      </c>
      <c r="G41" s="558">
        <f>SUM(G42:G45)</f>
        <v>244104448.85150003</v>
      </c>
      <c r="H41" s="559">
        <f t="shared" si="3"/>
        <v>365362721.34150004</v>
      </c>
      <c r="I41" s="565"/>
      <c r="J41" s="565"/>
      <c r="K41" s="565"/>
      <c r="L41" s="565"/>
      <c r="M41" s="565"/>
      <c r="N41" s="565"/>
    </row>
    <row r="42" spans="1:14">
      <c r="A42" s="495">
        <v>17.100000000000001</v>
      </c>
      <c r="B42" s="673" t="s">
        <v>557</v>
      </c>
      <c r="C42" s="558">
        <v>131659301.83</v>
      </c>
      <c r="D42" s="558">
        <v>360713499.73250002</v>
      </c>
      <c r="E42" s="559">
        <f t="shared" si="2"/>
        <v>492372801.5625</v>
      </c>
      <c r="F42" s="558">
        <v>121258272.49000001</v>
      </c>
      <c r="G42" s="558">
        <v>222352130.60140002</v>
      </c>
      <c r="H42" s="559">
        <f t="shared" si="3"/>
        <v>343610403.09140003</v>
      </c>
      <c r="I42" s="565"/>
      <c r="J42" s="565"/>
      <c r="K42" s="565"/>
      <c r="L42" s="565"/>
      <c r="M42" s="565"/>
      <c r="N42" s="565"/>
    </row>
    <row r="43" spans="1:14">
      <c r="A43" s="495">
        <v>17.2</v>
      </c>
      <c r="B43" s="679" t="s">
        <v>558</v>
      </c>
      <c r="C43" s="558">
        <v>30125605.48</v>
      </c>
      <c r="D43" s="558">
        <v>7775240.5257000001</v>
      </c>
      <c r="E43" s="559">
        <f t="shared" si="2"/>
        <v>37900846.0057</v>
      </c>
      <c r="F43" s="558">
        <v>0</v>
      </c>
      <c r="G43" s="558">
        <v>21752318.250100002</v>
      </c>
      <c r="H43" s="559">
        <f t="shared" si="3"/>
        <v>21752318.250100002</v>
      </c>
      <c r="I43" s="565"/>
      <c r="J43" s="565"/>
      <c r="K43" s="565"/>
      <c r="L43" s="565"/>
      <c r="M43" s="565"/>
      <c r="N43" s="565"/>
    </row>
    <row r="44" spans="1:14">
      <c r="A44" s="495">
        <v>17.3</v>
      </c>
      <c r="B44" s="673" t="s">
        <v>559</v>
      </c>
      <c r="C44" s="558"/>
      <c r="D44" s="558"/>
      <c r="E44" s="559">
        <f t="shared" si="2"/>
        <v>0</v>
      </c>
      <c r="F44" s="558"/>
      <c r="G44" s="558"/>
      <c r="H44" s="559">
        <f t="shared" si="3"/>
        <v>0</v>
      </c>
      <c r="I44" s="565"/>
      <c r="J44" s="565"/>
      <c r="K44" s="565"/>
      <c r="L44" s="565"/>
      <c r="M44" s="565"/>
      <c r="N44" s="565"/>
    </row>
    <row r="45" spans="1:14">
      <c r="A45" s="495">
        <v>17.399999999999999</v>
      </c>
      <c r="B45" s="673" t="s">
        <v>560</v>
      </c>
      <c r="C45" s="558">
        <v>0</v>
      </c>
      <c r="D45" s="558">
        <v>5134111.3790999996</v>
      </c>
      <c r="E45" s="559">
        <f t="shared" si="2"/>
        <v>5134111.3790999996</v>
      </c>
      <c r="F45" s="558">
        <v>0</v>
      </c>
      <c r="G45" s="558">
        <v>0</v>
      </c>
      <c r="H45" s="559">
        <f t="shared" si="3"/>
        <v>0</v>
      </c>
      <c r="I45" s="565"/>
      <c r="J45" s="565"/>
      <c r="K45" s="565"/>
      <c r="L45" s="565"/>
      <c r="M45" s="565"/>
      <c r="N45" s="565"/>
    </row>
    <row r="46" spans="1:14">
      <c r="A46" s="495">
        <v>18</v>
      </c>
      <c r="B46" s="672" t="s">
        <v>561</v>
      </c>
      <c r="C46" s="558">
        <v>309877.49680000002</v>
      </c>
      <c r="D46" s="558">
        <v>229794.0687</v>
      </c>
      <c r="E46" s="559">
        <f t="shared" si="2"/>
        <v>539671.56550000003</v>
      </c>
      <c r="F46" s="558">
        <v>335421.36869999999</v>
      </c>
      <c r="G46" s="558">
        <v>107786.7343</v>
      </c>
      <c r="H46" s="559">
        <f t="shared" si="3"/>
        <v>443208.103</v>
      </c>
      <c r="I46" s="565"/>
      <c r="J46" s="565"/>
      <c r="K46" s="565"/>
      <c r="L46" s="565"/>
      <c r="M46" s="565"/>
      <c r="N46" s="565"/>
    </row>
    <row r="47" spans="1:14">
      <c r="A47" s="495">
        <v>19</v>
      </c>
      <c r="B47" s="672" t="s">
        <v>562</v>
      </c>
      <c r="C47" s="558">
        <f>SUM(C48:C49)</f>
        <v>0</v>
      </c>
      <c r="D47" s="558">
        <f>SUM(D48:D49)</f>
        <v>0</v>
      </c>
      <c r="E47" s="559">
        <f t="shared" si="2"/>
        <v>0</v>
      </c>
      <c r="F47" s="558">
        <f>SUM(F48:F49)</f>
        <v>0</v>
      </c>
      <c r="G47" s="558">
        <f>SUM(G48:G49)</f>
        <v>0</v>
      </c>
      <c r="H47" s="559">
        <f t="shared" si="3"/>
        <v>0</v>
      </c>
      <c r="I47" s="565"/>
      <c r="J47" s="565"/>
      <c r="K47" s="565"/>
      <c r="L47" s="565"/>
      <c r="M47" s="565"/>
      <c r="N47" s="565"/>
    </row>
    <row r="48" spans="1:14">
      <c r="A48" s="495">
        <v>19.100000000000001</v>
      </c>
      <c r="B48" s="676" t="s">
        <v>563</v>
      </c>
      <c r="C48" s="558"/>
      <c r="D48" s="558"/>
      <c r="E48" s="559">
        <f t="shared" si="2"/>
        <v>0</v>
      </c>
      <c r="F48" s="558"/>
      <c r="G48" s="558"/>
      <c r="H48" s="559">
        <f t="shared" si="3"/>
        <v>0</v>
      </c>
      <c r="I48" s="565"/>
      <c r="J48" s="565"/>
      <c r="K48" s="565"/>
      <c r="L48" s="565"/>
      <c r="M48" s="565"/>
      <c r="N48" s="565"/>
    </row>
    <row r="49" spans="1:14">
      <c r="A49" s="495">
        <v>19.2</v>
      </c>
      <c r="B49" s="676" t="s">
        <v>564</v>
      </c>
      <c r="C49" s="558"/>
      <c r="D49" s="558"/>
      <c r="E49" s="559">
        <f t="shared" si="2"/>
        <v>0</v>
      </c>
      <c r="F49" s="558"/>
      <c r="G49" s="558"/>
      <c r="H49" s="559">
        <f t="shared" si="3"/>
        <v>0</v>
      </c>
      <c r="I49" s="565"/>
      <c r="J49" s="565"/>
      <c r="K49" s="565"/>
      <c r="L49" s="565"/>
      <c r="M49" s="565"/>
      <c r="N49" s="565"/>
    </row>
    <row r="50" spans="1:14">
      <c r="A50" s="495">
        <v>20</v>
      </c>
      <c r="B50" s="508" t="s">
        <v>565</v>
      </c>
      <c r="C50" s="558">
        <v>0</v>
      </c>
      <c r="D50" s="558">
        <v>33651416.677900001</v>
      </c>
      <c r="E50" s="559">
        <f t="shared" si="2"/>
        <v>33651416.677900001</v>
      </c>
      <c r="F50" s="558">
        <v>0</v>
      </c>
      <c r="G50" s="558">
        <v>32173285.774300002</v>
      </c>
      <c r="H50" s="559">
        <f t="shared" si="3"/>
        <v>32173285.774300002</v>
      </c>
      <c r="I50" s="565"/>
      <c r="J50" s="565"/>
      <c r="K50" s="565"/>
      <c r="L50" s="565"/>
      <c r="M50" s="565"/>
      <c r="N50" s="565"/>
    </row>
    <row r="51" spans="1:14">
      <c r="A51" s="495">
        <v>21</v>
      </c>
      <c r="B51" s="677" t="s">
        <v>566</v>
      </c>
      <c r="C51" s="558">
        <v>6553199.6900000004</v>
      </c>
      <c r="D51" s="558">
        <v>416995.78919999994</v>
      </c>
      <c r="E51" s="559">
        <f t="shared" si="2"/>
        <v>6970195.4791999999</v>
      </c>
      <c r="F51" s="558">
        <v>10775170.279999999</v>
      </c>
      <c r="G51" s="558">
        <v>2824006.5890000002</v>
      </c>
      <c r="H51" s="559">
        <f t="shared" si="3"/>
        <v>13599176.868999999</v>
      </c>
      <c r="I51" s="565"/>
      <c r="J51" s="565"/>
      <c r="K51" s="565"/>
      <c r="L51" s="565"/>
      <c r="M51" s="565"/>
      <c r="N51" s="565"/>
    </row>
    <row r="52" spans="1:14">
      <c r="A52" s="495">
        <v>21.1</v>
      </c>
      <c r="B52" s="679" t="s">
        <v>567</v>
      </c>
      <c r="C52" s="558"/>
      <c r="D52" s="558"/>
      <c r="E52" s="559">
        <f t="shared" si="2"/>
        <v>0</v>
      </c>
      <c r="F52" s="558"/>
      <c r="G52" s="558"/>
      <c r="H52" s="559">
        <f t="shared" si="3"/>
        <v>0</v>
      </c>
      <c r="I52" s="565"/>
      <c r="J52" s="565"/>
      <c r="K52" s="565"/>
      <c r="L52" s="565"/>
      <c r="M52" s="565"/>
      <c r="N52" s="565"/>
    </row>
    <row r="53" spans="1:14">
      <c r="A53" s="495">
        <v>22</v>
      </c>
      <c r="B53" s="496" t="s">
        <v>568</v>
      </c>
      <c r="C53" s="558">
        <f>SUM(C38,C40,C41,C46,C47,C50,C51)</f>
        <v>169197076.99680001</v>
      </c>
      <c r="D53" s="558">
        <f>SUM(D38,D40,D41,D46,D47,D50,D51)</f>
        <v>407921058.17310005</v>
      </c>
      <c r="E53" s="559">
        <f t="shared" si="2"/>
        <v>577118135.16990006</v>
      </c>
      <c r="F53" s="558">
        <f>SUM(F38,F40,F41,F46,F47,F50,F51)</f>
        <v>132823356.55870001</v>
      </c>
      <c r="G53" s="558">
        <f>SUM(G38,G40,G41,G46,G47,G50,G51)</f>
        <v>279209527.94910002</v>
      </c>
      <c r="H53" s="559">
        <f t="shared" si="3"/>
        <v>412032884.50780004</v>
      </c>
      <c r="I53" s="565"/>
      <c r="J53" s="565"/>
      <c r="K53" s="565"/>
      <c r="L53" s="565"/>
      <c r="M53" s="565"/>
      <c r="N53" s="565"/>
    </row>
    <row r="54" spans="1:14" ht="24" customHeight="1">
      <c r="A54" s="495"/>
      <c r="B54" s="497" t="s">
        <v>569</v>
      </c>
      <c r="C54" s="700"/>
      <c r="D54" s="701"/>
      <c r="E54" s="701"/>
      <c r="F54" s="701"/>
      <c r="G54" s="701"/>
      <c r="H54" s="702"/>
      <c r="I54" s="565"/>
      <c r="J54" s="565"/>
      <c r="K54" s="565"/>
      <c r="L54" s="565"/>
      <c r="M54" s="565"/>
      <c r="N54" s="565"/>
    </row>
    <row r="55" spans="1:14">
      <c r="A55" s="495">
        <v>23</v>
      </c>
      <c r="B55" s="508" t="s">
        <v>710</v>
      </c>
      <c r="C55" s="558">
        <v>136800000</v>
      </c>
      <c r="D55" s="558"/>
      <c r="E55" s="559">
        <f>C55+D55</f>
        <v>136800000</v>
      </c>
      <c r="F55" s="558">
        <v>136800000</v>
      </c>
      <c r="G55" s="558"/>
      <c r="H55" s="559">
        <f>F55+G55</f>
        <v>136800000</v>
      </c>
      <c r="I55" s="565"/>
      <c r="J55" s="565"/>
      <c r="K55" s="565"/>
      <c r="L55" s="565"/>
      <c r="M55" s="565"/>
      <c r="N55" s="565"/>
    </row>
    <row r="56" spans="1:14">
      <c r="A56" s="495">
        <v>24</v>
      </c>
      <c r="B56" s="508" t="s">
        <v>571</v>
      </c>
      <c r="C56" s="558"/>
      <c r="D56" s="558"/>
      <c r="E56" s="559">
        <f t="shared" ref="E56:E69" si="4">C56+D56</f>
        <v>0</v>
      </c>
      <c r="F56" s="558"/>
      <c r="G56" s="558"/>
      <c r="H56" s="559">
        <f t="shared" ref="H56:H69" si="5">F56+G56</f>
        <v>0</v>
      </c>
      <c r="I56" s="565"/>
      <c r="J56" s="565"/>
      <c r="K56" s="565"/>
      <c r="L56" s="565"/>
      <c r="M56" s="565"/>
      <c r="N56" s="565"/>
    </row>
    <row r="57" spans="1:14">
      <c r="A57" s="495">
        <v>25</v>
      </c>
      <c r="B57" s="672" t="s">
        <v>572</v>
      </c>
      <c r="C57" s="558"/>
      <c r="D57" s="558"/>
      <c r="E57" s="559">
        <f t="shared" si="4"/>
        <v>0</v>
      </c>
      <c r="F57" s="558"/>
      <c r="G57" s="558"/>
      <c r="H57" s="559">
        <f t="shared" si="5"/>
        <v>0</v>
      </c>
      <c r="I57" s="565"/>
      <c r="J57" s="565"/>
      <c r="K57" s="565"/>
      <c r="L57" s="565"/>
      <c r="M57" s="565"/>
      <c r="N57" s="565"/>
    </row>
    <row r="58" spans="1:14">
      <c r="A58" s="495">
        <v>26</v>
      </c>
      <c r="B58" s="672" t="s">
        <v>573</v>
      </c>
      <c r="C58" s="558"/>
      <c r="D58" s="558"/>
      <c r="E58" s="559">
        <f t="shared" si="4"/>
        <v>0</v>
      </c>
      <c r="F58" s="558"/>
      <c r="G58" s="558"/>
      <c r="H58" s="559">
        <f t="shared" si="5"/>
        <v>0</v>
      </c>
      <c r="I58" s="565"/>
      <c r="J58" s="565"/>
      <c r="K58" s="565"/>
      <c r="L58" s="565"/>
      <c r="M58" s="565"/>
      <c r="N58" s="565"/>
    </row>
    <row r="59" spans="1:14" ht="14.4">
      <c r="A59" s="495">
        <v>27</v>
      </c>
      <c r="B59" s="672" t="s">
        <v>574</v>
      </c>
      <c r="C59" s="558">
        <f>SUM(C60:C61)</f>
        <v>1154910.5</v>
      </c>
      <c r="D59" s="558">
        <f>SUM(D60:D61)</f>
        <v>0</v>
      </c>
      <c r="E59" s="559">
        <f t="shared" si="4"/>
        <v>1154910.5</v>
      </c>
      <c r="F59" s="560">
        <f>SUM(F60:F61)</f>
        <v>1154910.5</v>
      </c>
      <c r="G59" s="558"/>
      <c r="H59" s="559">
        <f t="shared" si="5"/>
        <v>1154910.5</v>
      </c>
      <c r="I59" s="565"/>
      <c r="J59" s="565"/>
      <c r="K59" s="565"/>
      <c r="L59" s="565"/>
      <c r="M59" s="565"/>
      <c r="N59" s="565"/>
    </row>
    <row r="60" spans="1:14">
      <c r="A60" s="495">
        <v>27.1</v>
      </c>
      <c r="B60" s="673" t="s">
        <v>575</v>
      </c>
      <c r="C60" s="558">
        <v>1154910.5</v>
      </c>
      <c r="D60" s="558"/>
      <c r="E60" s="559">
        <f t="shared" si="4"/>
        <v>1154910.5</v>
      </c>
      <c r="F60" s="558">
        <v>1154910.5</v>
      </c>
      <c r="G60" s="558"/>
      <c r="H60" s="559">
        <f t="shared" si="5"/>
        <v>1154910.5</v>
      </c>
      <c r="I60" s="565"/>
      <c r="J60" s="565"/>
      <c r="K60" s="565"/>
      <c r="L60" s="565"/>
      <c r="M60" s="565"/>
      <c r="N60" s="565"/>
    </row>
    <row r="61" spans="1:14">
      <c r="A61" s="495">
        <v>27.2</v>
      </c>
      <c r="B61" s="673" t="s">
        <v>576</v>
      </c>
      <c r="C61" s="558"/>
      <c r="D61" s="558"/>
      <c r="E61" s="559">
        <f t="shared" si="4"/>
        <v>0</v>
      </c>
      <c r="F61" s="558"/>
      <c r="G61" s="558"/>
      <c r="H61" s="559">
        <f t="shared" si="5"/>
        <v>0</v>
      </c>
      <c r="I61" s="565"/>
      <c r="J61" s="565"/>
      <c r="K61" s="565"/>
      <c r="L61" s="565"/>
      <c r="M61" s="565"/>
      <c r="N61" s="565"/>
    </row>
    <row r="62" spans="1:14">
      <c r="A62" s="495">
        <v>28</v>
      </c>
      <c r="B62" s="674" t="s">
        <v>577</v>
      </c>
      <c r="C62" s="558"/>
      <c r="D62" s="558"/>
      <c r="E62" s="559">
        <f t="shared" si="4"/>
        <v>0</v>
      </c>
      <c r="F62" s="558"/>
      <c r="G62" s="558"/>
      <c r="H62" s="559">
        <f t="shared" si="5"/>
        <v>0</v>
      </c>
      <c r="I62" s="565"/>
      <c r="J62" s="565"/>
      <c r="K62" s="565"/>
      <c r="L62" s="565"/>
      <c r="M62" s="565"/>
      <c r="N62" s="565"/>
    </row>
    <row r="63" spans="1:14">
      <c r="A63" s="495">
        <v>29</v>
      </c>
      <c r="B63" s="672" t="s">
        <v>578</v>
      </c>
      <c r="C63" s="558">
        <f>SUM(C64:C66)</f>
        <v>0</v>
      </c>
      <c r="D63" s="558">
        <f>SUM(D64:D66)</f>
        <v>0</v>
      </c>
      <c r="E63" s="559">
        <f t="shared" si="4"/>
        <v>0</v>
      </c>
      <c r="F63" s="558"/>
      <c r="G63" s="558"/>
      <c r="H63" s="559">
        <f t="shared" si="5"/>
        <v>0</v>
      </c>
      <c r="I63" s="565"/>
      <c r="J63" s="565"/>
      <c r="K63" s="565"/>
      <c r="L63" s="565"/>
      <c r="M63" s="565"/>
      <c r="N63" s="565"/>
    </row>
    <row r="64" spans="1:14">
      <c r="A64" s="495">
        <v>29.1</v>
      </c>
      <c r="B64" s="675" t="s">
        <v>579</v>
      </c>
      <c r="C64" s="558"/>
      <c r="D64" s="558"/>
      <c r="E64" s="559">
        <f t="shared" si="4"/>
        <v>0</v>
      </c>
      <c r="F64" s="558"/>
      <c r="G64" s="558"/>
      <c r="H64" s="559">
        <f t="shared" si="5"/>
        <v>0</v>
      </c>
      <c r="I64" s="565"/>
      <c r="J64" s="565"/>
      <c r="K64" s="565"/>
      <c r="L64" s="565"/>
      <c r="M64" s="565"/>
      <c r="N64" s="565"/>
    </row>
    <row r="65" spans="1:14" ht="25.05" customHeight="1">
      <c r="A65" s="495">
        <v>29.2</v>
      </c>
      <c r="B65" s="676" t="s">
        <v>580</v>
      </c>
      <c r="C65" s="558"/>
      <c r="D65" s="558"/>
      <c r="E65" s="559">
        <f t="shared" si="4"/>
        <v>0</v>
      </c>
      <c r="F65" s="558"/>
      <c r="G65" s="558"/>
      <c r="H65" s="559">
        <f t="shared" si="5"/>
        <v>0</v>
      </c>
      <c r="I65" s="565"/>
      <c r="J65" s="565"/>
      <c r="K65" s="565"/>
      <c r="L65" s="565"/>
      <c r="M65" s="565"/>
      <c r="N65" s="565"/>
    </row>
    <row r="66" spans="1:14" ht="22.5" customHeight="1">
      <c r="A66" s="495">
        <v>29.3</v>
      </c>
      <c r="B66" s="676" t="s">
        <v>581</v>
      </c>
      <c r="C66" s="558"/>
      <c r="D66" s="558"/>
      <c r="E66" s="559">
        <f t="shared" si="4"/>
        <v>0</v>
      </c>
      <c r="F66" s="558"/>
      <c r="G66" s="558"/>
      <c r="H66" s="559">
        <f t="shared" si="5"/>
        <v>0</v>
      </c>
      <c r="I66" s="565"/>
      <c r="J66" s="565"/>
      <c r="K66" s="565"/>
      <c r="L66" s="565"/>
      <c r="M66" s="565"/>
      <c r="N66" s="565"/>
    </row>
    <row r="67" spans="1:14">
      <c r="A67" s="495">
        <v>30</v>
      </c>
      <c r="B67" s="672" t="s">
        <v>582</v>
      </c>
      <c r="C67" s="558">
        <v>-14844900.41</v>
      </c>
      <c r="D67" s="558"/>
      <c r="E67" s="559">
        <f t="shared" si="4"/>
        <v>-14844900.41</v>
      </c>
      <c r="F67" s="558">
        <v>-24265975.009999998</v>
      </c>
      <c r="G67" s="558"/>
      <c r="H67" s="559">
        <f t="shared" si="5"/>
        <v>-24265975.009999998</v>
      </c>
      <c r="I67" s="565"/>
      <c r="J67" s="565"/>
      <c r="K67" s="565"/>
      <c r="L67" s="565"/>
      <c r="M67" s="565"/>
      <c r="N67" s="565"/>
    </row>
    <row r="68" spans="1:14">
      <c r="A68" s="495">
        <v>31</v>
      </c>
      <c r="B68" s="498" t="s">
        <v>583</v>
      </c>
      <c r="C68" s="558">
        <f>SUM(C55,C56,C57,C58,C59,C62,C63,C67)</f>
        <v>123110010.09</v>
      </c>
      <c r="D68" s="558">
        <f>SUM(D55,D56,D57,D58,D59,D62,D63,D67)</f>
        <v>0</v>
      </c>
      <c r="E68" s="559">
        <f t="shared" si="4"/>
        <v>123110010.09</v>
      </c>
      <c r="F68" s="558">
        <f>SUM(F55,F56,F57,F58,F59,F62,F63,F67)</f>
        <v>113688935.49000001</v>
      </c>
      <c r="G68" s="558">
        <f>SUM(G55,G56,G57,G58,G59,G62,G63,G67)</f>
        <v>0</v>
      </c>
      <c r="H68" s="559">
        <f t="shared" si="5"/>
        <v>113688935.49000001</v>
      </c>
      <c r="I68" s="565"/>
      <c r="J68" s="565"/>
      <c r="K68" s="565"/>
      <c r="L68" s="565"/>
      <c r="M68" s="565"/>
      <c r="N68" s="565"/>
    </row>
    <row r="69" spans="1:14">
      <c r="A69" s="495">
        <v>32</v>
      </c>
      <c r="B69" s="499" t="s">
        <v>584</v>
      </c>
      <c r="C69" s="558">
        <f>SUM(C53,C68)</f>
        <v>292307087.08679998</v>
      </c>
      <c r="D69" s="558">
        <f>SUM(D53,D68)</f>
        <v>407921058.17310005</v>
      </c>
      <c r="E69" s="559">
        <f t="shared" si="4"/>
        <v>700228145.25990009</v>
      </c>
      <c r="F69" s="558">
        <f>SUM(F53,F68)</f>
        <v>246512292.04870003</v>
      </c>
      <c r="G69" s="558">
        <f>SUM(G53,G68)</f>
        <v>279209527.94910002</v>
      </c>
      <c r="H69" s="559">
        <f t="shared" si="5"/>
        <v>525721819.99780005</v>
      </c>
      <c r="I69" s="565"/>
      <c r="J69" s="565"/>
      <c r="K69" s="565"/>
      <c r="L69" s="565"/>
      <c r="M69" s="565"/>
      <c r="N69" s="565"/>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Footer>&amp;C_x000D_&amp;1#&amp;"Calibri"&amp;10&amp;K000000 C1 - FOR INTERNAL USE ONLY</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67"/>
  <sheetViews>
    <sheetView showGridLines="0" topLeftCell="A17" zoomScale="80" zoomScaleNormal="80" workbookViewId="0">
      <selection activeCell="B46" sqref="B46"/>
    </sheetView>
  </sheetViews>
  <sheetFormatPr defaultColWidth="9.21875" defaultRowHeight="12"/>
  <cols>
    <col min="1" max="1" width="11.77734375" style="389" bestFit="1" customWidth="1"/>
    <col min="2" max="2" width="93.44140625" style="389" customWidth="1"/>
    <col min="3" max="3" width="14.6640625" style="389" customWidth="1"/>
    <col min="4" max="5" width="16.109375" style="389" customWidth="1"/>
    <col min="6" max="6" width="16.109375" style="407" customWidth="1"/>
    <col min="7" max="7" width="25.21875" style="407" customWidth="1"/>
    <col min="8" max="8" width="16.109375" style="389" customWidth="1"/>
    <col min="9" max="11" width="16.109375" style="407" customWidth="1"/>
    <col min="12" max="12" width="26.21875" style="407" customWidth="1"/>
    <col min="13" max="16384" width="9.21875" style="389"/>
  </cols>
  <sheetData>
    <row r="1" spans="1:12" ht="13.8">
      <c r="A1" s="314" t="s">
        <v>30</v>
      </c>
      <c r="B1" s="376" t="str">
        <f>'Info '!C2</f>
        <v xml:space="preserve">PASHA Bank Georgia JSC </v>
      </c>
      <c r="F1" s="389"/>
      <c r="G1" s="389"/>
      <c r="I1" s="389"/>
      <c r="J1" s="389"/>
      <c r="K1" s="389"/>
      <c r="L1" s="389"/>
    </row>
    <row r="2" spans="1:12">
      <c r="A2" s="314" t="s">
        <v>31</v>
      </c>
      <c r="B2" s="375">
        <f>'1. key ratios '!B2</f>
        <v>45747</v>
      </c>
      <c r="F2" s="389"/>
      <c r="G2" s="389"/>
      <c r="I2" s="389"/>
      <c r="J2" s="389"/>
      <c r="K2" s="389"/>
      <c r="L2" s="389"/>
    </row>
    <row r="3" spans="1:12">
      <c r="A3" s="315" t="s">
        <v>466</v>
      </c>
      <c r="F3" s="389"/>
      <c r="G3" s="389"/>
      <c r="I3" s="389"/>
      <c r="J3" s="389"/>
      <c r="K3" s="389"/>
      <c r="L3" s="389"/>
    </row>
    <row r="4" spans="1:12">
      <c r="F4" s="389"/>
      <c r="G4" s="389"/>
      <c r="I4" s="389"/>
      <c r="J4" s="389"/>
      <c r="K4" s="389"/>
      <c r="L4" s="389"/>
    </row>
    <row r="5" spans="1:12" ht="37.5" customHeight="1">
      <c r="A5" s="765" t="s">
        <v>483</v>
      </c>
      <c r="B5" s="766"/>
      <c r="C5" s="811" t="s">
        <v>467</v>
      </c>
      <c r="D5" s="812"/>
      <c r="E5" s="812"/>
      <c r="F5" s="812"/>
      <c r="G5" s="812"/>
      <c r="H5" s="811" t="s">
        <v>627</v>
      </c>
      <c r="I5" s="813"/>
      <c r="J5" s="813"/>
      <c r="K5" s="813"/>
      <c r="L5" s="814"/>
    </row>
    <row r="6" spans="1:12" ht="39.450000000000003" customHeight="1">
      <c r="A6" s="769"/>
      <c r="B6" s="770"/>
      <c r="C6" s="317"/>
      <c r="D6" s="387" t="s">
        <v>648</v>
      </c>
      <c r="E6" s="387" t="s">
        <v>647</v>
      </c>
      <c r="F6" s="387" t="s">
        <v>646</v>
      </c>
      <c r="G6" s="387" t="s">
        <v>645</v>
      </c>
      <c r="H6" s="408"/>
      <c r="I6" s="387" t="s">
        <v>648</v>
      </c>
      <c r="J6" s="387" t="s">
        <v>647</v>
      </c>
      <c r="K6" s="387" t="s">
        <v>646</v>
      </c>
      <c r="L6" s="387" t="s">
        <v>645</v>
      </c>
    </row>
    <row r="7" spans="1:12">
      <c r="A7" s="378">
        <v>1</v>
      </c>
      <c r="B7" s="393" t="s">
        <v>486</v>
      </c>
      <c r="C7" s="659"/>
      <c r="D7" s="643"/>
      <c r="E7" s="643"/>
      <c r="F7" s="660"/>
      <c r="G7" s="660"/>
      <c r="H7" s="643"/>
      <c r="I7" s="660"/>
      <c r="J7" s="660"/>
      <c r="K7" s="660"/>
      <c r="L7" s="660"/>
    </row>
    <row r="8" spans="1:12">
      <c r="A8" s="378">
        <v>2</v>
      </c>
      <c r="B8" s="393" t="s">
        <v>399</v>
      </c>
      <c r="C8" s="659">
        <v>96328881.235500008</v>
      </c>
      <c r="D8" s="643">
        <v>96123473.066599995</v>
      </c>
      <c r="E8" s="643">
        <v>25632.41</v>
      </c>
      <c r="F8" s="661">
        <v>179775.75889999999</v>
      </c>
      <c r="G8" s="661">
        <v>0</v>
      </c>
      <c r="H8" s="643">
        <v>473492.22290023003</v>
      </c>
      <c r="I8" s="661">
        <v>294195.54260023002</v>
      </c>
      <c r="J8" s="661">
        <v>2152.6774999999998</v>
      </c>
      <c r="K8" s="661">
        <v>177144.00279999999</v>
      </c>
      <c r="L8" s="661">
        <v>0</v>
      </c>
    </row>
    <row r="9" spans="1:12">
      <c r="A9" s="378">
        <v>3</v>
      </c>
      <c r="B9" s="393" t="s">
        <v>400</v>
      </c>
      <c r="C9" s="659"/>
      <c r="D9" s="643"/>
      <c r="E9" s="643"/>
      <c r="F9" s="662"/>
      <c r="G9" s="662"/>
      <c r="H9" s="643"/>
      <c r="I9" s="662"/>
      <c r="J9" s="662"/>
      <c r="K9" s="662"/>
      <c r="L9" s="662"/>
    </row>
    <row r="10" spans="1:12">
      <c r="A10" s="378">
        <v>4</v>
      </c>
      <c r="B10" s="393" t="s">
        <v>487</v>
      </c>
      <c r="C10" s="659">
        <v>39082412.662799999</v>
      </c>
      <c r="D10" s="643">
        <v>32956451.308899999</v>
      </c>
      <c r="E10" s="643">
        <v>2496364.92</v>
      </c>
      <c r="F10" s="662">
        <v>3629596.4339000001</v>
      </c>
      <c r="G10" s="662">
        <v>0</v>
      </c>
      <c r="H10" s="643">
        <v>2465468.6649000002</v>
      </c>
      <c r="I10" s="662">
        <v>262465.31359999999</v>
      </c>
      <c r="J10" s="662">
        <v>7532.6767</v>
      </c>
      <c r="K10" s="662">
        <v>2195470.6746</v>
      </c>
      <c r="L10" s="662">
        <v>0</v>
      </c>
    </row>
    <row r="11" spans="1:12">
      <c r="A11" s="378">
        <v>5</v>
      </c>
      <c r="B11" s="393" t="s">
        <v>401</v>
      </c>
      <c r="C11" s="659">
        <v>46723680.206</v>
      </c>
      <c r="D11" s="643">
        <v>46373081.394100003</v>
      </c>
      <c r="E11" s="643">
        <v>350598.81189999997</v>
      </c>
      <c r="F11" s="662">
        <v>0</v>
      </c>
      <c r="G11" s="662">
        <v>0</v>
      </c>
      <c r="H11" s="643">
        <v>110088.0775</v>
      </c>
      <c r="I11" s="662">
        <v>95392.590200000006</v>
      </c>
      <c r="J11" s="662">
        <v>14695.487300000001</v>
      </c>
      <c r="K11" s="662">
        <v>0</v>
      </c>
      <c r="L11" s="662">
        <v>0</v>
      </c>
    </row>
    <row r="12" spans="1:12">
      <c r="A12" s="378">
        <v>6</v>
      </c>
      <c r="B12" s="393" t="s">
        <v>402</v>
      </c>
      <c r="C12" s="659">
        <v>455.33</v>
      </c>
      <c r="D12" s="643">
        <v>455.33</v>
      </c>
      <c r="E12" s="643">
        <v>0</v>
      </c>
      <c r="F12" s="662">
        <v>0</v>
      </c>
      <c r="G12" s="662">
        <v>0</v>
      </c>
      <c r="H12" s="643">
        <v>0</v>
      </c>
      <c r="I12" s="662">
        <v>0</v>
      </c>
      <c r="J12" s="662">
        <v>0</v>
      </c>
      <c r="K12" s="662">
        <v>0</v>
      </c>
      <c r="L12" s="662">
        <v>0</v>
      </c>
    </row>
    <row r="13" spans="1:12">
      <c r="A13" s="378">
        <v>7</v>
      </c>
      <c r="B13" s="393" t="s">
        <v>403</v>
      </c>
      <c r="C13" s="659"/>
      <c r="D13" s="643"/>
      <c r="E13" s="643"/>
      <c r="F13" s="662"/>
      <c r="G13" s="662"/>
      <c r="H13" s="643"/>
      <c r="I13" s="662"/>
      <c r="J13" s="662"/>
      <c r="K13" s="662"/>
      <c r="L13" s="662"/>
    </row>
    <row r="14" spans="1:12">
      <c r="A14" s="378">
        <v>8</v>
      </c>
      <c r="B14" s="393" t="s">
        <v>404</v>
      </c>
      <c r="C14" s="659">
        <v>3682821.1370999999</v>
      </c>
      <c r="D14" s="643">
        <v>2458782.9103999999</v>
      </c>
      <c r="E14" s="643">
        <v>0</v>
      </c>
      <c r="F14" s="662">
        <v>1224038.2267</v>
      </c>
      <c r="G14" s="662">
        <v>0</v>
      </c>
      <c r="H14" s="643">
        <v>145432.19620000001</v>
      </c>
      <c r="I14" s="662">
        <v>18120.850200000001</v>
      </c>
      <c r="J14" s="662">
        <v>0</v>
      </c>
      <c r="K14" s="662">
        <v>127311.34600000001</v>
      </c>
      <c r="L14" s="662">
        <v>0</v>
      </c>
    </row>
    <row r="15" spans="1:12">
      <c r="A15" s="378">
        <v>9</v>
      </c>
      <c r="B15" s="393" t="s">
        <v>405</v>
      </c>
      <c r="C15" s="659">
        <v>17670703.699999999</v>
      </c>
      <c r="D15" s="643">
        <v>17670703.699999999</v>
      </c>
      <c r="E15" s="643">
        <v>0</v>
      </c>
      <c r="F15" s="662">
        <v>0</v>
      </c>
      <c r="G15" s="662">
        <v>0</v>
      </c>
      <c r="H15" s="643">
        <v>140637.8971</v>
      </c>
      <c r="I15" s="662">
        <v>140637.8971</v>
      </c>
      <c r="J15" s="662">
        <v>0</v>
      </c>
      <c r="K15" s="662">
        <v>0</v>
      </c>
      <c r="L15" s="662">
        <v>0</v>
      </c>
    </row>
    <row r="16" spans="1:12">
      <c r="A16" s="378">
        <v>10</v>
      </c>
      <c r="B16" s="393" t="s">
        <v>406</v>
      </c>
      <c r="C16" s="659">
        <v>2759289.8476999998</v>
      </c>
      <c r="D16" s="643">
        <v>2759289.8476999998</v>
      </c>
      <c r="E16" s="643">
        <v>0</v>
      </c>
      <c r="F16" s="662">
        <v>0</v>
      </c>
      <c r="G16" s="662">
        <v>0</v>
      </c>
      <c r="H16" s="643">
        <v>6317.7782999999999</v>
      </c>
      <c r="I16" s="662">
        <v>6317.7782999999999</v>
      </c>
      <c r="J16" s="662">
        <v>0</v>
      </c>
      <c r="K16" s="662">
        <v>0</v>
      </c>
      <c r="L16" s="662">
        <v>0</v>
      </c>
    </row>
    <row r="17" spans="1:12">
      <c r="A17" s="378">
        <v>11</v>
      </c>
      <c r="B17" s="393" t="s">
        <v>407</v>
      </c>
      <c r="C17" s="659">
        <v>7371058.9041999998</v>
      </c>
      <c r="D17" s="643">
        <v>4406880.0599999996</v>
      </c>
      <c r="E17" s="643">
        <v>2964178.8442000002</v>
      </c>
      <c r="F17" s="662">
        <v>0</v>
      </c>
      <c r="G17" s="662">
        <v>0</v>
      </c>
      <c r="H17" s="643">
        <v>79397.285600000003</v>
      </c>
      <c r="I17" s="662">
        <v>19482.698700000001</v>
      </c>
      <c r="J17" s="662">
        <v>59914.586900000002</v>
      </c>
      <c r="K17" s="662">
        <v>0</v>
      </c>
      <c r="L17" s="662">
        <v>0</v>
      </c>
    </row>
    <row r="18" spans="1:12">
      <c r="A18" s="378">
        <v>12</v>
      </c>
      <c r="B18" s="393" t="s">
        <v>408</v>
      </c>
      <c r="C18" s="659">
        <v>16140069.1304</v>
      </c>
      <c r="D18" s="643">
        <v>16140069.1304</v>
      </c>
      <c r="E18" s="643">
        <v>0</v>
      </c>
      <c r="F18" s="662">
        <v>0</v>
      </c>
      <c r="G18" s="662">
        <v>0</v>
      </c>
      <c r="H18" s="643">
        <v>50697.394999999997</v>
      </c>
      <c r="I18" s="662">
        <v>50697.394999999997</v>
      </c>
      <c r="J18" s="662">
        <v>0</v>
      </c>
      <c r="K18" s="662">
        <v>0</v>
      </c>
      <c r="L18" s="662">
        <v>0</v>
      </c>
    </row>
    <row r="19" spans="1:12">
      <c r="A19" s="378">
        <v>13</v>
      </c>
      <c r="B19" s="393" t="s">
        <v>409</v>
      </c>
      <c r="C19" s="659">
        <v>496742.79269999999</v>
      </c>
      <c r="D19" s="643">
        <v>2203.5300000000002</v>
      </c>
      <c r="E19" s="643">
        <v>0</v>
      </c>
      <c r="F19" s="662">
        <v>494539.26270000002</v>
      </c>
      <c r="G19" s="662">
        <v>0</v>
      </c>
      <c r="H19" s="643">
        <v>48695.129300000001</v>
      </c>
      <c r="I19" s="662">
        <v>0</v>
      </c>
      <c r="J19" s="662">
        <v>0</v>
      </c>
      <c r="K19" s="662">
        <v>48695.129300000001</v>
      </c>
      <c r="L19" s="662">
        <v>0</v>
      </c>
    </row>
    <row r="20" spans="1:12">
      <c r="A20" s="378">
        <v>14</v>
      </c>
      <c r="B20" s="393" t="s">
        <v>410</v>
      </c>
      <c r="C20" s="659">
        <v>14458368.7696</v>
      </c>
      <c r="D20" s="643">
        <v>11017576.7919</v>
      </c>
      <c r="E20" s="643">
        <v>1107829.1410000001</v>
      </c>
      <c r="F20" s="662">
        <v>2332962.8366999999</v>
      </c>
      <c r="G20" s="662">
        <v>0</v>
      </c>
      <c r="H20" s="643">
        <v>424836.2476</v>
      </c>
      <c r="I20" s="662">
        <v>29253.868600000002</v>
      </c>
      <c r="J20" s="662">
        <v>184326.9265</v>
      </c>
      <c r="K20" s="662">
        <v>211255.45250000001</v>
      </c>
      <c r="L20" s="662">
        <v>0</v>
      </c>
    </row>
    <row r="21" spans="1:12">
      <c r="A21" s="378">
        <v>15</v>
      </c>
      <c r="B21" s="393" t="s">
        <v>411</v>
      </c>
      <c r="C21" s="659">
        <v>18704105.799800001</v>
      </c>
      <c r="D21" s="643">
        <v>9493173.3663999997</v>
      </c>
      <c r="E21" s="643">
        <v>0</v>
      </c>
      <c r="F21" s="662">
        <v>9210932.4333999995</v>
      </c>
      <c r="G21" s="662">
        <v>0</v>
      </c>
      <c r="H21" s="643">
        <v>1429967.1455000001</v>
      </c>
      <c r="I21" s="662">
        <v>44932.510300000002</v>
      </c>
      <c r="J21" s="662">
        <v>0</v>
      </c>
      <c r="K21" s="662">
        <v>1385034.6351999999</v>
      </c>
      <c r="L21" s="662">
        <v>0</v>
      </c>
    </row>
    <row r="22" spans="1:12">
      <c r="A22" s="378">
        <v>16</v>
      </c>
      <c r="B22" s="393" t="s">
        <v>412</v>
      </c>
      <c r="C22" s="659"/>
      <c r="D22" s="643"/>
      <c r="E22" s="643"/>
      <c r="F22" s="662"/>
      <c r="G22" s="662"/>
      <c r="H22" s="643"/>
      <c r="I22" s="662"/>
      <c r="J22" s="662"/>
      <c r="K22" s="662"/>
      <c r="L22" s="662"/>
    </row>
    <row r="23" spans="1:12">
      <c r="A23" s="378">
        <v>17</v>
      </c>
      <c r="B23" s="393" t="s">
        <v>490</v>
      </c>
      <c r="C23" s="659">
        <v>8720133.1251999997</v>
      </c>
      <c r="D23" s="643">
        <v>8720133.1251999997</v>
      </c>
      <c r="E23" s="643">
        <v>0</v>
      </c>
      <c r="F23" s="662">
        <v>0</v>
      </c>
      <c r="G23" s="662">
        <v>0</v>
      </c>
      <c r="H23" s="643">
        <v>23055.236099999998</v>
      </c>
      <c r="I23" s="662">
        <v>23055.236099999998</v>
      </c>
      <c r="J23" s="662">
        <v>0</v>
      </c>
      <c r="K23" s="662">
        <v>0</v>
      </c>
      <c r="L23" s="662">
        <v>0</v>
      </c>
    </row>
    <row r="24" spans="1:12">
      <c r="A24" s="378">
        <v>18</v>
      </c>
      <c r="B24" s="393" t="s">
        <v>413</v>
      </c>
      <c r="C24" s="659">
        <v>88451970.300600007</v>
      </c>
      <c r="D24" s="643">
        <v>88451970.300600007</v>
      </c>
      <c r="E24" s="643">
        <v>0</v>
      </c>
      <c r="F24" s="662">
        <v>0</v>
      </c>
      <c r="G24" s="662">
        <v>0</v>
      </c>
      <c r="H24" s="643">
        <v>673725.78559999994</v>
      </c>
      <c r="I24" s="662">
        <v>673725.78559999994</v>
      </c>
      <c r="J24" s="662">
        <v>0</v>
      </c>
      <c r="K24" s="662">
        <v>0</v>
      </c>
      <c r="L24" s="662">
        <v>0</v>
      </c>
    </row>
    <row r="25" spans="1:12">
      <c r="A25" s="378">
        <v>19</v>
      </c>
      <c r="B25" s="393" t="s">
        <v>414</v>
      </c>
      <c r="C25" s="659"/>
      <c r="D25" s="643"/>
      <c r="E25" s="643"/>
      <c r="F25" s="662"/>
      <c r="G25" s="662"/>
      <c r="H25" s="643"/>
      <c r="I25" s="662"/>
      <c r="J25" s="662"/>
      <c r="K25" s="662"/>
      <c r="L25" s="662"/>
    </row>
    <row r="26" spans="1:12">
      <c r="A26" s="378">
        <v>20</v>
      </c>
      <c r="B26" s="393" t="s">
        <v>489</v>
      </c>
      <c r="C26" s="659">
        <v>7969436.4689999996</v>
      </c>
      <c r="D26" s="643">
        <v>7969436.4689999996</v>
      </c>
      <c r="E26" s="643">
        <v>0</v>
      </c>
      <c r="F26" s="662">
        <v>0</v>
      </c>
      <c r="G26" s="662">
        <v>0</v>
      </c>
      <c r="H26" s="643">
        <v>165459.09719999999</v>
      </c>
      <c r="I26" s="662">
        <v>165459.09719999999</v>
      </c>
      <c r="J26" s="662">
        <v>0</v>
      </c>
      <c r="K26" s="662">
        <v>0</v>
      </c>
      <c r="L26" s="662">
        <v>0</v>
      </c>
    </row>
    <row r="27" spans="1:12">
      <c r="A27" s="378">
        <v>21</v>
      </c>
      <c r="B27" s="393" t="s">
        <v>415</v>
      </c>
      <c r="C27" s="659"/>
      <c r="D27" s="643"/>
      <c r="E27" s="643"/>
      <c r="F27" s="662"/>
      <c r="G27" s="662"/>
      <c r="H27" s="643"/>
      <c r="I27" s="662"/>
      <c r="J27" s="662"/>
      <c r="K27" s="662"/>
      <c r="L27" s="662"/>
    </row>
    <row r="28" spans="1:12">
      <c r="A28" s="378">
        <v>22</v>
      </c>
      <c r="B28" s="393" t="s">
        <v>416</v>
      </c>
      <c r="C28" s="659"/>
      <c r="D28" s="643"/>
      <c r="E28" s="643"/>
      <c r="F28" s="662"/>
      <c r="G28" s="662"/>
      <c r="H28" s="643"/>
      <c r="I28" s="662"/>
      <c r="J28" s="662"/>
      <c r="K28" s="662"/>
      <c r="L28" s="662"/>
    </row>
    <row r="29" spans="1:12">
      <c r="A29" s="378">
        <v>23</v>
      </c>
      <c r="B29" s="393" t="s">
        <v>417</v>
      </c>
      <c r="C29" s="659">
        <v>16686953.861300001</v>
      </c>
      <c r="D29" s="643">
        <v>14249686.588400001</v>
      </c>
      <c r="E29" s="643">
        <v>0</v>
      </c>
      <c r="F29" s="662">
        <v>2437267.2729000002</v>
      </c>
      <c r="G29" s="662">
        <v>0</v>
      </c>
      <c r="H29" s="643">
        <v>350141.63130000001</v>
      </c>
      <c r="I29" s="662">
        <v>37543.546600000001</v>
      </c>
      <c r="J29" s="662">
        <v>0</v>
      </c>
      <c r="K29" s="662">
        <v>312598.08470000001</v>
      </c>
      <c r="L29" s="662">
        <v>0</v>
      </c>
    </row>
    <row r="30" spans="1:12">
      <c r="A30" s="378">
        <v>24</v>
      </c>
      <c r="B30" s="393" t="s">
        <v>488</v>
      </c>
      <c r="C30" s="659">
        <v>12618930.3071</v>
      </c>
      <c r="D30" s="643">
        <v>1505681.47</v>
      </c>
      <c r="E30" s="643">
        <v>0</v>
      </c>
      <c r="F30" s="662">
        <v>8652158.7039999999</v>
      </c>
      <c r="G30" s="662">
        <v>2461090.1331000002</v>
      </c>
      <c r="H30" s="643">
        <v>4761234.8727000002</v>
      </c>
      <c r="I30" s="662">
        <v>24966.537899999999</v>
      </c>
      <c r="J30" s="662">
        <v>0</v>
      </c>
      <c r="K30" s="662">
        <v>3521919.3999000001</v>
      </c>
      <c r="L30" s="662">
        <v>1214348.9349</v>
      </c>
    </row>
    <row r="31" spans="1:12">
      <c r="A31" s="378">
        <v>25</v>
      </c>
      <c r="B31" s="393" t="s">
        <v>418</v>
      </c>
      <c r="C31" s="659">
        <v>505282.8824</v>
      </c>
      <c r="D31" s="643">
        <v>505282.8824</v>
      </c>
      <c r="E31" s="643">
        <v>0</v>
      </c>
      <c r="F31" s="662">
        <v>0</v>
      </c>
      <c r="G31" s="662">
        <v>0</v>
      </c>
      <c r="H31" s="643">
        <v>22.774000000000001</v>
      </c>
      <c r="I31" s="662">
        <v>22.774000000000001</v>
      </c>
      <c r="J31" s="662">
        <v>0</v>
      </c>
      <c r="K31" s="662">
        <v>0</v>
      </c>
      <c r="L31" s="662">
        <v>0</v>
      </c>
    </row>
    <row r="32" spans="1:12">
      <c r="A32" s="378">
        <v>26</v>
      </c>
      <c r="B32" s="393" t="s">
        <v>485</v>
      </c>
      <c r="C32" s="659">
        <v>31327.808300000001</v>
      </c>
      <c r="D32" s="643">
        <v>31327.808300000001</v>
      </c>
      <c r="E32" s="643">
        <v>0</v>
      </c>
      <c r="F32" s="662">
        <v>0</v>
      </c>
      <c r="G32" s="662">
        <v>0</v>
      </c>
      <c r="H32" s="643">
        <v>84.547799999999995</v>
      </c>
      <c r="I32" s="662">
        <v>84.547799999999995</v>
      </c>
      <c r="J32" s="662">
        <v>0</v>
      </c>
      <c r="K32" s="662">
        <v>0</v>
      </c>
      <c r="L32" s="662">
        <v>0</v>
      </c>
    </row>
    <row r="33" spans="1:12">
      <c r="A33" s="378">
        <v>27</v>
      </c>
      <c r="B33" s="436" t="s">
        <v>64</v>
      </c>
      <c r="C33" s="663">
        <f>SUM(C7:C32)</f>
        <v>398402624.26969993</v>
      </c>
      <c r="D33" s="663">
        <f t="shared" ref="D33:L33" si="0">SUM(D7:D32)</f>
        <v>360835659.08030003</v>
      </c>
      <c r="E33" s="663">
        <f t="shared" si="0"/>
        <v>6944604.1271000002</v>
      </c>
      <c r="F33" s="663">
        <f t="shared" si="0"/>
        <v>28161270.929199997</v>
      </c>
      <c r="G33" s="663">
        <f t="shared" si="0"/>
        <v>2461090.1331000002</v>
      </c>
      <c r="H33" s="663">
        <f t="shared" si="0"/>
        <v>11348753.984600231</v>
      </c>
      <c r="I33" s="663">
        <f t="shared" si="0"/>
        <v>1886353.9698002301</v>
      </c>
      <c r="J33" s="663">
        <f t="shared" si="0"/>
        <v>268622.35490000003</v>
      </c>
      <c r="K33" s="663">
        <f t="shared" si="0"/>
        <v>7979428.7249999996</v>
      </c>
      <c r="L33" s="663">
        <f t="shared" si="0"/>
        <v>1214348.9349</v>
      </c>
    </row>
    <row r="35" spans="1:12">
      <c r="B35" s="435"/>
      <c r="C35" s="435"/>
    </row>
    <row r="36" spans="1:12">
      <c r="C36" s="658"/>
      <c r="D36" s="658"/>
      <c r="E36" s="658"/>
      <c r="F36" s="658"/>
      <c r="G36" s="658"/>
      <c r="H36" s="658"/>
      <c r="I36" s="658"/>
      <c r="J36" s="658"/>
      <c r="K36" s="658"/>
      <c r="L36" s="658"/>
    </row>
    <row r="37" spans="1:12">
      <c r="C37" s="658"/>
      <c r="D37" s="658"/>
      <c r="E37" s="658"/>
      <c r="F37" s="658"/>
      <c r="G37" s="658"/>
      <c r="H37" s="658"/>
      <c r="I37" s="658"/>
      <c r="J37" s="658"/>
      <c r="K37" s="658"/>
      <c r="L37" s="658"/>
    </row>
    <row r="38" spans="1:12">
      <c r="C38" s="658"/>
      <c r="D38" s="658"/>
      <c r="E38" s="658"/>
      <c r="F38" s="658"/>
      <c r="G38" s="658"/>
      <c r="H38" s="658"/>
      <c r="I38" s="658"/>
      <c r="J38" s="658"/>
      <c r="K38" s="658"/>
      <c r="L38" s="658"/>
    </row>
    <row r="39" spans="1:12">
      <c r="C39" s="658"/>
      <c r="D39" s="658"/>
      <c r="E39" s="658"/>
      <c r="F39" s="658"/>
      <c r="G39" s="658"/>
      <c r="H39" s="658"/>
      <c r="I39" s="658"/>
      <c r="J39" s="658"/>
      <c r="K39" s="658"/>
      <c r="L39" s="658"/>
    </row>
    <row r="40" spans="1:12">
      <c r="C40" s="658"/>
      <c r="D40" s="658"/>
      <c r="E40" s="658"/>
      <c r="F40" s="658"/>
      <c r="G40" s="658"/>
      <c r="H40" s="658"/>
      <c r="I40" s="658"/>
      <c r="J40" s="658"/>
      <c r="K40" s="658"/>
      <c r="L40" s="658"/>
    </row>
    <row r="41" spans="1:12">
      <c r="C41" s="658"/>
      <c r="D41" s="658"/>
      <c r="E41" s="658"/>
      <c r="F41" s="658"/>
      <c r="G41" s="658"/>
      <c r="H41" s="658"/>
      <c r="I41" s="658"/>
      <c r="J41" s="658"/>
      <c r="K41" s="658"/>
      <c r="L41" s="658"/>
    </row>
    <row r="42" spans="1:12">
      <c r="C42" s="658"/>
      <c r="D42" s="658"/>
      <c r="E42" s="658"/>
      <c r="F42" s="658"/>
      <c r="G42" s="658"/>
      <c r="H42" s="658"/>
      <c r="I42" s="658"/>
      <c r="J42" s="658"/>
      <c r="K42" s="658"/>
      <c r="L42" s="658"/>
    </row>
    <row r="43" spans="1:12">
      <c r="C43" s="658"/>
      <c r="D43" s="658"/>
      <c r="E43" s="658"/>
      <c r="F43" s="658"/>
      <c r="G43" s="658"/>
      <c r="H43" s="658"/>
      <c r="I43" s="658"/>
      <c r="J43" s="658"/>
      <c r="K43" s="658"/>
      <c r="L43" s="658"/>
    </row>
    <row r="44" spans="1:12">
      <c r="C44" s="658"/>
      <c r="D44" s="658"/>
      <c r="E44" s="658"/>
      <c r="F44" s="658"/>
      <c r="G44" s="658"/>
      <c r="H44" s="658"/>
      <c r="I44" s="658"/>
      <c r="J44" s="658"/>
      <c r="K44" s="658"/>
      <c r="L44" s="658"/>
    </row>
    <row r="45" spans="1:12">
      <c r="C45" s="658"/>
      <c r="D45" s="658"/>
      <c r="E45" s="658"/>
      <c r="F45" s="658"/>
      <c r="G45" s="658"/>
      <c r="H45" s="658"/>
      <c r="I45" s="658"/>
      <c r="J45" s="658"/>
      <c r="K45" s="658"/>
      <c r="L45" s="658"/>
    </row>
    <row r="46" spans="1:12">
      <c r="C46" s="658"/>
      <c r="D46" s="658"/>
      <c r="E46" s="658"/>
      <c r="F46" s="658"/>
      <c r="G46" s="658"/>
      <c r="H46" s="658"/>
      <c r="I46" s="658"/>
      <c r="J46" s="658"/>
      <c r="K46" s="658"/>
      <c r="L46" s="658"/>
    </row>
    <row r="47" spans="1:12">
      <c r="C47" s="658"/>
      <c r="D47" s="658"/>
      <c r="E47" s="658"/>
      <c r="F47" s="658"/>
      <c r="G47" s="658"/>
      <c r="H47" s="658"/>
      <c r="I47" s="658"/>
      <c r="J47" s="658"/>
      <c r="K47" s="658"/>
      <c r="L47" s="658"/>
    </row>
    <row r="48" spans="1:12">
      <c r="C48" s="658"/>
      <c r="D48" s="658"/>
      <c r="E48" s="658"/>
      <c r="F48" s="658"/>
      <c r="G48" s="658"/>
      <c r="H48" s="658"/>
      <c r="I48" s="658"/>
      <c r="J48" s="658"/>
      <c r="K48" s="658"/>
      <c r="L48" s="658"/>
    </row>
    <row r="49" spans="3:12">
      <c r="C49" s="658"/>
      <c r="D49" s="658"/>
      <c r="E49" s="658"/>
      <c r="F49" s="658"/>
      <c r="G49" s="658"/>
      <c r="H49" s="658"/>
      <c r="I49" s="658"/>
      <c r="J49" s="658"/>
      <c r="K49" s="658"/>
      <c r="L49" s="658"/>
    </row>
    <row r="50" spans="3:12">
      <c r="C50" s="658"/>
      <c r="D50" s="658"/>
      <c r="E50" s="658"/>
      <c r="F50" s="658"/>
      <c r="G50" s="658"/>
      <c r="H50" s="658"/>
      <c r="I50" s="658"/>
      <c r="J50" s="658"/>
      <c r="K50" s="658"/>
      <c r="L50" s="658"/>
    </row>
    <row r="51" spans="3:12">
      <c r="C51" s="658"/>
      <c r="D51" s="658"/>
      <c r="E51" s="658"/>
      <c r="F51" s="658"/>
      <c r="G51" s="658"/>
      <c r="H51" s="658"/>
      <c r="I51" s="658"/>
      <c r="J51" s="658"/>
      <c r="K51" s="658"/>
      <c r="L51" s="658"/>
    </row>
    <row r="52" spans="3:12">
      <c r="C52" s="658"/>
      <c r="D52" s="658"/>
      <c r="E52" s="658"/>
      <c r="F52" s="658"/>
      <c r="G52" s="658"/>
      <c r="H52" s="658"/>
      <c r="I52" s="658"/>
      <c r="J52" s="658"/>
      <c r="K52" s="658"/>
      <c r="L52" s="658"/>
    </row>
    <row r="53" spans="3:12">
      <c r="C53" s="658"/>
      <c r="D53" s="658"/>
      <c r="E53" s="658"/>
      <c r="F53" s="658"/>
      <c r="G53" s="658"/>
      <c r="H53" s="658"/>
      <c r="I53" s="658"/>
      <c r="J53" s="658"/>
      <c r="K53" s="658"/>
      <c r="L53" s="658"/>
    </row>
    <row r="54" spans="3:12">
      <c r="C54" s="658"/>
      <c r="D54" s="658"/>
      <c r="E54" s="658"/>
      <c r="F54" s="658"/>
      <c r="G54" s="658"/>
      <c r="H54" s="658"/>
      <c r="I54" s="658"/>
      <c r="J54" s="658"/>
      <c r="K54" s="658"/>
      <c r="L54" s="658"/>
    </row>
    <row r="55" spans="3:12">
      <c r="C55" s="658"/>
      <c r="D55" s="658"/>
      <c r="E55" s="658"/>
      <c r="F55" s="658"/>
      <c r="G55" s="658"/>
      <c r="H55" s="658"/>
      <c r="I55" s="658"/>
      <c r="J55" s="658"/>
      <c r="K55" s="658"/>
      <c r="L55" s="658"/>
    </row>
    <row r="56" spans="3:12">
      <c r="C56" s="658"/>
      <c r="D56" s="658"/>
      <c r="E56" s="658"/>
      <c r="F56" s="658"/>
      <c r="G56" s="658"/>
      <c r="H56" s="658"/>
      <c r="I56" s="658"/>
      <c r="J56" s="658"/>
      <c r="K56" s="658"/>
      <c r="L56" s="658"/>
    </row>
    <row r="57" spans="3:12">
      <c r="C57" s="658"/>
      <c r="D57" s="658"/>
      <c r="E57" s="658"/>
      <c r="F57" s="658"/>
      <c r="G57" s="658"/>
      <c r="H57" s="658"/>
      <c r="I57" s="658"/>
      <c r="J57" s="658"/>
      <c r="K57" s="658"/>
      <c r="L57" s="658"/>
    </row>
    <row r="58" spans="3:12">
      <c r="C58" s="658"/>
      <c r="D58" s="658"/>
      <c r="E58" s="658"/>
      <c r="F58" s="658"/>
      <c r="G58" s="658"/>
      <c r="H58" s="658"/>
      <c r="I58" s="658"/>
      <c r="J58" s="658"/>
      <c r="K58" s="658"/>
      <c r="L58" s="658"/>
    </row>
    <row r="59" spans="3:12">
      <c r="C59" s="658"/>
      <c r="D59" s="658"/>
      <c r="E59" s="658"/>
      <c r="F59" s="658"/>
      <c r="G59" s="658"/>
      <c r="H59" s="658"/>
      <c r="I59" s="658"/>
      <c r="J59" s="658"/>
      <c r="K59" s="658"/>
      <c r="L59" s="658"/>
    </row>
    <row r="60" spans="3:12">
      <c r="C60" s="658"/>
      <c r="D60" s="658"/>
      <c r="E60" s="658"/>
      <c r="F60" s="658"/>
      <c r="G60" s="658"/>
      <c r="H60" s="658"/>
      <c r="I60" s="658"/>
      <c r="J60" s="658"/>
      <c r="K60" s="658"/>
      <c r="L60" s="658"/>
    </row>
    <row r="61" spans="3:12">
      <c r="C61" s="658"/>
      <c r="D61" s="658"/>
      <c r="E61" s="658"/>
      <c r="F61" s="658"/>
      <c r="G61" s="658"/>
      <c r="H61" s="658"/>
      <c r="I61" s="658"/>
      <c r="J61" s="658"/>
      <c r="K61" s="658"/>
      <c r="L61" s="658"/>
    </row>
    <row r="62" spans="3:12">
      <c r="C62" s="658"/>
      <c r="D62" s="658"/>
      <c r="E62" s="658"/>
      <c r="F62" s="658"/>
      <c r="G62" s="658"/>
      <c r="H62" s="658"/>
      <c r="I62" s="658"/>
      <c r="J62" s="658"/>
      <c r="K62" s="658"/>
      <c r="L62" s="658"/>
    </row>
    <row r="63" spans="3:12">
      <c r="C63" s="658"/>
    </row>
    <row r="64" spans="3:12">
      <c r="C64" s="658"/>
    </row>
    <row r="65" spans="3:3">
      <c r="C65" s="658"/>
    </row>
    <row r="66" spans="3:3">
      <c r="C66" s="658"/>
    </row>
    <row r="67" spans="3:3">
      <c r="C67" s="658"/>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Footer>&amp;C_x000D_&amp;1#&amp;"Calibri"&amp;10&amp;K000000 C1 - FOR INTERNAL USE ONLY</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K19"/>
  <sheetViews>
    <sheetView showGridLines="0" zoomScale="80" zoomScaleNormal="80" workbookViewId="0">
      <selection activeCell="B19" sqref="B19"/>
    </sheetView>
  </sheetViews>
  <sheetFormatPr defaultColWidth="8.77734375" defaultRowHeight="12"/>
  <cols>
    <col min="1" max="1" width="11.77734375" style="437" bestFit="1" customWidth="1"/>
    <col min="2" max="2" width="68.77734375" style="437" customWidth="1"/>
    <col min="3" max="11" width="28.21875" style="437" customWidth="1"/>
    <col min="12" max="16384" width="8.77734375" style="437"/>
  </cols>
  <sheetData>
    <row r="1" spans="1:11" s="389" customFormat="1" ht="13.8">
      <c r="A1" s="314" t="s">
        <v>30</v>
      </c>
      <c r="B1" s="376" t="str">
        <f>'Info '!C2</f>
        <v xml:space="preserve">PASHA Bank Georgia JSC </v>
      </c>
    </row>
    <row r="2" spans="1:11" s="389" customFormat="1">
      <c r="A2" s="314" t="s">
        <v>31</v>
      </c>
      <c r="B2" s="375">
        <f>'1. key ratios '!B2</f>
        <v>45747</v>
      </c>
    </row>
    <row r="3" spans="1:11" s="389" customFormat="1">
      <c r="A3" s="315" t="s">
        <v>468</v>
      </c>
    </row>
    <row r="4" spans="1:11">
      <c r="C4" s="440" t="s">
        <v>662</v>
      </c>
      <c r="D4" s="440" t="s">
        <v>661</v>
      </c>
      <c r="E4" s="440" t="s">
        <v>660</v>
      </c>
      <c r="F4" s="440" t="s">
        <v>659</v>
      </c>
      <c r="G4" s="440" t="s">
        <v>658</v>
      </c>
      <c r="H4" s="440" t="s">
        <v>657</v>
      </c>
      <c r="I4" s="440" t="s">
        <v>656</v>
      </c>
      <c r="J4" s="440" t="s">
        <v>655</v>
      </c>
      <c r="K4" s="440" t="s">
        <v>654</v>
      </c>
    </row>
    <row r="5" spans="1:11" ht="103.95" customHeight="1">
      <c r="A5" s="815" t="s">
        <v>653</v>
      </c>
      <c r="B5" s="816"/>
      <c r="C5" s="439" t="s">
        <v>469</v>
      </c>
      <c r="D5" s="439" t="s">
        <v>470</v>
      </c>
      <c r="E5" s="439" t="s">
        <v>471</v>
      </c>
      <c r="F5" s="439" t="s">
        <v>472</v>
      </c>
      <c r="G5" s="439" t="s">
        <v>473</v>
      </c>
      <c r="H5" s="439" t="s">
        <v>474</v>
      </c>
      <c r="I5" s="439" t="s">
        <v>475</v>
      </c>
      <c r="J5" s="439" t="s">
        <v>476</v>
      </c>
      <c r="K5" s="439" t="s">
        <v>477</v>
      </c>
    </row>
    <row r="6" spans="1:11">
      <c r="A6" s="378">
        <v>1</v>
      </c>
      <c r="B6" s="378" t="s">
        <v>437</v>
      </c>
      <c r="C6" s="630">
        <v>46767169.670100003</v>
      </c>
      <c r="D6" s="630"/>
      <c r="E6" s="630">
        <v>539210.23140000005</v>
      </c>
      <c r="F6" s="630"/>
      <c r="G6" s="630">
        <v>192851043.20289999</v>
      </c>
      <c r="H6" s="630"/>
      <c r="I6" s="630">
        <v>65522474.972599998</v>
      </c>
      <c r="J6" s="630">
        <v>24529257.735800002</v>
      </c>
      <c r="K6" s="630">
        <v>31929641.716899998</v>
      </c>
    </row>
    <row r="7" spans="1:11">
      <c r="A7" s="378">
        <v>2</v>
      </c>
      <c r="B7" s="378" t="s">
        <v>478</v>
      </c>
      <c r="C7" s="630"/>
      <c r="D7" s="630"/>
      <c r="E7" s="630"/>
      <c r="F7" s="630"/>
      <c r="G7" s="630">
        <v>3165634.1771</v>
      </c>
      <c r="H7" s="630"/>
      <c r="I7" s="630">
        <v>40911532.490000002</v>
      </c>
      <c r="J7" s="630">
        <v>0</v>
      </c>
      <c r="K7" s="630">
        <v>25270862.6765</v>
      </c>
    </row>
    <row r="8" spans="1:11">
      <c r="A8" s="378">
        <v>3</v>
      </c>
      <c r="B8" s="378" t="s">
        <v>445</v>
      </c>
      <c r="C8" s="630">
        <v>1792891.1435</v>
      </c>
      <c r="D8" s="630"/>
      <c r="E8" s="630">
        <v>596.11500000000001</v>
      </c>
      <c r="F8" s="630"/>
      <c r="G8" s="630">
        <v>14211346.5426</v>
      </c>
      <c r="H8" s="630"/>
      <c r="I8" s="630">
        <v>9195577.8205999993</v>
      </c>
      <c r="J8" s="630">
        <v>10038592.1163</v>
      </c>
      <c r="K8" s="630">
        <v>43128932.190099999</v>
      </c>
    </row>
    <row r="9" spans="1:11">
      <c r="A9" s="378">
        <v>4</v>
      </c>
      <c r="B9" s="398" t="s">
        <v>479</v>
      </c>
      <c r="C9" s="691"/>
      <c r="D9" s="691"/>
      <c r="E9" s="691"/>
      <c r="F9" s="691"/>
      <c r="G9" s="691">
        <v>28487537.2031</v>
      </c>
      <c r="H9" s="691"/>
      <c r="I9" s="691">
        <v>16.597799999999999</v>
      </c>
      <c r="J9" s="691">
        <v>114665.96709999999</v>
      </c>
      <c r="K9" s="691">
        <v>2020141.2943</v>
      </c>
    </row>
    <row r="10" spans="1:11">
      <c r="A10" s="378">
        <v>5</v>
      </c>
      <c r="B10" s="398" t="s">
        <v>480</v>
      </c>
      <c r="C10" s="691"/>
      <c r="D10" s="691"/>
      <c r="E10" s="691"/>
      <c r="F10" s="691"/>
      <c r="G10" s="691"/>
      <c r="H10" s="691"/>
      <c r="I10" s="691"/>
      <c r="J10" s="691"/>
      <c r="K10" s="691"/>
    </row>
    <row r="11" spans="1:11">
      <c r="A11" s="378">
        <v>6</v>
      </c>
      <c r="B11" s="398" t="s">
        <v>481</v>
      </c>
      <c r="C11" s="691"/>
      <c r="D11" s="691"/>
      <c r="E11" s="691"/>
      <c r="F11" s="691"/>
      <c r="G11" s="691">
        <v>0</v>
      </c>
      <c r="H11" s="691"/>
      <c r="I11" s="691">
        <v>0</v>
      </c>
      <c r="J11" s="691">
        <v>0</v>
      </c>
      <c r="K11" s="691">
        <v>0</v>
      </c>
    </row>
    <row r="13" spans="1:11" ht="13.8">
      <c r="B13" s="438"/>
    </row>
    <row r="14" spans="1:11">
      <c r="C14" s="664"/>
      <c r="D14" s="664"/>
      <c r="E14" s="664"/>
      <c r="F14" s="664"/>
      <c r="G14" s="664"/>
      <c r="H14" s="664"/>
      <c r="I14" s="664"/>
      <c r="J14" s="664"/>
      <c r="K14" s="664"/>
    </row>
    <row r="15" spans="1:11">
      <c r="C15" s="664"/>
      <c r="D15" s="664"/>
      <c r="E15" s="664"/>
      <c r="F15" s="664"/>
      <c r="G15" s="664"/>
      <c r="H15" s="664"/>
      <c r="I15" s="664"/>
      <c r="J15" s="664"/>
      <c r="K15" s="664"/>
    </row>
    <row r="16" spans="1:11">
      <c r="C16" s="664"/>
      <c r="D16" s="664"/>
      <c r="E16" s="664"/>
      <c r="F16" s="664"/>
      <c r="G16" s="664"/>
      <c r="H16" s="664"/>
      <c r="I16" s="664"/>
      <c r="J16" s="664"/>
      <c r="K16" s="664"/>
    </row>
    <row r="17" spans="3:11">
      <c r="C17" s="664"/>
      <c r="D17" s="664"/>
      <c r="E17" s="664"/>
      <c r="F17" s="664"/>
      <c r="G17" s="664"/>
      <c r="H17" s="664"/>
      <c r="I17" s="664"/>
      <c r="J17" s="664"/>
      <c r="K17" s="664"/>
    </row>
    <row r="18" spans="3:11">
      <c r="C18" s="664"/>
      <c r="D18" s="664"/>
      <c r="E18" s="664"/>
      <c r="F18" s="664"/>
      <c r="G18" s="664"/>
      <c r="H18" s="664"/>
      <c r="I18" s="664"/>
      <c r="J18" s="664"/>
      <c r="K18" s="664"/>
    </row>
    <row r="19" spans="3:11">
      <c r="C19" s="664"/>
      <c r="D19" s="664"/>
      <c r="E19" s="664"/>
      <c r="F19" s="664"/>
      <c r="G19" s="664"/>
      <c r="H19" s="664"/>
      <c r="I19" s="664"/>
      <c r="J19" s="664"/>
      <c r="K19" s="66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Footer>&amp;C_x000D_&amp;1#&amp;"Calibri"&amp;10&amp;K000000 C1 - FOR INTERNAL USE ONLY</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5"/>
  <sheetViews>
    <sheetView showGridLines="0" zoomScale="80" zoomScaleNormal="80" workbookViewId="0">
      <selection activeCell="B24" sqref="B24"/>
    </sheetView>
  </sheetViews>
  <sheetFormatPr defaultColWidth="8.77734375" defaultRowHeight="14.4"/>
  <cols>
    <col min="1" max="1" width="10" style="441" bestFit="1" customWidth="1"/>
    <col min="2" max="2" width="71.77734375" style="441" customWidth="1"/>
    <col min="3" max="3" width="10.6640625" style="441" bestFit="1" customWidth="1"/>
    <col min="4" max="7" width="15.5546875" style="441" customWidth="1"/>
    <col min="8" max="8" width="10.6640625" style="441" bestFit="1" customWidth="1"/>
    <col min="9" max="12" width="17.21875" style="441" customWidth="1"/>
    <col min="13" max="13" width="10.6640625" style="441" bestFit="1" customWidth="1"/>
    <col min="14" max="17" width="16.21875" style="441" customWidth="1"/>
    <col min="18" max="18" width="12.21875" style="441" bestFit="1" customWidth="1"/>
    <col min="19" max="19" width="46.88671875" style="441" bestFit="1" customWidth="1"/>
    <col min="20" max="20" width="43.44140625" style="441" bestFit="1" customWidth="1"/>
    <col min="21" max="21" width="45.88671875" style="441" bestFit="1" customWidth="1"/>
    <col min="22" max="22" width="43.33203125" style="441" bestFit="1" customWidth="1"/>
    <col min="23" max="16384" width="8.77734375" style="441"/>
  </cols>
  <sheetData>
    <row r="1" spans="1:22">
      <c r="A1" s="314" t="s">
        <v>30</v>
      </c>
      <c r="B1" s="376" t="str">
        <f>'Info '!C2</f>
        <v xml:space="preserve">PASHA Bank Georgia JSC </v>
      </c>
    </row>
    <row r="2" spans="1:22">
      <c r="A2" s="314" t="s">
        <v>31</v>
      </c>
      <c r="B2" s="375">
        <f>'1. key ratios '!B2</f>
        <v>45747</v>
      </c>
    </row>
    <row r="3" spans="1:22">
      <c r="A3" s="315" t="s">
        <v>496</v>
      </c>
      <c r="B3" s="389"/>
    </row>
    <row r="4" spans="1:22">
      <c r="A4" s="315"/>
      <c r="B4" s="389"/>
    </row>
    <row r="5" spans="1:22" ht="24" customHeight="1">
      <c r="A5" s="817" t="s">
        <v>497</v>
      </c>
      <c r="B5" s="818"/>
      <c r="C5" s="822" t="s">
        <v>663</v>
      </c>
      <c r="D5" s="822"/>
      <c r="E5" s="822"/>
      <c r="F5" s="822"/>
      <c r="G5" s="822"/>
      <c r="H5" s="822" t="s">
        <v>515</v>
      </c>
      <c r="I5" s="822"/>
      <c r="J5" s="822"/>
      <c r="K5" s="822"/>
      <c r="L5" s="822"/>
      <c r="M5" s="822" t="s">
        <v>627</v>
      </c>
      <c r="N5" s="822"/>
      <c r="O5" s="822"/>
      <c r="P5" s="822"/>
      <c r="Q5" s="822"/>
      <c r="R5" s="821" t="s">
        <v>498</v>
      </c>
      <c r="S5" s="821" t="s">
        <v>512</v>
      </c>
      <c r="T5" s="821" t="s">
        <v>513</v>
      </c>
      <c r="U5" s="821" t="s">
        <v>672</v>
      </c>
      <c r="V5" s="821" t="s">
        <v>673</v>
      </c>
    </row>
    <row r="6" spans="1:22" ht="36" customHeight="1">
      <c r="A6" s="819"/>
      <c r="B6" s="820"/>
      <c r="C6" s="450"/>
      <c r="D6" s="387" t="s">
        <v>648</v>
      </c>
      <c r="E6" s="387" t="s">
        <v>647</v>
      </c>
      <c r="F6" s="387" t="s">
        <v>646</v>
      </c>
      <c r="G6" s="387" t="s">
        <v>645</v>
      </c>
      <c r="H6" s="450"/>
      <c r="I6" s="387" t="s">
        <v>648</v>
      </c>
      <c r="J6" s="387" t="s">
        <v>647</v>
      </c>
      <c r="K6" s="387" t="s">
        <v>646</v>
      </c>
      <c r="L6" s="387" t="s">
        <v>645</v>
      </c>
      <c r="M6" s="450"/>
      <c r="N6" s="387" t="s">
        <v>648</v>
      </c>
      <c r="O6" s="387" t="s">
        <v>647</v>
      </c>
      <c r="P6" s="387" t="s">
        <v>646</v>
      </c>
      <c r="Q6" s="387" t="s">
        <v>645</v>
      </c>
      <c r="R6" s="821"/>
      <c r="S6" s="821"/>
      <c r="T6" s="821"/>
      <c r="U6" s="821"/>
      <c r="V6" s="821"/>
    </row>
    <row r="7" spans="1:22">
      <c r="A7" s="445">
        <v>1</v>
      </c>
      <c r="B7" s="449" t="s">
        <v>506</v>
      </c>
      <c r="C7" s="665"/>
      <c r="D7" s="666"/>
      <c r="E7" s="666"/>
      <c r="F7" s="666"/>
      <c r="G7" s="666"/>
      <c r="H7" s="666"/>
      <c r="I7" s="666"/>
      <c r="J7" s="666"/>
      <c r="K7" s="666"/>
      <c r="L7" s="666"/>
      <c r="M7" s="666"/>
      <c r="N7" s="666"/>
      <c r="O7" s="666"/>
      <c r="P7" s="666"/>
      <c r="Q7" s="666"/>
      <c r="R7" s="666">
        <v>0</v>
      </c>
      <c r="S7" s="667"/>
      <c r="T7" s="667"/>
      <c r="U7" s="667"/>
      <c r="V7" s="692"/>
    </row>
    <row r="8" spans="1:22">
      <c r="A8" s="445">
        <v>2</v>
      </c>
      <c r="B8" s="448" t="s">
        <v>505</v>
      </c>
      <c r="C8" s="665">
        <v>1087072.27</v>
      </c>
      <c r="D8" s="666">
        <v>1047584.37</v>
      </c>
      <c r="E8" s="666">
        <v>25940.69</v>
      </c>
      <c r="F8" s="666">
        <v>13547.21</v>
      </c>
      <c r="G8" s="666"/>
      <c r="H8" s="666">
        <v>1110787.048</v>
      </c>
      <c r="I8" s="666">
        <v>1071416.8791</v>
      </c>
      <c r="J8" s="666">
        <v>25632.41</v>
      </c>
      <c r="K8" s="666">
        <v>13737.758900000001</v>
      </c>
      <c r="L8" s="666"/>
      <c r="M8" s="666">
        <v>15712.7089</v>
      </c>
      <c r="N8" s="666">
        <v>2454.0286000000001</v>
      </c>
      <c r="O8" s="666">
        <v>2152.6774999999998</v>
      </c>
      <c r="P8" s="666">
        <v>11106.0028</v>
      </c>
      <c r="Q8" s="666"/>
      <c r="R8" s="666">
        <v>48</v>
      </c>
      <c r="S8" s="667">
        <v>8.8099999999999998E-2</v>
      </c>
      <c r="T8" s="667">
        <v>9.01E-2</v>
      </c>
      <c r="U8" s="667">
        <v>0.1103</v>
      </c>
      <c r="V8" s="692">
        <v>9.6963000000000008</v>
      </c>
    </row>
    <row r="9" spans="1:22">
      <c r="A9" s="445">
        <v>3</v>
      </c>
      <c r="B9" s="448" t="s">
        <v>504</v>
      </c>
      <c r="C9" s="665"/>
      <c r="D9" s="666"/>
      <c r="E9" s="666"/>
      <c r="F9" s="666"/>
      <c r="G9" s="666"/>
      <c r="H9" s="666"/>
      <c r="I9" s="666"/>
      <c r="J9" s="666"/>
      <c r="K9" s="666"/>
      <c r="L9" s="666"/>
      <c r="M9" s="666"/>
      <c r="N9" s="666"/>
      <c r="O9" s="666"/>
      <c r="P9" s="666"/>
      <c r="Q9" s="666"/>
      <c r="R9" s="666">
        <v>0</v>
      </c>
      <c r="S9" s="667"/>
      <c r="T9" s="667"/>
      <c r="U9" s="667"/>
      <c r="V9" s="692"/>
    </row>
    <row r="10" spans="1:22">
      <c r="A10" s="445">
        <v>4</v>
      </c>
      <c r="B10" s="448" t="s">
        <v>503</v>
      </c>
      <c r="C10" s="665"/>
      <c r="D10" s="666"/>
      <c r="E10" s="666"/>
      <c r="F10" s="666"/>
      <c r="G10" s="666"/>
      <c r="H10" s="666"/>
      <c r="I10" s="666"/>
      <c r="J10" s="666"/>
      <c r="K10" s="666"/>
      <c r="L10" s="666"/>
      <c r="M10" s="666"/>
      <c r="N10" s="666"/>
      <c r="O10" s="666"/>
      <c r="P10" s="666"/>
      <c r="Q10" s="666"/>
      <c r="R10" s="666">
        <v>0</v>
      </c>
      <c r="S10" s="667"/>
      <c r="T10" s="667"/>
      <c r="U10" s="667"/>
      <c r="V10" s="692"/>
    </row>
    <row r="11" spans="1:22">
      <c r="A11" s="445">
        <v>5</v>
      </c>
      <c r="B11" s="448" t="s">
        <v>502</v>
      </c>
      <c r="C11" s="665">
        <v>3874.6136000000001</v>
      </c>
      <c r="D11" s="666">
        <v>3874.6136000000001</v>
      </c>
      <c r="E11" s="666">
        <v>0</v>
      </c>
      <c r="F11" s="666">
        <v>0</v>
      </c>
      <c r="G11" s="666"/>
      <c r="H11" s="666">
        <v>3880.2736</v>
      </c>
      <c r="I11" s="666">
        <v>3880.2736</v>
      </c>
      <c r="J11" s="666">
        <v>0</v>
      </c>
      <c r="K11" s="666">
        <v>0</v>
      </c>
      <c r="L11" s="666"/>
      <c r="M11" s="666">
        <v>23.948699999999999</v>
      </c>
      <c r="N11" s="666">
        <v>23.948699999999999</v>
      </c>
      <c r="O11" s="666">
        <v>0</v>
      </c>
      <c r="P11" s="666">
        <v>0</v>
      </c>
      <c r="Q11" s="666"/>
      <c r="R11" s="666">
        <v>14</v>
      </c>
      <c r="S11" s="667">
        <v>0.1389</v>
      </c>
      <c r="T11" s="667">
        <v>0.14899999999999999</v>
      </c>
      <c r="U11" s="667">
        <v>0.1019</v>
      </c>
      <c r="V11" s="692">
        <v>0.51049999999999995</v>
      </c>
    </row>
    <row r="12" spans="1:22">
      <c r="A12" s="445">
        <v>6</v>
      </c>
      <c r="B12" s="448" t="s">
        <v>501</v>
      </c>
      <c r="C12" s="665"/>
      <c r="D12" s="666"/>
      <c r="E12" s="666"/>
      <c r="F12" s="666"/>
      <c r="G12" s="666"/>
      <c r="H12" s="666"/>
      <c r="I12" s="666"/>
      <c r="J12" s="666"/>
      <c r="K12" s="666"/>
      <c r="L12" s="666"/>
      <c r="M12" s="666"/>
      <c r="N12" s="666"/>
      <c r="O12" s="666"/>
      <c r="P12" s="666"/>
      <c r="Q12" s="666"/>
      <c r="R12" s="666">
        <v>0</v>
      </c>
      <c r="S12" s="667"/>
      <c r="T12" s="667"/>
      <c r="U12" s="667"/>
      <c r="V12" s="692"/>
    </row>
    <row r="13" spans="1:22">
      <c r="A13" s="445">
        <v>7</v>
      </c>
      <c r="B13" s="448" t="s">
        <v>500</v>
      </c>
      <c r="C13" s="665">
        <v>37406.839399999997</v>
      </c>
      <c r="D13" s="666">
        <v>0</v>
      </c>
      <c r="E13" s="666">
        <v>37406.839399999997</v>
      </c>
      <c r="F13" s="666">
        <v>0</v>
      </c>
      <c r="G13" s="666"/>
      <c r="H13" s="666">
        <v>37468.107400000001</v>
      </c>
      <c r="I13" s="666">
        <v>0</v>
      </c>
      <c r="J13" s="666">
        <v>37468.107400000001</v>
      </c>
      <c r="K13" s="666">
        <v>0</v>
      </c>
      <c r="L13" s="666"/>
      <c r="M13" s="666">
        <v>1124.6075000000001</v>
      </c>
      <c r="N13" s="666">
        <v>0</v>
      </c>
      <c r="O13" s="666">
        <v>1124.6075000000001</v>
      </c>
      <c r="P13" s="666">
        <v>0</v>
      </c>
      <c r="Q13" s="666"/>
      <c r="R13" s="666">
        <v>1</v>
      </c>
      <c r="S13" s="667"/>
      <c r="T13" s="667"/>
      <c r="U13" s="667">
        <v>9.6799999999999997E-2</v>
      </c>
      <c r="V13" s="692">
        <v>9</v>
      </c>
    </row>
    <row r="14" spans="1:22">
      <c r="A14" s="443">
        <v>7.1</v>
      </c>
      <c r="B14" s="442" t="s">
        <v>509</v>
      </c>
      <c r="C14" s="665">
        <v>37406.839399999997</v>
      </c>
      <c r="D14" s="666">
        <v>0</v>
      </c>
      <c r="E14" s="666">
        <v>37406.839399999997</v>
      </c>
      <c r="F14" s="666">
        <v>0</v>
      </c>
      <c r="G14" s="666"/>
      <c r="H14" s="666">
        <v>37468.107400000001</v>
      </c>
      <c r="I14" s="666">
        <v>0</v>
      </c>
      <c r="J14" s="666">
        <v>37468.107400000001</v>
      </c>
      <c r="K14" s="666">
        <v>0</v>
      </c>
      <c r="L14" s="666"/>
      <c r="M14" s="666">
        <v>1124.6075000000001</v>
      </c>
      <c r="N14" s="666">
        <v>0</v>
      </c>
      <c r="O14" s="666">
        <v>1124.6075000000001</v>
      </c>
      <c r="P14" s="666">
        <v>0</v>
      </c>
      <c r="Q14" s="666"/>
      <c r="R14" s="666">
        <v>1</v>
      </c>
      <c r="S14" s="667"/>
      <c r="T14" s="667"/>
      <c r="U14" s="667">
        <v>9.6799999999999997E-2</v>
      </c>
      <c r="V14" s="692">
        <v>9</v>
      </c>
    </row>
    <row r="15" spans="1:22">
      <c r="A15" s="443">
        <v>7.2</v>
      </c>
      <c r="B15" s="442" t="s">
        <v>511</v>
      </c>
      <c r="C15" s="665"/>
      <c r="D15" s="666"/>
      <c r="E15" s="666"/>
      <c r="F15" s="666"/>
      <c r="G15" s="666"/>
      <c r="H15" s="666"/>
      <c r="I15" s="666"/>
      <c r="J15" s="666"/>
      <c r="K15" s="666"/>
      <c r="L15" s="666"/>
      <c r="M15" s="666"/>
      <c r="N15" s="666"/>
      <c r="O15" s="666"/>
      <c r="P15" s="666"/>
      <c r="Q15" s="666"/>
      <c r="R15" s="666">
        <v>0</v>
      </c>
      <c r="S15" s="667"/>
      <c r="T15" s="667"/>
      <c r="U15" s="667"/>
      <c r="V15" s="692"/>
    </row>
    <row r="16" spans="1:22">
      <c r="A16" s="443">
        <v>7.3</v>
      </c>
      <c r="B16" s="442" t="s">
        <v>508</v>
      </c>
      <c r="C16" s="665"/>
      <c r="D16" s="666"/>
      <c r="E16" s="666"/>
      <c r="F16" s="666"/>
      <c r="G16" s="666"/>
      <c r="H16" s="666"/>
      <c r="I16" s="666"/>
      <c r="J16" s="666"/>
      <c r="K16" s="666"/>
      <c r="L16" s="666"/>
      <c r="M16" s="666"/>
      <c r="N16" s="666"/>
      <c r="O16" s="666"/>
      <c r="P16" s="666"/>
      <c r="Q16" s="666"/>
      <c r="R16" s="666">
        <v>0</v>
      </c>
      <c r="S16" s="667"/>
      <c r="T16" s="667"/>
      <c r="U16" s="667"/>
      <c r="V16" s="692"/>
    </row>
    <row r="17" spans="1:22">
      <c r="A17" s="445">
        <v>8</v>
      </c>
      <c r="B17" s="448" t="s">
        <v>507</v>
      </c>
      <c r="C17" s="665"/>
      <c r="D17" s="666"/>
      <c r="E17" s="666"/>
      <c r="F17" s="666"/>
      <c r="G17" s="666"/>
      <c r="H17" s="666"/>
      <c r="I17" s="666"/>
      <c r="J17" s="666"/>
      <c r="K17" s="666"/>
      <c r="L17" s="666"/>
      <c r="M17" s="666"/>
      <c r="N17" s="666"/>
      <c r="O17" s="666"/>
      <c r="P17" s="666"/>
      <c r="Q17" s="666"/>
      <c r="R17" s="666">
        <v>0</v>
      </c>
      <c r="S17" s="667"/>
      <c r="T17" s="667"/>
      <c r="U17" s="667"/>
      <c r="V17" s="692"/>
    </row>
    <row r="18" spans="1:22">
      <c r="A18" s="447">
        <v>9</v>
      </c>
      <c r="B18" s="446" t="s">
        <v>499</v>
      </c>
      <c r="C18" s="668"/>
      <c r="D18" s="669"/>
      <c r="E18" s="669"/>
      <c r="F18" s="669"/>
      <c r="G18" s="669"/>
      <c r="H18" s="669"/>
      <c r="I18" s="669"/>
      <c r="J18" s="669"/>
      <c r="K18" s="669"/>
      <c r="L18" s="669"/>
      <c r="M18" s="669"/>
      <c r="N18" s="669"/>
      <c r="O18" s="669"/>
      <c r="P18" s="669"/>
      <c r="Q18" s="669"/>
      <c r="R18" s="669">
        <v>0</v>
      </c>
      <c r="S18" s="670"/>
      <c r="T18" s="670"/>
      <c r="U18" s="670"/>
      <c r="V18" s="693"/>
    </row>
    <row r="19" spans="1:22">
      <c r="A19" s="445">
        <v>10</v>
      </c>
      <c r="B19" s="444" t="s">
        <v>510</v>
      </c>
      <c r="C19" s="665">
        <v>1128353.723</v>
      </c>
      <c r="D19" s="666">
        <v>1051458.9835999999</v>
      </c>
      <c r="E19" s="666">
        <v>63347.529399999999</v>
      </c>
      <c r="F19" s="666">
        <v>13547.21</v>
      </c>
      <c r="G19" s="666"/>
      <c r="H19" s="666">
        <v>1152135.429</v>
      </c>
      <c r="I19" s="666">
        <v>1075297.1527</v>
      </c>
      <c r="J19" s="666">
        <v>63100.517399999997</v>
      </c>
      <c r="K19" s="666">
        <v>13737.758900000001</v>
      </c>
      <c r="L19" s="666"/>
      <c r="M19" s="666">
        <v>16861.265100000001</v>
      </c>
      <c r="N19" s="666">
        <v>2477.9773</v>
      </c>
      <c r="O19" s="666">
        <v>3277.2849999999999</v>
      </c>
      <c r="P19" s="666">
        <v>11106.0028</v>
      </c>
      <c r="Q19" s="666"/>
      <c r="R19" s="666">
        <v>63</v>
      </c>
      <c r="S19" s="667">
        <v>0.11990000000000001</v>
      </c>
      <c r="T19" s="667">
        <v>0.127</v>
      </c>
      <c r="U19" s="667">
        <v>0.10979999999999999</v>
      </c>
      <c r="V19" s="692">
        <v>9.6417000000000002</v>
      </c>
    </row>
    <row r="20" spans="1:22" ht="24">
      <c r="A20" s="443">
        <v>10.1</v>
      </c>
      <c r="B20" s="442" t="s">
        <v>514</v>
      </c>
      <c r="C20" s="666"/>
      <c r="D20" s="666"/>
      <c r="E20" s="666"/>
      <c r="F20" s="666"/>
      <c r="G20" s="666"/>
      <c r="H20" s="666"/>
      <c r="I20" s="666"/>
      <c r="J20" s="666"/>
      <c r="K20" s="666"/>
      <c r="L20" s="666"/>
      <c r="M20" s="666"/>
      <c r="N20" s="666"/>
      <c r="O20" s="666"/>
      <c r="P20" s="666"/>
      <c r="Q20" s="666"/>
      <c r="R20" s="666">
        <v>0</v>
      </c>
      <c r="S20" s="666"/>
      <c r="T20" s="666"/>
      <c r="U20" s="666"/>
      <c r="V20" s="694"/>
    </row>
    <row r="22" spans="1:22">
      <c r="C22" s="671"/>
      <c r="D22" s="671"/>
      <c r="E22" s="671"/>
      <c r="F22" s="671"/>
      <c r="G22" s="671"/>
      <c r="H22" s="671"/>
      <c r="I22" s="671"/>
      <c r="J22" s="671"/>
      <c r="K22" s="671"/>
      <c r="L22" s="671"/>
      <c r="M22" s="671"/>
      <c r="N22" s="671"/>
      <c r="O22" s="671"/>
      <c r="P22" s="671"/>
      <c r="Q22" s="671"/>
      <c r="R22" s="671"/>
      <c r="S22" s="671"/>
      <c r="T22" s="671"/>
      <c r="U22" s="671"/>
      <c r="V22" s="671"/>
    </row>
    <row r="23" spans="1:22">
      <c r="C23" s="671"/>
      <c r="D23" s="671"/>
      <c r="E23" s="671"/>
      <c r="F23" s="671"/>
      <c r="G23" s="671"/>
      <c r="H23" s="671"/>
      <c r="I23" s="671"/>
      <c r="J23" s="671"/>
      <c r="K23" s="671"/>
      <c r="L23" s="671"/>
      <c r="M23" s="671"/>
      <c r="N23" s="671"/>
      <c r="O23" s="671"/>
      <c r="P23" s="671"/>
      <c r="Q23" s="671"/>
      <c r="R23" s="671"/>
      <c r="S23" s="671"/>
      <c r="T23" s="671"/>
      <c r="U23" s="671"/>
      <c r="V23" s="671"/>
    </row>
    <row r="24" spans="1:22">
      <c r="C24" s="671"/>
      <c r="D24" s="671"/>
      <c r="E24" s="671"/>
      <c r="F24" s="671"/>
      <c r="G24" s="671"/>
      <c r="H24" s="671"/>
      <c r="I24" s="671"/>
      <c r="J24" s="671"/>
      <c r="K24" s="671"/>
      <c r="L24" s="671"/>
      <c r="M24" s="671"/>
      <c r="N24" s="671"/>
      <c r="O24" s="671"/>
      <c r="P24" s="671"/>
      <c r="Q24" s="671"/>
      <c r="R24" s="671"/>
      <c r="S24" s="671"/>
      <c r="T24" s="671"/>
      <c r="U24" s="671"/>
      <c r="V24" s="671"/>
    </row>
    <row r="25" spans="1:22">
      <c r="C25" s="671"/>
      <c r="D25" s="671"/>
      <c r="E25" s="671"/>
      <c r="F25" s="671"/>
      <c r="G25" s="671"/>
      <c r="H25" s="671"/>
      <c r="I25" s="671"/>
      <c r="J25" s="671"/>
      <c r="K25" s="671"/>
      <c r="L25" s="671"/>
      <c r="M25" s="671"/>
      <c r="N25" s="671"/>
      <c r="O25" s="671"/>
      <c r="P25" s="671"/>
      <c r="Q25" s="671"/>
      <c r="R25" s="671"/>
      <c r="S25" s="671"/>
      <c r="T25" s="671"/>
      <c r="U25" s="671"/>
      <c r="V25" s="671"/>
    </row>
    <row r="26" spans="1:22">
      <c r="C26" s="671"/>
      <c r="D26" s="671"/>
      <c r="E26" s="671"/>
      <c r="F26" s="671"/>
      <c r="G26" s="671"/>
      <c r="H26" s="671"/>
      <c r="I26" s="671"/>
      <c r="J26" s="671"/>
      <c r="K26" s="671"/>
      <c r="L26" s="671"/>
      <c r="M26" s="671"/>
      <c r="N26" s="671"/>
      <c r="O26" s="671"/>
      <c r="P26" s="671"/>
      <c r="Q26" s="671"/>
      <c r="R26" s="671"/>
      <c r="S26" s="671"/>
      <c r="T26" s="671"/>
      <c r="U26" s="671"/>
      <c r="V26" s="671"/>
    </row>
    <row r="27" spans="1:22">
      <c r="C27" s="671"/>
      <c r="D27" s="671"/>
      <c r="E27" s="671"/>
      <c r="F27" s="671"/>
      <c r="G27" s="671"/>
      <c r="H27" s="671"/>
      <c r="I27" s="671"/>
      <c r="J27" s="671"/>
      <c r="K27" s="671"/>
      <c r="L27" s="671"/>
      <c r="M27" s="671"/>
      <c r="N27" s="671"/>
      <c r="O27" s="671"/>
      <c r="P27" s="671"/>
      <c r="Q27" s="671"/>
      <c r="R27" s="671"/>
      <c r="S27" s="671"/>
      <c r="T27" s="671"/>
      <c r="U27" s="671"/>
      <c r="V27" s="671"/>
    </row>
    <row r="28" spans="1:22">
      <c r="C28" s="671"/>
      <c r="D28" s="671"/>
      <c r="E28" s="671"/>
      <c r="F28" s="671"/>
      <c r="G28" s="671"/>
      <c r="H28" s="671"/>
      <c r="I28" s="671"/>
      <c r="J28" s="671"/>
      <c r="K28" s="671"/>
      <c r="L28" s="671"/>
      <c r="M28" s="671"/>
      <c r="N28" s="671"/>
      <c r="O28" s="671"/>
      <c r="P28" s="671"/>
      <c r="Q28" s="671"/>
      <c r="R28" s="671"/>
      <c r="S28" s="671"/>
      <c r="T28" s="671"/>
      <c r="U28" s="671"/>
      <c r="V28" s="671"/>
    </row>
    <row r="29" spans="1:22">
      <c r="C29" s="671"/>
      <c r="D29" s="671"/>
      <c r="E29" s="671"/>
      <c r="F29" s="671"/>
      <c r="G29" s="671"/>
      <c r="H29" s="671"/>
      <c r="I29" s="671"/>
      <c r="J29" s="671"/>
      <c r="K29" s="671"/>
      <c r="L29" s="671"/>
      <c r="M29" s="671"/>
      <c r="N29" s="671"/>
      <c r="O29" s="671"/>
      <c r="P29" s="671"/>
      <c r="Q29" s="671"/>
      <c r="R29" s="671"/>
      <c r="S29" s="671"/>
      <c r="T29" s="671"/>
      <c r="U29" s="671"/>
      <c r="V29" s="671"/>
    </row>
    <row r="30" spans="1:22">
      <c r="C30" s="671"/>
      <c r="D30" s="671"/>
      <c r="E30" s="671"/>
      <c r="F30" s="671"/>
      <c r="G30" s="671"/>
      <c r="H30" s="671"/>
      <c r="I30" s="671"/>
      <c r="J30" s="671"/>
      <c r="K30" s="671"/>
      <c r="L30" s="671"/>
      <c r="M30" s="671"/>
      <c r="N30" s="671"/>
      <c r="O30" s="671"/>
      <c r="P30" s="671"/>
      <c r="Q30" s="671"/>
      <c r="R30" s="671"/>
      <c r="S30" s="671"/>
      <c r="T30" s="671"/>
      <c r="U30" s="671"/>
      <c r="V30" s="671"/>
    </row>
    <row r="31" spans="1:22">
      <c r="C31" s="671"/>
      <c r="D31" s="671"/>
      <c r="E31" s="671"/>
      <c r="F31" s="671"/>
      <c r="G31" s="671"/>
      <c r="H31" s="671"/>
      <c r="I31" s="671"/>
      <c r="J31" s="671"/>
      <c r="K31" s="671"/>
      <c r="L31" s="671"/>
      <c r="M31" s="671"/>
      <c r="N31" s="671"/>
      <c r="O31" s="671"/>
      <c r="P31" s="671"/>
      <c r="Q31" s="671"/>
      <c r="R31" s="671"/>
      <c r="S31" s="671"/>
      <c r="T31" s="671"/>
      <c r="U31" s="671"/>
      <c r="V31" s="671"/>
    </row>
    <row r="32" spans="1:22">
      <c r="C32" s="671"/>
      <c r="D32" s="671"/>
      <c r="E32" s="671"/>
      <c r="F32" s="671"/>
      <c r="G32" s="671"/>
      <c r="H32" s="671"/>
      <c r="I32" s="671"/>
      <c r="J32" s="671"/>
      <c r="K32" s="671"/>
      <c r="L32" s="671"/>
      <c r="M32" s="671"/>
      <c r="N32" s="671"/>
      <c r="O32" s="671"/>
      <c r="P32" s="671"/>
      <c r="Q32" s="671"/>
      <c r="R32" s="671"/>
      <c r="S32" s="671"/>
      <c r="T32" s="671"/>
      <c r="U32" s="671"/>
      <c r="V32" s="671"/>
    </row>
    <row r="33" spans="3:22">
      <c r="C33" s="671"/>
      <c r="D33" s="671"/>
      <c r="E33" s="671"/>
      <c r="F33" s="671"/>
      <c r="G33" s="671"/>
      <c r="H33" s="671"/>
      <c r="I33" s="671"/>
      <c r="J33" s="671"/>
      <c r="K33" s="671"/>
      <c r="L33" s="671"/>
      <c r="M33" s="671"/>
      <c r="N33" s="671"/>
      <c r="O33" s="671"/>
      <c r="P33" s="671"/>
      <c r="Q33" s="671"/>
      <c r="R33" s="671"/>
      <c r="S33" s="671"/>
      <c r="T33" s="671"/>
      <c r="U33" s="671"/>
      <c r="V33" s="671"/>
    </row>
    <row r="34" spans="3:22">
      <c r="C34" s="671"/>
      <c r="D34" s="671"/>
      <c r="E34" s="671"/>
      <c r="F34" s="671"/>
      <c r="G34" s="671"/>
      <c r="H34" s="671"/>
      <c r="I34" s="671"/>
      <c r="J34" s="671"/>
      <c r="K34" s="671"/>
      <c r="L34" s="671"/>
      <c r="M34" s="671"/>
      <c r="N34" s="671"/>
      <c r="O34" s="671"/>
      <c r="P34" s="671"/>
      <c r="Q34" s="671"/>
      <c r="R34" s="671"/>
      <c r="S34" s="671"/>
      <c r="T34" s="671"/>
      <c r="U34" s="671"/>
      <c r="V34" s="671"/>
    </row>
    <row r="35" spans="3:22">
      <c r="C35" s="671"/>
      <c r="D35" s="671"/>
      <c r="E35" s="671"/>
      <c r="F35" s="671"/>
      <c r="G35" s="671"/>
      <c r="H35" s="671"/>
      <c r="I35" s="671"/>
      <c r="J35" s="671"/>
      <c r="K35" s="671"/>
      <c r="L35" s="671"/>
      <c r="M35" s="671"/>
      <c r="N35" s="671"/>
      <c r="O35" s="671"/>
      <c r="P35" s="671"/>
      <c r="Q35" s="671"/>
      <c r="R35" s="671"/>
      <c r="S35" s="671"/>
      <c r="T35" s="671"/>
      <c r="U35" s="671"/>
      <c r="V35" s="671"/>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Footer>&amp;C_x000D_&amp;1#&amp;"Calibri"&amp;10&amp;K000000 C1 - FOR INTERNAL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45"/>
  <sheetViews>
    <sheetView zoomScale="80" zoomScaleNormal="80" workbookViewId="0">
      <selection activeCell="L13" sqref="L13"/>
    </sheetView>
  </sheetViews>
  <sheetFormatPr defaultRowHeight="14.4"/>
  <cols>
    <col min="2" max="2" width="66.6640625" customWidth="1"/>
    <col min="3" max="8" width="17.77734375" customWidth="1"/>
    <col min="9" max="9" width="11.44140625" customWidth="1"/>
    <col min="11" max="11" width="10.21875" bestFit="1" customWidth="1"/>
  </cols>
  <sheetData>
    <row r="1" spans="1:14" s="5" customFormat="1" ht="13.8">
      <c r="A1" s="2" t="s">
        <v>30</v>
      </c>
      <c r="B1" s="3" t="str">
        <f>'Info '!C2</f>
        <v xml:space="preserve">PASHA Bank Georgia JSC </v>
      </c>
      <c r="C1" s="3"/>
      <c r="D1" s="4"/>
      <c r="E1" s="4"/>
      <c r="F1" s="4"/>
      <c r="G1" s="4"/>
    </row>
    <row r="2" spans="1:14" s="5" customFormat="1" ht="13.8">
      <c r="A2" s="2" t="s">
        <v>31</v>
      </c>
      <c r="B2" s="269">
        <f>'1. key ratios '!B2</f>
        <v>45747</v>
      </c>
      <c r="C2" s="3"/>
      <c r="D2" s="4"/>
      <c r="E2" s="4"/>
      <c r="F2" s="4"/>
      <c r="G2" s="4"/>
    </row>
    <row r="4" spans="1:14">
      <c r="A4" s="714" t="s">
        <v>6</v>
      </c>
      <c r="B4" s="716" t="s">
        <v>585</v>
      </c>
      <c r="C4" s="706" t="s">
        <v>522</v>
      </c>
      <c r="D4" s="706"/>
      <c r="E4" s="706"/>
      <c r="F4" s="706" t="s">
        <v>523</v>
      </c>
      <c r="G4" s="706"/>
      <c r="H4" s="707"/>
    </row>
    <row r="5" spans="1:14" ht="15.45" customHeight="1">
      <c r="A5" s="715"/>
      <c r="B5" s="717"/>
      <c r="C5" s="345" t="s">
        <v>32</v>
      </c>
      <c r="D5" s="345" t="s">
        <v>33</v>
      </c>
      <c r="E5" s="345" t="s">
        <v>34</v>
      </c>
      <c r="F5" s="345" t="s">
        <v>32</v>
      </c>
      <c r="G5" s="345" t="s">
        <v>33</v>
      </c>
      <c r="H5" s="345" t="s">
        <v>34</v>
      </c>
    </row>
    <row r="6" spans="1:14">
      <c r="A6" s="346">
        <v>1</v>
      </c>
      <c r="B6" s="566" t="s">
        <v>586</v>
      </c>
      <c r="C6" s="576">
        <f>SUM(C7:C12)</f>
        <v>7105017.5639000004</v>
      </c>
      <c r="D6" s="576">
        <f>SUM(D7:D12)</f>
        <v>5976689.3902000003</v>
      </c>
      <c r="E6" s="578">
        <f>C6+D6</f>
        <v>13081706.954100002</v>
      </c>
      <c r="F6" s="576">
        <f>SUM(F7:F12)</f>
        <v>7476616.7299999995</v>
      </c>
      <c r="G6" s="576">
        <f>SUM(G7:G12)</f>
        <v>5158071.7363</v>
      </c>
      <c r="H6" s="578">
        <f>F6+G6</f>
        <v>12634688.4663</v>
      </c>
      <c r="I6" s="577"/>
      <c r="J6" s="577"/>
      <c r="K6" s="577"/>
      <c r="L6" s="577"/>
      <c r="M6" s="577"/>
      <c r="N6" s="577"/>
    </row>
    <row r="7" spans="1:14">
      <c r="A7" s="346">
        <v>1.1000000000000001</v>
      </c>
      <c r="B7" s="567" t="s">
        <v>529</v>
      </c>
      <c r="C7" s="576"/>
      <c r="D7" s="576"/>
      <c r="E7" s="578">
        <f t="shared" ref="E7:E45" si="0">C7+D7</f>
        <v>0</v>
      </c>
      <c r="F7" s="576"/>
      <c r="G7" s="576"/>
      <c r="H7" s="578">
        <f t="shared" ref="H7:H45" si="1">F7+G7</f>
        <v>0</v>
      </c>
      <c r="I7" s="577"/>
      <c r="J7" s="577"/>
      <c r="K7" s="577"/>
      <c r="L7" s="577"/>
      <c r="M7" s="577"/>
      <c r="N7" s="577"/>
    </row>
    <row r="8" spans="1:14">
      <c r="A8" s="346">
        <v>1.2</v>
      </c>
      <c r="B8" s="567" t="s">
        <v>531</v>
      </c>
      <c r="C8" s="576"/>
      <c r="D8" s="576"/>
      <c r="E8" s="578">
        <f t="shared" si="0"/>
        <v>0</v>
      </c>
      <c r="F8" s="576"/>
      <c r="G8" s="576"/>
      <c r="H8" s="578">
        <f t="shared" si="1"/>
        <v>0</v>
      </c>
      <c r="I8" s="577"/>
      <c r="J8" s="577"/>
      <c r="K8" s="577"/>
      <c r="L8" s="577"/>
      <c r="M8" s="577"/>
      <c r="N8" s="577"/>
    </row>
    <row r="9" spans="1:14" ht="21.45" customHeight="1">
      <c r="A9" s="346">
        <v>1.3</v>
      </c>
      <c r="B9" s="567" t="s">
        <v>587</v>
      </c>
      <c r="C9" s="576"/>
      <c r="D9" s="576"/>
      <c r="E9" s="578">
        <f t="shared" si="0"/>
        <v>0</v>
      </c>
      <c r="F9" s="576"/>
      <c r="G9" s="576"/>
      <c r="H9" s="578">
        <f t="shared" si="1"/>
        <v>0</v>
      </c>
      <c r="I9" s="577"/>
      <c r="J9" s="577"/>
      <c r="K9" s="577"/>
      <c r="L9" s="577"/>
      <c r="M9" s="577"/>
      <c r="N9" s="577"/>
    </row>
    <row r="10" spans="1:14">
      <c r="A10" s="346">
        <v>1.4</v>
      </c>
      <c r="B10" s="567" t="s">
        <v>533</v>
      </c>
      <c r="C10" s="576"/>
      <c r="D10" s="576"/>
      <c r="E10" s="578">
        <f t="shared" si="0"/>
        <v>0</v>
      </c>
      <c r="F10" s="576"/>
      <c r="G10" s="576"/>
      <c r="H10" s="578">
        <f t="shared" si="1"/>
        <v>0</v>
      </c>
      <c r="I10" s="577"/>
      <c r="J10" s="577"/>
      <c r="K10" s="577"/>
      <c r="L10" s="577"/>
      <c r="M10" s="577"/>
      <c r="N10" s="577"/>
    </row>
    <row r="11" spans="1:14">
      <c r="A11" s="346">
        <v>1.5</v>
      </c>
      <c r="B11" s="567" t="s">
        <v>537</v>
      </c>
      <c r="C11" s="576">
        <v>7105017.5639000004</v>
      </c>
      <c r="D11" s="576">
        <v>5976689.3902000003</v>
      </c>
      <c r="E11" s="578">
        <f t="shared" si="0"/>
        <v>13081706.954100002</v>
      </c>
      <c r="F11" s="576">
        <v>7476616.7299999995</v>
      </c>
      <c r="G11" s="576">
        <v>5158071.7363</v>
      </c>
      <c r="H11" s="578">
        <f t="shared" si="1"/>
        <v>12634688.4663</v>
      </c>
      <c r="I11" s="577"/>
      <c r="J11" s="577"/>
      <c r="K11" s="577"/>
      <c r="L11" s="577"/>
      <c r="M11" s="577"/>
      <c r="N11" s="577"/>
    </row>
    <row r="12" spans="1:14">
      <c r="A12" s="346">
        <v>1.6</v>
      </c>
      <c r="B12" s="567" t="s">
        <v>419</v>
      </c>
      <c r="C12" s="576"/>
      <c r="D12" s="576"/>
      <c r="E12" s="578">
        <f t="shared" si="0"/>
        <v>0</v>
      </c>
      <c r="F12" s="576"/>
      <c r="G12" s="576"/>
      <c r="H12" s="578">
        <f t="shared" si="1"/>
        <v>0</v>
      </c>
      <c r="I12" s="577"/>
      <c r="J12" s="577"/>
      <c r="K12" s="577"/>
      <c r="L12" s="577"/>
      <c r="M12" s="577"/>
      <c r="N12" s="577"/>
    </row>
    <row r="13" spans="1:14">
      <c r="A13" s="346">
        <v>2</v>
      </c>
      <c r="B13" s="566" t="s">
        <v>588</v>
      </c>
      <c r="C13" s="576">
        <f>SUM(C14:C17)</f>
        <v>-3470326.4200000004</v>
      </c>
      <c r="D13" s="576">
        <f>SUM(D14:D17)</f>
        <v>-3442085.0311999996</v>
      </c>
      <c r="E13" s="578">
        <f t="shared" si="0"/>
        <v>-6912411.4512</v>
      </c>
      <c r="F13" s="576">
        <f>SUM(F14:F17)</f>
        <v>-3153220.02</v>
      </c>
      <c r="G13" s="576">
        <f>SUM(G14:G17)</f>
        <v>-2186059.8374999994</v>
      </c>
      <c r="H13" s="578">
        <f t="shared" si="1"/>
        <v>-5339279.8574999999</v>
      </c>
      <c r="I13" s="577"/>
      <c r="J13" s="577"/>
      <c r="K13" s="577"/>
      <c r="L13" s="577"/>
      <c r="M13" s="577"/>
      <c r="N13" s="577"/>
    </row>
    <row r="14" spans="1:14">
      <c r="A14" s="346">
        <v>2.1</v>
      </c>
      <c r="B14" s="567" t="s">
        <v>589</v>
      </c>
      <c r="C14" s="576"/>
      <c r="D14" s="576"/>
      <c r="E14" s="578">
        <f t="shared" si="0"/>
        <v>0</v>
      </c>
      <c r="F14" s="576"/>
      <c r="G14" s="576"/>
      <c r="H14" s="578">
        <f t="shared" si="1"/>
        <v>0</v>
      </c>
      <c r="I14" s="577"/>
      <c r="J14" s="577"/>
      <c r="K14" s="577"/>
      <c r="L14" s="577"/>
      <c r="M14" s="577"/>
      <c r="N14" s="577"/>
    </row>
    <row r="15" spans="1:14" ht="24.45" customHeight="1">
      <c r="A15" s="346">
        <v>2.2000000000000002</v>
      </c>
      <c r="B15" s="567" t="s">
        <v>590</v>
      </c>
      <c r="C15" s="576"/>
      <c r="D15" s="576"/>
      <c r="E15" s="578">
        <f t="shared" si="0"/>
        <v>0</v>
      </c>
      <c r="F15" s="576"/>
      <c r="G15" s="576"/>
      <c r="H15" s="578">
        <f t="shared" si="1"/>
        <v>0</v>
      </c>
      <c r="I15" s="577"/>
      <c r="J15" s="577"/>
      <c r="K15" s="577"/>
      <c r="L15" s="577"/>
      <c r="M15" s="577"/>
      <c r="N15" s="577"/>
    </row>
    <row r="16" spans="1:14" ht="20.55" customHeight="1">
      <c r="A16" s="346">
        <v>2.2999999999999998</v>
      </c>
      <c r="B16" s="567" t="s">
        <v>591</v>
      </c>
      <c r="C16" s="576">
        <v>-3470326.4200000004</v>
      </c>
      <c r="D16" s="576">
        <v>-3442085.0311999996</v>
      </c>
      <c r="E16" s="578">
        <f t="shared" si="0"/>
        <v>-6912411.4512</v>
      </c>
      <c r="F16" s="576">
        <v>-3153220.02</v>
      </c>
      <c r="G16" s="576">
        <v>-2186059.8374999994</v>
      </c>
      <c r="H16" s="578">
        <f t="shared" si="1"/>
        <v>-5339279.8574999999</v>
      </c>
      <c r="I16" s="577"/>
      <c r="J16" s="577"/>
      <c r="K16" s="577"/>
      <c r="L16" s="577"/>
      <c r="M16" s="577"/>
      <c r="N16" s="577"/>
    </row>
    <row r="17" spans="1:14">
      <c r="A17" s="346">
        <v>2.4</v>
      </c>
      <c r="B17" s="567" t="s">
        <v>592</v>
      </c>
      <c r="C17" s="576"/>
      <c r="D17" s="576"/>
      <c r="E17" s="578">
        <f t="shared" si="0"/>
        <v>0</v>
      </c>
      <c r="F17" s="576"/>
      <c r="G17" s="576"/>
      <c r="H17" s="578">
        <f t="shared" si="1"/>
        <v>0</v>
      </c>
      <c r="I17" s="577"/>
      <c r="J17" s="577"/>
      <c r="K17" s="577"/>
      <c r="L17" s="577"/>
      <c r="M17" s="577"/>
      <c r="N17" s="577"/>
    </row>
    <row r="18" spans="1:14">
      <c r="A18" s="346">
        <v>3</v>
      </c>
      <c r="B18" s="566" t="s">
        <v>593</v>
      </c>
      <c r="C18" s="576"/>
      <c r="D18" s="576"/>
      <c r="E18" s="578">
        <f t="shared" si="0"/>
        <v>0</v>
      </c>
      <c r="F18" s="576"/>
      <c r="G18" s="576"/>
      <c r="H18" s="578">
        <f t="shared" si="1"/>
        <v>0</v>
      </c>
      <c r="I18" s="577"/>
      <c r="J18" s="577"/>
      <c r="K18" s="577"/>
      <c r="L18" s="577"/>
      <c r="M18" s="577"/>
      <c r="N18" s="577"/>
    </row>
    <row r="19" spans="1:14">
      <c r="A19" s="346">
        <v>4</v>
      </c>
      <c r="B19" s="566" t="s">
        <v>594</v>
      </c>
      <c r="C19" s="576">
        <v>159833.23000000001</v>
      </c>
      <c r="D19" s="576">
        <v>342378.12459999998</v>
      </c>
      <c r="E19" s="578">
        <f t="shared" si="0"/>
        <v>502211.35459999996</v>
      </c>
      <c r="F19" s="576">
        <v>664518.35</v>
      </c>
      <c r="G19" s="576">
        <v>370447.3665</v>
      </c>
      <c r="H19" s="578">
        <f t="shared" si="1"/>
        <v>1034965.7165</v>
      </c>
      <c r="I19" s="577"/>
      <c r="J19" s="577"/>
      <c r="K19" s="577"/>
      <c r="L19" s="577"/>
      <c r="M19" s="577"/>
      <c r="N19" s="577"/>
    </row>
    <row r="20" spans="1:14">
      <c r="A20" s="346">
        <v>5</v>
      </c>
      <c r="B20" s="566" t="s">
        <v>595</v>
      </c>
      <c r="C20" s="576">
        <v>-58077.62</v>
      </c>
      <c r="D20" s="576">
        <v>-303981.24</v>
      </c>
      <c r="E20" s="578">
        <f t="shared" si="0"/>
        <v>-362058.86</v>
      </c>
      <c r="F20" s="576">
        <v>-91505.47</v>
      </c>
      <c r="G20" s="576">
        <v>-410898.74</v>
      </c>
      <c r="H20" s="578">
        <f t="shared" si="1"/>
        <v>-502404.20999999996</v>
      </c>
      <c r="I20" s="577"/>
      <c r="J20" s="577"/>
      <c r="K20" s="577"/>
      <c r="L20" s="577"/>
      <c r="M20" s="577"/>
      <c r="N20" s="577"/>
    </row>
    <row r="21" spans="1:14" ht="24" customHeight="1">
      <c r="A21" s="346">
        <v>6</v>
      </c>
      <c r="B21" s="566" t="s">
        <v>596</v>
      </c>
      <c r="C21" s="576">
        <v>300025.43</v>
      </c>
      <c r="D21" s="576">
        <v>0</v>
      </c>
      <c r="E21" s="578">
        <f t="shared" si="0"/>
        <v>300025.43</v>
      </c>
      <c r="F21" s="576"/>
      <c r="G21" s="576"/>
      <c r="H21" s="578">
        <f t="shared" si="1"/>
        <v>0</v>
      </c>
      <c r="I21" s="577"/>
      <c r="J21" s="577"/>
      <c r="K21" s="577"/>
      <c r="L21" s="577"/>
      <c r="M21" s="577"/>
      <c r="N21" s="577"/>
    </row>
    <row r="22" spans="1:14" ht="18.45" customHeight="1">
      <c r="A22" s="346">
        <v>7</v>
      </c>
      <c r="B22" s="566" t="s">
        <v>597</v>
      </c>
      <c r="C22" s="576">
        <v>72261.61</v>
      </c>
      <c r="D22" s="576">
        <v>0</v>
      </c>
      <c r="E22" s="578">
        <f t="shared" si="0"/>
        <v>72261.61</v>
      </c>
      <c r="F22" s="576"/>
      <c r="G22" s="576"/>
      <c r="H22" s="578">
        <f t="shared" si="1"/>
        <v>0</v>
      </c>
      <c r="I22" s="577"/>
      <c r="J22" s="577"/>
      <c r="K22" s="577"/>
      <c r="L22" s="577"/>
      <c r="M22" s="577"/>
      <c r="N22" s="577"/>
    </row>
    <row r="23" spans="1:14" ht="25.5" customHeight="1">
      <c r="A23" s="346">
        <v>8</v>
      </c>
      <c r="B23" s="568" t="s">
        <v>598</v>
      </c>
      <c r="C23" s="576"/>
      <c r="D23" s="576"/>
      <c r="E23" s="578">
        <f t="shared" si="0"/>
        <v>0</v>
      </c>
      <c r="F23" s="576"/>
      <c r="G23" s="576"/>
      <c r="H23" s="578">
        <f t="shared" si="1"/>
        <v>0</v>
      </c>
      <c r="I23" s="577"/>
      <c r="J23" s="577"/>
      <c r="K23" s="577"/>
      <c r="L23" s="577"/>
      <c r="M23" s="577"/>
      <c r="N23" s="577"/>
    </row>
    <row r="24" spans="1:14" ht="34.5" customHeight="1">
      <c r="A24" s="346">
        <v>9</v>
      </c>
      <c r="B24" s="568" t="s">
        <v>599</v>
      </c>
      <c r="C24" s="576"/>
      <c r="D24" s="576"/>
      <c r="E24" s="578">
        <f t="shared" si="0"/>
        <v>0</v>
      </c>
      <c r="F24" s="576"/>
      <c r="G24" s="576"/>
      <c r="H24" s="578">
        <f t="shared" si="1"/>
        <v>0</v>
      </c>
      <c r="I24" s="577"/>
      <c r="J24" s="577"/>
      <c r="K24" s="577"/>
      <c r="L24" s="577"/>
      <c r="M24" s="577"/>
      <c r="N24" s="577"/>
    </row>
    <row r="25" spans="1:14">
      <c r="A25" s="346">
        <v>10</v>
      </c>
      <c r="B25" s="566" t="s">
        <v>600</v>
      </c>
      <c r="C25" s="576">
        <v>3322091.48</v>
      </c>
      <c r="D25" s="576">
        <v>0</v>
      </c>
      <c r="E25" s="578">
        <f t="shared" si="0"/>
        <v>3322091.48</v>
      </c>
      <c r="F25" s="576">
        <v>2414084.0499999998</v>
      </c>
      <c r="G25" s="576">
        <v>0</v>
      </c>
      <c r="H25" s="578">
        <f t="shared" si="1"/>
        <v>2414084.0499999998</v>
      </c>
      <c r="I25" s="577"/>
      <c r="J25" s="577"/>
      <c r="K25" s="577"/>
      <c r="L25" s="577"/>
      <c r="M25" s="577"/>
      <c r="N25" s="577"/>
    </row>
    <row r="26" spans="1:14">
      <c r="A26" s="346">
        <v>11</v>
      </c>
      <c r="B26" s="569" t="s">
        <v>601</v>
      </c>
      <c r="C26" s="576">
        <v>28755.38</v>
      </c>
      <c r="D26" s="576">
        <v>0</v>
      </c>
      <c r="E26" s="578">
        <f t="shared" si="0"/>
        <v>28755.38</v>
      </c>
      <c r="F26" s="576"/>
      <c r="G26" s="576"/>
      <c r="H26" s="578">
        <f t="shared" si="1"/>
        <v>0</v>
      </c>
      <c r="I26" s="577"/>
      <c r="J26" s="577"/>
      <c r="K26" s="577"/>
      <c r="L26" s="577"/>
      <c r="M26" s="577"/>
      <c r="N26" s="577"/>
    </row>
    <row r="27" spans="1:14">
      <c r="A27" s="346">
        <v>12</v>
      </c>
      <c r="B27" s="566" t="s">
        <v>602</v>
      </c>
      <c r="C27" s="576">
        <v>741.96</v>
      </c>
      <c r="D27" s="576">
        <v>0</v>
      </c>
      <c r="E27" s="578">
        <f t="shared" si="0"/>
        <v>741.96</v>
      </c>
      <c r="F27" s="576">
        <v>2682.94</v>
      </c>
      <c r="G27" s="576"/>
      <c r="H27" s="578">
        <f t="shared" si="1"/>
        <v>2682.94</v>
      </c>
      <c r="I27" s="577"/>
      <c r="J27" s="577"/>
      <c r="K27" s="577"/>
      <c r="L27" s="577"/>
      <c r="M27" s="577"/>
      <c r="N27" s="577"/>
    </row>
    <row r="28" spans="1:14">
      <c r="A28" s="346">
        <v>13</v>
      </c>
      <c r="B28" s="566" t="s">
        <v>603</v>
      </c>
      <c r="C28" s="576">
        <v>-1224941.3899999999</v>
      </c>
      <c r="D28" s="576">
        <v>-443.11</v>
      </c>
      <c r="E28" s="578">
        <f t="shared" si="0"/>
        <v>-1225384.5</v>
      </c>
      <c r="F28" s="576">
        <v>-55449.340000000084</v>
      </c>
      <c r="G28" s="576">
        <v>75324.600000000006</v>
      </c>
      <c r="H28" s="578">
        <f t="shared" si="1"/>
        <v>19875.259999999922</v>
      </c>
      <c r="I28" s="577"/>
      <c r="J28" s="577"/>
      <c r="K28" s="577"/>
      <c r="L28" s="577"/>
      <c r="M28" s="577"/>
      <c r="N28" s="577"/>
    </row>
    <row r="29" spans="1:14">
      <c r="A29" s="346">
        <v>14</v>
      </c>
      <c r="B29" s="566" t="s">
        <v>604</v>
      </c>
      <c r="C29" s="576">
        <f>SUM(C30:C31)</f>
        <v>-5126734.17</v>
      </c>
      <c r="D29" s="576">
        <f>SUM(D30:D31)</f>
        <v>0</v>
      </c>
      <c r="E29" s="578">
        <f t="shared" si="0"/>
        <v>-5126734.17</v>
      </c>
      <c r="F29" s="576">
        <f>SUM(F30:F31)</f>
        <v>-7179158.870000001</v>
      </c>
      <c r="G29" s="576">
        <f>SUM(G30:G31)</f>
        <v>0</v>
      </c>
      <c r="H29" s="578">
        <f t="shared" si="1"/>
        <v>-7179158.870000001</v>
      </c>
      <c r="I29" s="577"/>
      <c r="J29" s="577"/>
      <c r="K29" s="577"/>
      <c r="L29" s="577"/>
      <c r="M29" s="577"/>
      <c r="N29" s="577"/>
    </row>
    <row r="30" spans="1:14">
      <c r="A30" s="346">
        <v>14.1</v>
      </c>
      <c r="B30" s="570" t="s">
        <v>605</v>
      </c>
      <c r="C30" s="576">
        <v>-4827115.45</v>
      </c>
      <c r="D30" s="576"/>
      <c r="E30" s="578">
        <f t="shared" si="0"/>
        <v>-4827115.45</v>
      </c>
      <c r="F30" s="576">
        <v>-6530850.3000000007</v>
      </c>
      <c r="G30" s="576"/>
      <c r="H30" s="578">
        <f t="shared" si="1"/>
        <v>-6530850.3000000007</v>
      </c>
      <c r="I30" s="577"/>
      <c r="J30" s="577"/>
      <c r="K30" s="577"/>
      <c r="L30" s="577"/>
      <c r="M30" s="577"/>
      <c r="N30" s="577"/>
    </row>
    <row r="31" spans="1:14">
      <c r="A31" s="346">
        <v>14.2</v>
      </c>
      <c r="B31" s="570" t="s">
        <v>606</v>
      </c>
      <c r="C31" s="576">
        <v>-299618.71999999997</v>
      </c>
      <c r="D31" s="576"/>
      <c r="E31" s="578">
        <f t="shared" si="0"/>
        <v>-299618.71999999997</v>
      </c>
      <c r="F31" s="576">
        <v>-648308.57000000007</v>
      </c>
      <c r="G31" s="576"/>
      <c r="H31" s="578">
        <f t="shared" si="1"/>
        <v>-648308.57000000007</v>
      </c>
      <c r="I31" s="577"/>
      <c r="J31" s="577"/>
      <c r="K31" s="577"/>
      <c r="L31" s="577"/>
      <c r="M31" s="577"/>
      <c r="N31" s="577"/>
    </row>
    <row r="32" spans="1:14">
      <c r="A32" s="346">
        <v>15</v>
      </c>
      <c r="B32" s="566" t="s">
        <v>607</v>
      </c>
      <c r="C32" s="576">
        <v>-1017272.97</v>
      </c>
      <c r="D32" s="576"/>
      <c r="E32" s="578">
        <f t="shared" si="0"/>
        <v>-1017272.97</v>
      </c>
      <c r="F32" s="576">
        <v>-1102626.8900000001</v>
      </c>
      <c r="G32" s="576"/>
      <c r="H32" s="578">
        <f t="shared" si="1"/>
        <v>-1102626.8900000001</v>
      </c>
      <c r="I32" s="577"/>
      <c r="J32" s="577"/>
      <c r="K32" s="577"/>
      <c r="L32" s="577"/>
      <c r="M32" s="577"/>
      <c r="N32" s="577"/>
    </row>
    <row r="33" spans="1:14" ht="22.5" customHeight="1">
      <c r="A33" s="346">
        <v>16</v>
      </c>
      <c r="B33" s="571" t="s">
        <v>608</v>
      </c>
      <c r="C33" s="576"/>
      <c r="D33" s="576"/>
      <c r="E33" s="578">
        <f t="shared" si="0"/>
        <v>0</v>
      </c>
      <c r="F33" s="576"/>
      <c r="G33" s="576"/>
      <c r="H33" s="578">
        <f t="shared" si="1"/>
        <v>0</v>
      </c>
      <c r="I33" s="577"/>
      <c r="J33" s="577"/>
      <c r="K33" s="577"/>
      <c r="L33" s="577"/>
      <c r="M33" s="577"/>
      <c r="N33" s="577"/>
    </row>
    <row r="34" spans="1:14">
      <c r="A34" s="346">
        <v>17</v>
      </c>
      <c r="B34" s="566" t="s">
        <v>609</v>
      </c>
      <c r="C34" s="576">
        <f>SUM(C35:C36)</f>
        <v>-41536.325299999997</v>
      </c>
      <c r="D34" s="576">
        <f>SUM(D35:D36)</f>
        <v>30903.8992</v>
      </c>
      <c r="E34" s="578">
        <f t="shared" si="0"/>
        <v>-10632.426099999997</v>
      </c>
      <c r="F34" s="576">
        <f>SUM(F35:F36)</f>
        <v>-972295.67115296877</v>
      </c>
      <c r="G34" s="576">
        <f>SUM(G35:G36)</f>
        <v>365493.65539999999</v>
      </c>
      <c r="H34" s="578">
        <f t="shared" si="1"/>
        <v>-606802.01575296884</v>
      </c>
      <c r="I34" s="577"/>
      <c r="J34" s="577"/>
      <c r="K34" s="577"/>
      <c r="L34" s="577"/>
      <c r="M34" s="577"/>
      <c r="N34" s="577"/>
    </row>
    <row r="35" spans="1:14">
      <c r="A35" s="346">
        <v>17.100000000000001</v>
      </c>
      <c r="B35" s="570" t="s">
        <v>610</v>
      </c>
      <c r="C35" s="576">
        <v>20892.254700000001</v>
      </c>
      <c r="D35" s="576">
        <v>30903.8992</v>
      </c>
      <c r="E35" s="578">
        <f t="shared" si="0"/>
        <v>51796.153900000005</v>
      </c>
      <c r="F35" s="576">
        <v>-5512.7632999980633</v>
      </c>
      <c r="G35" s="576">
        <v>224038.6361</v>
      </c>
      <c r="H35" s="578">
        <f t="shared" si="1"/>
        <v>218525.87280000193</v>
      </c>
      <c r="I35" s="577"/>
      <c r="J35" s="577"/>
      <c r="K35" s="577"/>
      <c r="L35" s="577"/>
      <c r="M35" s="577"/>
      <c r="N35" s="577"/>
    </row>
    <row r="36" spans="1:14">
      <c r="A36" s="346">
        <v>17.2</v>
      </c>
      <c r="B36" s="570" t="s">
        <v>611</v>
      </c>
      <c r="C36" s="576">
        <v>-62428.58</v>
      </c>
      <c r="D36" s="576">
        <v>0</v>
      </c>
      <c r="E36" s="578">
        <f t="shared" si="0"/>
        <v>-62428.58</v>
      </c>
      <c r="F36" s="576">
        <v>-966782.90785297076</v>
      </c>
      <c r="G36" s="576">
        <v>141455.01929999999</v>
      </c>
      <c r="H36" s="578">
        <f t="shared" si="1"/>
        <v>-825327.88855297072</v>
      </c>
      <c r="I36" s="577"/>
      <c r="J36" s="577"/>
      <c r="K36" s="577"/>
      <c r="L36" s="577"/>
      <c r="M36" s="577"/>
      <c r="N36" s="577"/>
    </row>
    <row r="37" spans="1:14" ht="41.55" customHeight="1">
      <c r="A37" s="346">
        <v>18</v>
      </c>
      <c r="B37" s="572" t="s">
        <v>612</v>
      </c>
      <c r="C37" s="576">
        <f>SUM(C38:C39)</f>
        <v>-613669.88087964989</v>
      </c>
      <c r="D37" s="576">
        <f>SUM(D38:D39)</f>
        <v>-2328451.2260000003</v>
      </c>
      <c r="E37" s="578">
        <f t="shared" si="0"/>
        <v>-2942121.1068796501</v>
      </c>
      <c r="F37" s="576">
        <f>SUM(F38:F39)</f>
        <v>0</v>
      </c>
      <c r="G37" s="576">
        <f>SUM(G38:G39)</f>
        <v>0</v>
      </c>
      <c r="H37" s="578">
        <f t="shared" si="1"/>
        <v>0</v>
      </c>
      <c r="I37" s="577"/>
      <c r="J37" s="577"/>
      <c r="K37" s="577"/>
      <c r="L37" s="577"/>
      <c r="M37" s="577"/>
      <c r="N37" s="577"/>
    </row>
    <row r="38" spans="1:14">
      <c r="A38" s="346">
        <v>18.100000000000001</v>
      </c>
      <c r="B38" s="573" t="s">
        <v>613</v>
      </c>
      <c r="C38" s="576">
        <v>0</v>
      </c>
      <c r="D38" s="576">
        <v>0</v>
      </c>
      <c r="E38" s="578">
        <f t="shared" si="0"/>
        <v>0</v>
      </c>
      <c r="F38" s="576"/>
      <c r="G38" s="576"/>
      <c r="H38" s="578">
        <f t="shared" si="1"/>
        <v>0</v>
      </c>
      <c r="I38" s="577"/>
      <c r="J38" s="577"/>
      <c r="K38" s="577"/>
      <c r="L38" s="577"/>
      <c r="M38" s="577"/>
      <c r="N38" s="577"/>
    </row>
    <row r="39" spans="1:14">
      <c r="A39" s="346">
        <v>18.2</v>
      </c>
      <c r="B39" s="573" t="s">
        <v>614</v>
      </c>
      <c r="C39" s="576">
        <v>-613669.88087964989</v>
      </c>
      <c r="D39" s="576">
        <v>-2328451.2260000003</v>
      </c>
      <c r="E39" s="578">
        <f t="shared" si="0"/>
        <v>-2942121.1068796501</v>
      </c>
      <c r="F39" s="576"/>
      <c r="G39" s="576"/>
      <c r="H39" s="578">
        <f t="shared" si="1"/>
        <v>0</v>
      </c>
      <c r="I39" s="577"/>
      <c r="J39" s="577"/>
      <c r="K39" s="577"/>
      <c r="L39" s="577"/>
      <c r="M39" s="577"/>
      <c r="N39" s="577"/>
    </row>
    <row r="40" spans="1:14" ht="24.45" customHeight="1">
      <c r="A40" s="346">
        <v>19</v>
      </c>
      <c r="B40" s="572" t="s">
        <v>615</v>
      </c>
      <c r="C40" s="576"/>
      <c r="D40" s="576"/>
      <c r="E40" s="578">
        <f t="shared" si="0"/>
        <v>0</v>
      </c>
      <c r="F40" s="576"/>
      <c r="G40" s="576"/>
      <c r="H40" s="578">
        <f t="shared" si="1"/>
        <v>0</v>
      </c>
      <c r="I40" s="577"/>
      <c r="J40" s="577"/>
      <c r="K40" s="577"/>
      <c r="L40" s="577"/>
      <c r="M40" s="577"/>
      <c r="N40" s="577"/>
    </row>
    <row r="41" spans="1:14" ht="17.55" customHeight="1">
      <c r="A41" s="346">
        <v>20</v>
      </c>
      <c r="B41" s="572" t="s">
        <v>616</v>
      </c>
      <c r="C41" s="576"/>
      <c r="D41" s="576"/>
      <c r="E41" s="578">
        <f t="shared" si="0"/>
        <v>0</v>
      </c>
      <c r="F41" s="576"/>
      <c r="G41" s="576"/>
      <c r="H41" s="578">
        <f t="shared" si="1"/>
        <v>0</v>
      </c>
      <c r="I41" s="577"/>
      <c r="J41" s="577"/>
      <c r="K41" s="577"/>
      <c r="L41" s="577"/>
      <c r="M41" s="577"/>
      <c r="N41" s="577"/>
    </row>
    <row r="42" spans="1:14" ht="26.55" customHeight="1">
      <c r="A42" s="346">
        <v>21</v>
      </c>
      <c r="B42" s="572" t="s">
        <v>617</v>
      </c>
      <c r="C42" s="576"/>
      <c r="D42" s="576"/>
      <c r="E42" s="578">
        <f t="shared" si="0"/>
        <v>0</v>
      </c>
      <c r="F42" s="576"/>
      <c r="G42" s="576"/>
      <c r="H42" s="578">
        <f t="shared" si="1"/>
        <v>0</v>
      </c>
      <c r="I42" s="577"/>
      <c r="J42" s="577"/>
      <c r="K42" s="577"/>
      <c r="L42" s="577"/>
      <c r="M42" s="577"/>
      <c r="N42" s="577"/>
    </row>
    <row r="43" spans="1:14">
      <c r="A43" s="346">
        <v>22</v>
      </c>
      <c r="B43" s="574" t="s">
        <v>618</v>
      </c>
      <c r="C43" s="576">
        <f>SUM(C6,C13,C18,C19,C20,C21,C22,C23,C24,C25,C26,C27,C28,C29,C32,C33,C34,C37,C40,C41,C42)</f>
        <v>-563832.12227964925</v>
      </c>
      <c r="D43" s="576">
        <f>SUM(D6,D13,D18,D19,D20,D21,D22,D23,D24,D25,D26,D27,D28,D29,D32,D33,D34,D37,D40,D41,D42)</f>
        <v>275010.80680000037</v>
      </c>
      <c r="E43" s="578">
        <f t="shared" si="0"/>
        <v>-288821.31547964888</v>
      </c>
      <c r="F43" s="576">
        <f>SUM(F6,F13,F18,F19,F20,F21,F22,F23,F24,F25,F26,F27,F28,F29,F32,F33,F34,F37,F40,F41,F42)</f>
        <v>-1996354.1911529708</v>
      </c>
      <c r="G43" s="576">
        <f>SUM(G6,G13,G18,G19,G20,G21,G22,G23,G24,G25,G26,G27,G28,G29,G32,G33,G34,G37,G40,G41,G42)</f>
        <v>3372378.7807000009</v>
      </c>
      <c r="H43" s="578">
        <f t="shared" si="1"/>
        <v>1376024.5895470302</v>
      </c>
      <c r="I43" s="577"/>
      <c r="J43" s="577"/>
      <c r="K43" s="577"/>
      <c r="L43" s="577"/>
      <c r="M43" s="577"/>
      <c r="N43" s="577"/>
    </row>
    <row r="44" spans="1:14">
      <c r="A44" s="346">
        <v>23</v>
      </c>
      <c r="B44" s="574" t="s">
        <v>619</v>
      </c>
      <c r="C44" s="576">
        <v>625896.73</v>
      </c>
      <c r="D44" s="576"/>
      <c r="E44" s="578">
        <f t="shared" si="0"/>
        <v>625896.73</v>
      </c>
      <c r="F44" s="576"/>
      <c r="G44" s="576"/>
      <c r="H44" s="578">
        <f t="shared" si="1"/>
        <v>0</v>
      </c>
      <c r="I44" s="577"/>
      <c r="J44" s="577"/>
      <c r="K44" s="577"/>
      <c r="L44" s="577"/>
      <c r="M44" s="577"/>
      <c r="N44" s="577"/>
    </row>
    <row r="45" spans="1:14">
      <c r="A45" s="346">
        <v>24</v>
      </c>
      <c r="B45" s="575" t="s">
        <v>620</v>
      </c>
      <c r="C45" s="560">
        <f>C43-C44</f>
        <v>-1189728.8522796491</v>
      </c>
      <c r="D45" s="560">
        <f>D43-D44</f>
        <v>275010.80680000037</v>
      </c>
      <c r="E45" s="579">
        <f t="shared" si="0"/>
        <v>-914718.04547964875</v>
      </c>
      <c r="F45" s="560">
        <f>F43-F44</f>
        <v>-1996354.1911529708</v>
      </c>
      <c r="G45" s="560">
        <f>G43-G44</f>
        <v>3372378.7807000009</v>
      </c>
      <c r="H45" s="578">
        <f t="shared" si="1"/>
        <v>1376024.5895470302</v>
      </c>
      <c r="I45" s="580"/>
      <c r="J45" s="577"/>
      <c r="K45" s="580"/>
      <c r="L45" s="577"/>
      <c r="M45" s="577"/>
      <c r="N45" s="577"/>
    </row>
  </sheetData>
  <mergeCells count="4">
    <mergeCell ref="A4:A5"/>
    <mergeCell ref="B4:B5"/>
    <mergeCell ref="C4:E4"/>
    <mergeCell ref="F4:H4"/>
  </mergeCells>
  <pageMargins left="0.7" right="0.7" top="0.75" bottom="0.75" header="0.3" footer="0.3"/>
  <headerFooter>
    <oddFooter>&amp;C_x000D_&amp;1#&amp;"Calibri"&amp;10&amp;K000000 C1 - FOR INTERNAL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7"/>
  <sheetViews>
    <sheetView zoomScale="80" zoomScaleNormal="80" workbookViewId="0">
      <selection activeCell="G1" sqref="G1"/>
    </sheetView>
  </sheetViews>
  <sheetFormatPr defaultColWidth="8.77734375" defaultRowHeight="13.8"/>
  <cols>
    <col min="1" max="1" width="8.77734375" style="500"/>
    <col min="2" max="2" width="87.6640625" style="489" bestFit="1" customWidth="1"/>
    <col min="3" max="8" width="15.44140625" style="489" customWidth="1"/>
    <col min="9" max="16384" width="8.77734375" style="489"/>
  </cols>
  <sheetData>
    <row r="1" spans="1:14">
      <c r="A1" s="133" t="s">
        <v>30</v>
      </c>
      <c r="B1" s="488" t="str">
        <f>'Info '!C2</f>
        <v xml:space="preserve">PASHA Bank Georgia JSC </v>
      </c>
      <c r="C1" s="488"/>
    </row>
    <row r="2" spans="1:14">
      <c r="A2" s="133" t="s">
        <v>31</v>
      </c>
      <c r="B2" s="490">
        <f>'1. key ratios '!B2</f>
        <v>45747</v>
      </c>
      <c r="C2" s="488"/>
    </row>
    <row r="3" spans="1:14" ht="14.4" thickBot="1">
      <c r="A3" s="489"/>
    </row>
    <row r="4" spans="1:14">
      <c r="A4" s="718" t="s">
        <v>6</v>
      </c>
      <c r="B4" s="719" t="s">
        <v>94</v>
      </c>
      <c r="C4" s="720" t="s">
        <v>522</v>
      </c>
      <c r="D4" s="720"/>
      <c r="E4" s="720"/>
      <c r="F4" s="720" t="s">
        <v>523</v>
      </c>
      <c r="G4" s="720"/>
      <c r="H4" s="721"/>
    </row>
    <row r="5" spans="1:14">
      <c r="A5" s="718"/>
      <c r="B5" s="719"/>
      <c r="C5" s="345" t="s">
        <v>32</v>
      </c>
      <c r="D5" s="345" t="s">
        <v>33</v>
      </c>
      <c r="E5" s="345" t="s">
        <v>34</v>
      </c>
      <c r="F5" s="345" t="s">
        <v>32</v>
      </c>
      <c r="G5" s="345" t="s">
        <v>33</v>
      </c>
      <c r="H5" s="345" t="s">
        <v>34</v>
      </c>
    </row>
    <row r="6" spans="1:14">
      <c r="A6" s="366">
        <v>1</v>
      </c>
      <c r="B6" s="348" t="s">
        <v>621</v>
      </c>
      <c r="C6" s="502"/>
      <c r="D6" s="502"/>
      <c r="E6" s="503">
        <f t="shared" ref="E6:E43" si="0">C6+D6</f>
        <v>0</v>
      </c>
      <c r="F6" s="502"/>
      <c r="G6" s="502"/>
      <c r="H6" s="504">
        <f t="shared" ref="H6:H43" si="1">F6+G6</f>
        <v>0</v>
      </c>
      <c r="I6" s="687"/>
      <c r="J6" s="687"/>
      <c r="K6" s="687"/>
      <c r="L6" s="687"/>
      <c r="M6" s="687"/>
      <c r="N6" s="687"/>
    </row>
    <row r="7" spans="1:14">
      <c r="A7" s="366">
        <v>2</v>
      </c>
      <c r="B7" s="348" t="s">
        <v>183</v>
      </c>
      <c r="C7" s="502"/>
      <c r="D7" s="502"/>
      <c r="E7" s="503">
        <f t="shared" si="0"/>
        <v>0</v>
      </c>
      <c r="F7" s="502"/>
      <c r="G7" s="502"/>
      <c r="H7" s="504">
        <f t="shared" si="1"/>
        <v>0</v>
      </c>
      <c r="I7" s="687"/>
      <c r="J7" s="687"/>
      <c r="K7" s="687"/>
      <c r="L7" s="687"/>
      <c r="M7" s="687"/>
      <c r="N7" s="687"/>
    </row>
    <row r="8" spans="1:14">
      <c r="A8" s="366">
        <v>3</v>
      </c>
      <c r="B8" s="348" t="s">
        <v>193</v>
      </c>
      <c r="C8" s="502">
        <f>C9+C10</f>
        <v>330783483.09890002</v>
      </c>
      <c r="D8" s="502">
        <f>D9+D10</f>
        <v>459842724.97600001</v>
      </c>
      <c r="E8" s="503">
        <f t="shared" si="0"/>
        <v>790626208.07490003</v>
      </c>
      <c r="F8" s="502">
        <f>F9+F10</f>
        <v>305588874.33780003</v>
      </c>
      <c r="G8" s="502">
        <f>G9+G10</f>
        <v>361672388.87470001</v>
      </c>
      <c r="H8" s="504">
        <f t="shared" si="1"/>
        <v>667261263.2125001</v>
      </c>
      <c r="I8" s="687"/>
      <c r="J8" s="687"/>
      <c r="K8" s="687"/>
      <c r="L8" s="687"/>
      <c r="M8" s="687"/>
      <c r="N8" s="687"/>
    </row>
    <row r="9" spans="1:14">
      <c r="A9" s="366">
        <v>3.1</v>
      </c>
      <c r="B9" s="347" t="s">
        <v>184</v>
      </c>
      <c r="C9" s="502">
        <v>309064486.68889999</v>
      </c>
      <c r="D9" s="502">
        <v>442799913.52850002</v>
      </c>
      <c r="E9" s="503">
        <f t="shared" si="0"/>
        <v>751864400.21740007</v>
      </c>
      <c r="F9" s="502">
        <v>283859177.9278</v>
      </c>
      <c r="G9" s="502">
        <v>335144100.81440002</v>
      </c>
      <c r="H9" s="504">
        <f t="shared" si="1"/>
        <v>619003278.74220002</v>
      </c>
      <c r="I9" s="687"/>
      <c r="J9" s="687"/>
      <c r="K9" s="687"/>
      <c r="L9" s="687"/>
      <c r="M9" s="687"/>
      <c r="N9" s="687"/>
    </row>
    <row r="10" spans="1:14">
      <c r="A10" s="366">
        <v>3.2</v>
      </c>
      <c r="B10" s="347" t="s">
        <v>180</v>
      </c>
      <c r="C10" s="502">
        <v>21718996.41</v>
      </c>
      <c r="D10" s="502">
        <v>17042811.447499998</v>
      </c>
      <c r="E10" s="503">
        <f t="shared" si="0"/>
        <v>38761807.857500002</v>
      </c>
      <c r="F10" s="502">
        <v>21729696.41</v>
      </c>
      <c r="G10" s="502">
        <v>26528288.0603</v>
      </c>
      <c r="H10" s="504">
        <f t="shared" si="1"/>
        <v>48257984.470300004</v>
      </c>
      <c r="I10" s="687"/>
      <c r="J10" s="687"/>
      <c r="K10" s="687"/>
      <c r="L10" s="687"/>
      <c r="M10" s="687"/>
      <c r="N10" s="687"/>
    </row>
    <row r="11" spans="1:14">
      <c r="A11" s="366">
        <v>4</v>
      </c>
      <c r="B11" s="348" t="s">
        <v>182</v>
      </c>
      <c r="C11" s="502">
        <f>C12+C13</f>
        <v>0</v>
      </c>
      <c r="D11" s="502">
        <f>D12+D13</f>
        <v>0</v>
      </c>
      <c r="E11" s="503">
        <f t="shared" si="0"/>
        <v>0</v>
      </c>
      <c r="F11" s="502">
        <f>F12+F13</f>
        <v>0</v>
      </c>
      <c r="G11" s="502">
        <f>G12+G13</f>
        <v>0</v>
      </c>
      <c r="H11" s="504">
        <f t="shared" si="1"/>
        <v>0</v>
      </c>
      <c r="I11" s="687"/>
      <c r="J11" s="687"/>
      <c r="K11" s="687"/>
      <c r="L11" s="687"/>
      <c r="M11" s="687"/>
      <c r="N11" s="687"/>
    </row>
    <row r="12" spans="1:14">
      <c r="A12" s="366">
        <v>4.0999999999999996</v>
      </c>
      <c r="B12" s="347" t="s">
        <v>166</v>
      </c>
      <c r="C12" s="502"/>
      <c r="D12" s="502"/>
      <c r="E12" s="503">
        <f t="shared" si="0"/>
        <v>0</v>
      </c>
      <c r="F12" s="502"/>
      <c r="G12" s="502"/>
      <c r="H12" s="504">
        <f t="shared" si="1"/>
        <v>0</v>
      </c>
      <c r="I12" s="687"/>
      <c r="J12" s="687"/>
      <c r="K12" s="687"/>
      <c r="L12" s="687"/>
      <c r="M12" s="687"/>
      <c r="N12" s="687"/>
    </row>
    <row r="13" spans="1:14">
      <c r="A13" s="366">
        <v>4.2</v>
      </c>
      <c r="B13" s="347" t="s">
        <v>167</v>
      </c>
      <c r="C13" s="502"/>
      <c r="D13" s="502"/>
      <c r="E13" s="503">
        <f t="shared" si="0"/>
        <v>0</v>
      </c>
      <c r="F13" s="502"/>
      <c r="G13" s="502"/>
      <c r="H13" s="504">
        <f t="shared" si="1"/>
        <v>0</v>
      </c>
      <c r="I13" s="687"/>
      <c r="J13" s="687"/>
      <c r="K13" s="687"/>
      <c r="L13" s="687"/>
      <c r="M13" s="687"/>
      <c r="N13" s="687"/>
    </row>
    <row r="14" spans="1:14">
      <c r="A14" s="366">
        <v>5</v>
      </c>
      <c r="B14" s="348" t="s">
        <v>192</v>
      </c>
      <c r="C14" s="502">
        <f>C15+C16+C17+C23+C24+C25+C26</f>
        <v>104624024.06999999</v>
      </c>
      <c r="D14" s="502">
        <f>D15+D16+D17+D23+D24+D25+D26</f>
        <v>511917525.30389988</v>
      </c>
      <c r="E14" s="503">
        <f t="shared" si="0"/>
        <v>616541549.37389994</v>
      </c>
      <c r="F14" s="502">
        <f>F15+F16+F17+F23+F24+F25+F26</f>
        <v>107462040.41</v>
      </c>
      <c r="G14" s="502">
        <f>G15+G16+G17+G23+G24+G25+G26</f>
        <v>315185747.72679996</v>
      </c>
      <c r="H14" s="504">
        <f t="shared" si="1"/>
        <v>422647788.13679993</v>
      </c>
      <c r="I14" s="687"/>
      <c r="J14" s="687"/>
      <c r="K14" s="687"/>
      <c r="L14" s="687"/>
      <c r="M14" s="687"/>
      <c r="N14" s="687"/>
    </row>
    <row r="15" spans="1:14">
      <c r="A15" s="366">
        <v>5.0999999999999996</v>
      </c>
      <c r="B15" s="349" t="s">
        <v>170</v>
      </c>
      <c r="C15" s="502">
        <v>2318393.54</v>
      </c>
      <c r="D15" s="502">
        <v>51468537.315700002</v>
      </c>
      <c r="E15" s="503">
        <f t="shared" si="0"/>
        <v>53786930.855700001</v>
      </c>
      <c r="F15" s="502">
        <v>2279088.41</v>
      </c>
      <c r="G15" s="502">
        <v>4400819.5894999998</v>
      </c>
      <c r="H15" s="504">
        <f t="shared" si="1"/>
        <v>6679907.9994999999</v>
      </c>
      <c r="I15" s="687"/>
      <c r="J15" s="687"/>
      <c r="K15" s="687"/>
      <c r="L15" s="687"/>
      <c r="M15" s="687"/>
      <c r="N15" s="687"/>
    </row>
    <row r="16" spans="1:14">
      <c r="A16" s="366">
        <v>5.2</v>
      </c>
      <c r="B16" s="349" t="s">
        <v>169</v>
      </c>
      <c r="C16" s="502"/>
      <c r="D16" s="502"/>
      <c r="E16" s="503">
        <f t="shared" si="0"/>
        <v>0</v>
      </c>
      <c r="F16" s="502"/>
      <c r="G16" s="502"/>
      <c r="H16" s="504">
        <f t="shared" si="1"/>
        <v>0</v>
      </c>
      <c r="I16" s="687"/>
      <c r="J16" s="687"/>
      <c r="K16" s="687"/>
      <c r="L16" s="687"/>
      <c r="M16" s="687"/>
      <c r="N16" s="687"/>
    </row>
    <row r="17" spans="1:14">
      <c r="A17" s="366">
        <v>5.3</v>
      </c>
      <c r="B17" s="349" t="s">
        <v>168</v>
      </c>
      <c r="C17" s="502">
        <f>C18+C19+C20+C21+C22</f>
        <v>25558852.579999998</v>
      </c>
      <c r="D17" s="502">
        <f>D18+D19+D20+D21+D22</f>
        <v>362923641.13879997</v>
      </c>
      <c r="E17" s="503">
        <f t="shared" si="0"/>
        <v>388482493.71879995</v>
      </c>
      <c r="F17" s="502">
        <f>F18+F19+F20+F21+F22</f>
        <v>34008852</v>
      </c>
      <c r="G17" s="502">
        <f>G18+G19+G20+G21+G22</f>
        <v>240500598.4533</v>
      </c>
      <c r="H17" s="504">
        <f t="shared" si="1"/>
        <v>274509450.4533</v>
      </c>
      <c r="I17" s="687"/>
      <c r="J17" s="687"/>
      <c r="K17" s="687"/>
      <c r="L17" s="687"/>
      <c r="M17" s="687"/>
      <c r="N17" s="687"/>
    </row>
    <row r="18" spans="1:14">
      <c r="A18" s="366" t="s">
        <v>15</v>
      </c>
      <c r="B18" s="350" t="s">
        <v>36</v>
      </c>
      <c r="C18" s="502">
        <v>1</v>
      </c>
      <c r="D18" s="502">
        <v>26051281.73</v>
      </c>
      <c r="E18" s="503">
        <f t="shared" si="0"/>
        <v>26051282.73</v>
      </c>
      <c r="F18" s="502">
        <v>1</v>
      </c>
      <c r="G18" s="502">
        <v>29192850.227299999</v>
      </c>
      <c r="H18" s="504">
        <f t="shared" si="1"/>
        <v>29192851.227299999</v>
      </c>
      <c r="I18" s="687"/>
      <c r="J18" s="687"/>
      <c r="K18" s="687"/>
      <c r="L18" s="687"/>
      <c r="M18" s="687"/>
      <c r="N18" s="687"/>
    </row>
    <row r="19" spans="1:14">
      <c r="A19" s="366" t="s">
        <v>16</v>
      </c>
      <c r="B19" s="350" t="s">
        <v>37</v>
      </c>
      <c r="C19" s="502">
        <v>167892</v>
      </c>
      <c r="D19" s="502">
        <v>246035694.51339999</v>
      </c>
      <c r="E19" s="503">
        <f t="shared" si="0"/>
        <v>246203586.51339999</v>
      </c>
      <c r="F19" s="502">
        <v>167892</v>
      </c>
      <c r="G19" s="502">
        <v>148485493.13789999</v>
      </c>
      <c r="H19" s="504">
        <f t="shared" si="1"/>
        <v>148653385.13789999</v>
      </c>
      <c r="I19" s="687"/>
      <c r="J19" s="687"/>
      <c r="K19" s="687"/>
      <c r="L19" s="687"/>
      <c r="M19" s="687"/>
      <c r="N19" s="687"/>
    </row>
    <row r="20" spans="1:14">
      <c r="A20" s="366" t="s">
        <v>17</v>
      </c>
      <c r="B20" s="350" t="s">
        <v>38</v>
      </c>
      <c r="C20" s="502">
        <v>0</v>
      </c>
      <c r="D20" s="502">
        <v>0</v>
      </c>
      <c r="E20" s="503">
        <f t="shared" si="0"/>
        <v>0</v>
      </c>
      <c r="F20" s="502"/>
      <c r="G20" s="502"/>
      <c r="H20" s="504">
        <f t="shared" si="1"/>
        <v>0</v>
      </c>
      <c r="I20" s="687"/>
      <c r="J20" s="687"/>
      <c r="K20" s="687"/>
      <c r="L20" s="687"/>
      <c r="M20" s="687"/>
      <c r="N20" s="687"/>
    </row>
    <row r="21" spans="1:14">
      <c r="A21" s="366" t="s">
        <v>18</v>
      </c>
      <c r="B21" s="350" t="s">
        <v>39</v>
      </c>
      <c r="C21" s="502">
        <v>40960.58</v>
      </c>
      <c r="D21" s="502">
        <v>65649479.954300001</v>
      </c>
      <c r="E21" s="503">
        <f t="shared" si="0"/>
        <v>65690440.534299999</v>
      </c>
      <c r="F21" s="502">
        <v>40960</v>
      </c>
      <c r="G21" s="502">
        <v>44547012.4036</v>
      </c>
      <c r="H21" s="504">
        <f t="shared" si="1"/>
        <v>44587972.4036</v>
      </c>
      <c r="I21" s="687"/>
      <c r="J21" s="687"/>
      <c r="K21" s="687"/>
      <c r="L21" s="687"/>
      <c r="M21" s="687"/>
      <c r="N21" s="687"/>
    </row>
    <row r="22" spans="1:14">
      <c r="A22" s="366" t="s">
        <v>19</v>
      </c>
      <c r="B22" s="350" t="s">
        <v>40</v>
      </c>
      <c r="C22" s="502">
        <v>25349999</v>
      </c>
      <c r="D22" s="502">
        <v>25187184.941100001</v>
      </c>
      <c r="E22" s="503">
        <f t="shared" si="0"/>
        <v>50537183.941100001</v>
      </c>
      <c r="F22" s="502">
        <v>33799999</v>
      </c>
      <c r="G22" s="502">
        <v>18275242.684500001</v>
      </c>
      <c r="H22" s="504">
        <f t="shared" si="1"/>
        <v>52075241.684500001</v>
      </c>
      <c r="I22" s="687"/>
      <c r="J22" s="687"/>
      <c r="K22" s="687"/>
      <c r="L22" s="687"/>
      <c r="M22" s="687"/>
      <c r="N22" s="687"/>
    </row>
    <row r="23" spans="1:14">
      <c r="A23" s="366">
        <v>5.4</v>
      </c>
      <c r="B23" s="349" t="s">
        <v>171</v>
      </c>
      <c r="C23" s="502">
        <v>4311601</v>
      </c>
      <c r="D23" s="502">
        <v>39329320.325300001</v>
      </c>
      <c r="E23" s="503">
        <f t="shared" si="0"/>
        <v>43640921.325300001</v>
      </c>
      <c r="F23" s="502">
        <v>7911600</v>
      </c>
      <c r="G23" s="502">
        <v>35661999.082500003</v>
      </c>
      <c r="H23" s="504">
        <f t="shared" si="1"/>
        <v>43573599.082500003</v>
      </c>
      <c r="I23" s="687"/>
      <c r="J23" s="687"/>
      <c r="K23" s="687"/>
      <c r="L23" s="687"/>
      <c r="M23" s="687"/>
      <c r="N23" s="687"/>
    </row>
    <row r="24" spans="1:14">
      <c r="A24" s="366">
        <v>5.5</v>
      </c>
      <c r="B24" s="349" t="s">
        <v>172</v>
      </c>
      <c r="C24" s="502">
        <v>0</v>
      </c>
      <c r="D24" s="502">
        <v>61.544800000000002</v>
      </c>
      <c r="E24" s="503">
        <f t="shared" si="0"/>
        <v>61.544800000000002</v>
      </c>
      <c r="F24" s="502">
        <v>0</v>
      </c>
      <c r="G24" s="502">
        <v>75.468599999999995</v>
      </c>
      <c r="H24" s="504">
        <f t="shared" si="1"/>
        <v>75.468599999999995</v>
      </c>
      <c r="I24" s="687"/>
      <c r="J24" s="687"/>
      <c r="K24" s="687"/>
      <c r="L24" s="687"/>
      <c r="M24" s="687"/>
      <c r="N24" s="687"/>
    </row>
    <row r="25" spans="1:14">
      <c r="A25" s="366">
        <v>5.6</v>
      </c>
      <c r="B25" s="349" t="s">
        <v>173</v>
      </c>
      <c r="C25" s="502">
        <v>0</v>
      </c>
      <c r="D25" s="502">
        <v>15730831.499199999</v>
      </c>
      <c r="E25" s="503">
        <f t="shared" si="0"/>
        <v>15730831.499199999</v>
      </c>
      <c r="F25" s="502"/>
      <c r="G25" s="502"/>
      <c r="H25" s="504">
        <f t="shared" si="1"/>
        <v>0</v>
      </c>
      <c r="I25" s="687"/>
      <c r="J25" s="687"/>
      <c r="K25" s="687"/>
      <c r="L25" s="687"/>
      <c r="M25" s="687"/>
      <c r="N25" s="687"/>
    </row>
    <row r="26" spans="1:14">
      <c r="A26" s="366">
        <v>5.7</v>
      </c>
      <c r="B26" s="349" t="s">
        <v>40</v>
      </c>
      <c r="C26" s="502">
        <v>72435176.950000003</v>
      </c>
      <c r="D26" s="502">
        <v>42465133.480099998</v>
      </c>
      <c r="E26" s="503">
        <f t="shared" si="0"/>
        <v>114900310.43009999</v>
      </c>
      <c r="F26" s="502">
        <v>63262500</v>
      </c>
      <c r="G26" s="502">
        <v>34622255.1329</v>
      </c>
      <c r="H26" s="504">
        <f t="shared" si="1"/>
        <v>97884755.1329</v>
      </c>
      <c r="I26" s="687"/>
      <c r="J26" s="687"/>
      <c r="K26" s="687"/>
      <c r="L26" s="687"/>
      <c r="M26" s="687"/>
      <c r="N26" s="687"/>
    </row>
    <row r="27" spans="1:14">
      <c r="A27" s="366">
        <v>6</v>
      </c>
      <c r="B27" s="505" t="s">
        <v>622</v>
      </c>
      <c r="C27" s="502">
        <v>2041208.1700000002</v>
      </c>
      <c r="D27" s="502">
        <v>19217118.318999998</v>
      </c>
      <c r="E27" s="503">
        <f t="shared" si="0"/>
        <v>21258326.489</v>
      </c>
      <c r="F27" s="502">
        <v>8309708.3600000003</v>
      </c>
      <c r="G27" s="502">
        <v>3521623.1697999993</v>
      </c>
      <c r="H27" s="504">
        <f t="shared" si="1"/>
        <v>11831331.5298</v>
      </c>
      <c r="I27" s="687"/>
      <c r="J27" s="687"/>
      <c r="K27" s="687"/>
      <c r="L27" s="687"/>
      <c r="M27" s="687"/>
      <c r="N27" s="687"/>
    </row>
    <row r="28" spans="1:14">
      <c r="A28" s="366">
        <v>7</v>
      </c>
      <c r="B28" s="505" t="s">
        <v>623</v>
      </c>
      <c r="C28" s="502">
        <v>24851782.68</v>
      </c>
      <c r="D28" s="502">
        <v>31069275.936700001</v>
      </c>
      <c r="E28" s="503">
        <f t="shared" si="0"/>
        <v>55921058.616700001</v>
      </c>
      <c r="F28" s="502">
        <v>39657664.020000003</v>
      </c>
      <c r="G28" s="502">
        <v>35345601.748999998</v>
      </c>
      <c r="H28" s="504">
        <f t="shared" si="1"/>
        <v>75003265.768999994</v>
      </c>
      <c r="I28" s="687"/>
      <c r="J28" s="687"/>
      <c r="K28" s="687"/>
      <c r="L28" s="687"/>
      <c r="M28" s="687"/>
      <c r="N28" s="687"/>
    </row>
    <row r="29" spans="1:14">
      <c r="A29" s="366">
        <v>8</v>
      </c>
      <c r="B29" s="505" t="s">
        <v>181</v>
      </c>
      <c r="C29" s="502">
        <v>0</v>
      </c>
      <c r="D29" s="502">
        <v>1188550.8223999999</v>
      </c>
      <c r="E29" s="503">
        <f t="shared" si="0"/>
        <v>1188550.8223999999</v>
      </c>
      <c r="F29" s="502">
        <v>0</v>
      </c>
      <c r="G29" s="502">
        <v>0</v>
      </c>
      <c r="H29" s="504">
        <f t="shared" si="1"/>
        <v>0</v>
      </c>
      <c r="I29" s="687"/>
      <c r="J29" s="687"/>
      <c r="K29" s="687"/>
      <c r="L29" s="687"/>
      <c r="M29" s="687"/>
      <c r="N29" s="687"/>
    </row>
    <row r="30" spans="1:14">
      <c r="A30" s="366">
        <v>9</v>
      </c>
      <c r="B30" s="506" t="s">
        <v>198</v>
      </c>
      <c r="C30" s="502">
        <f>C31+C32+C33+C34+C35+C36+C37</f>
        <v>84600469.780000001</v>
      </c>
      <c r="D30" s="502">
        <f>D31+D32+D33+D34+D35+D36+D37</f>
        <v>214611675.09750003</v>
      </c>
      <c r="E30" s="503">
        <f t="shared" si="0"/>
        <v>299212144.87750006</v>
      </c>
      <c r="F30" s="502">
        <f>F31+F32+F33+F34+F35+F36+F37</f>
        <v>88027110.210000008</v>
      </c>
      <c r="G30" s="502">
        <f>G31+G32+G33+G34+G35+G36+G37</f>
        <v>230230827.76069999</v>
      </c>
      <c r="H30" s="504">
        <f t="shared" si="1"/>
        <v>318257937.97070003</v>
      </c>
      <c r="I30" s="687"/>
      <c r="J30" s="687"/>
      <c r="K30" s="687"/>
      <c r="L30" s="687"/>
      <c r="M30" s="687"/>
      <c r="N30" s="687"/>
    </row>
    <row r="31" spans="1:14">
      <c r="A31" s="366">
        <v>9.1</v>
      </c>
      <c r="B31" s="351" t="s">
        <v>188</v>
      </c>
      <c r="C31" s="502">
        <v>36770507.280000001</v>
      </c>
      <c r="D31" s="502">
        <v>112856455.77680001</v>
      </c>
      <c r="E31" s="503">
        <f t="shared" si="0"/>
        <v>149626963.05680001</v>
      </c>
      <c r="F31" s="502">
        <v>38363814.810000002</v>
      </c>
      <c r="G31" s="502">
        <v>121022747.76069999</v>
      </c>
      <c r="H31" s="504">
        <f t="shared" si="1"/>
        <v>159386562.57069999</v>
      </c>
      <c r="I31" s="687"/>
      <c r="J31" s="687"/>
      <c r="K31" s="687"/>
      <c r="L31" s="687"/>
      <c r="M31" s="687"/>
      <c r="N31" s="687"/>
    </row>
    <row r="32" spans="1:14">
      <c r="A32" s="366">
        <v>9.1999999999999993</v>
      </c>
      <c r="B32" s="351" t="s">
        <v>189</v>
      </c>
      <c r="C32" s="502">
        <v>47829962.5</v>
      </c>
      <c r="D32" s="502">
        <v>101755219.3207</v>
      </c>
      <c r="E32" s="503">
        <f t="shared" si="0"/>
        <v>149585181.82069999</v>
      </c>
      <c r="F32" s="502">
        <v>49663295.399999999</v>
      </c>
      <c r="G32" s="502">
        <v>109208080</v>
      </c>
      <c r="H32" s="504">
        <f t="shared" si="1"/>
        <v>158871375.40000001</v>
      </c>
      <c r="I32" s="687"/>
      <c r="J32" s="687"/>
      <c r="K32" s="687"/>
      <c r="L32" s="687"/>
      <c r="M32" s="687"/>
      <c r="N32" s="687"/>
    </row>
    <row r="33" spans="1:14">
      <c r="A33" s="366">
        <v>9.3000000000000007</v>
      </c>
      <c r="B33" s="351" t="s">
        <v>185</v>
      </c>
      <c r="C33" s="502"/>
      <c r="D33" s="502"/>
      <c r="E33" s="503">
        <f t="shared" si="0"/>
        <v>0</v>
      </c>
      <c r="F33" s="502"/>
      <c r="G33" s="502"/>
      <c r="H33" s="504">
        <f t="shared" si="1"/>
        <v>0</v>
      </c>
      <c r="I33" s="687"/>
      <c r="J33" s="687"/>
      <c r="K33" s="687"/>
      <c r="L33" s="687"/>
      <c r="M33" s="687"/>
      <c r="N33" s="687"/>
    </row>
    <row r="34" spans="1:14">
      <c r="A34" s="366">
        <v>9.4</v>
      </c>
      <c r="B34" s="351" t="s">
        <v>186</v>
      </c>
      <c r="C34" s="502"/>
      <c r="D34" s="502"/>
      <c r="E34" s="503">
        <f t="shared" si="0"/>
        <v>0</v>
      </c>
      <c r="F34" s="502"/>
      <c r="G34" s="502"/>
      <c r="H34" s="504">
        <f t="shared" si="1"/>
        <v>0</v>
      </c>
      <c r="I34" s="687"/>
      <c r="J34" s="687"/>
      <c r="K34" s="687"/>
      <c r="L34" s="687"/>
      <c r="M34" s="687"/>
      <c r="N34" s="687"/>
    </row>
    <row r="35" spans="1:14">
      <c r="A35" s="366">
        <v>9.5</v>
      </c>
      <c r="B35" s="351" t="s">
        <v>187</v>
      </c>
      <c r="C35" s="502"/>
      <c r="D35" s="502"/>
      <c r="E35" s="503">
        <f t="shared" si="0"/>
        <v>0</v>
      </c>
      <c r="F35" s="502"/>
      <c r="G35" s="502"/>
      <c r="H35" s="504">
        <f t="shared" si="1"/>
        <v>0</v>
      </c>
      <c r="I35" s="687"/>
      <c r="J35" s="687"/>
      <c r="K35" s="687"/>
      <c r="L35" s="687"/>
      <c r="M35" s="687"/>
      <c r="N35" s="687"/>
    </row>
    <row r="36" spans="1:14">
      <c r="A36" s="366">
        <v>9.6</v>
      </c>
      <c r="B36" s="351" t="s">
        <v>190</v>
      </c>
      <c r="C36" s="502"/>
      <c r="D36" s="502"/>
      <c r="E36" s="503">
        <f t="shared" si="0"/>
        <v>0</v>
      </c>
      <c r="F36" s="502"/>
      <c r="G36" s="502"/>
      <c r="H36" s="504">
        <f t="shared" si="1"/>
        <v>0</v>
      </c>
      <c r="I36" s="687"/>
      <c r="J36" s="687"/>
      <c r="K36" s="687"/>
      <c r="L36" s="687"/>
      <c r="M36" s="687"/>
      <c r="N36" s="687"/>
    </row>
    <row r="37" spans="1:14">
      <c r="A37" s="366">
        <v>9.6999999999999993</v>
      </c>
      <c r="B37" s="351" t="s">
        <v>191</v>
      </c>
      <c r="C37" s="502"/>
      <c r="D37" s="502"/>
      <c r="E37" s="503">
        <f t="shared" si="0"/>
        <v>0</v>
      </c>
      <c r="F37" s="502"/>
      <c r="G37" s="502"/>
      <c r="H37" s="504">
        <f t="shared" si="1"/>
        <v>0</v>
      </c>
      <c r="I37" s="687"/>
      <c r="J37" s="687"/>
      <c r="K37" s="687"/>
      <c r="L37" s="687"/>
      <c r="M37" s="687"/>
      <c r="N37" s="687"/>
    </row>
    <row r="38" spans="1:14">
      <c r="A38" s="366">
        <v>10</v>
      </c>
      <c r="B38" s="348" t="s">
        <v>194</v>
      </c>
      <c r="C38" s="509">
        <f>C41+C42</f>
        <v>16019374</v>
      </c>
      <c r="D38" s="509">
        <f>D41+D42</f>
        <v>193679</v>
      </c>
      <c r="E38" s="507">
        <f t="shared" si="0"/>
        <v>16213053</v>
      </c>
      <c r="F38" s="509">
        <f>F41+F42</f>
        <v>21935979.93</v>
      </c>
      <c r="G38" s="509">
        <f>G41+G42</f>
        <v>22466755.2762</v>
      </c>
      <c r="H38" s="504">
        <f t="shared" si="1"/>
        <v>44402735.206200004</v>
      </c>
      <c r="I38" s="687"/>
      <c r="J38" s="687"/>
      <c r="K38" s="687"/>
      <c r="L38" s="687"/>
      <c r="M38" s="687"/>
      <c r="N38" s="687"/>
    </row>
    <row r="39" spans="1:14">
      <c r="A39" s="366">
        <v>10.1</v>
      </c>
      <c r="B39" s="351" t="s">
        <v>195</v>
      </c>
      <c r="C39" s="502">
        <v>0</v>
      </c>
      <c r="D39" s="502">
        <v>0</v>
      </c>
      <c r="E39" s="503">
        <f t="shared" si="0"/>
        <v>0</v>
      </c>
      <c r="F39" s="502">
        <v>1425109.48</v>
      </c>
      <c r="G39" s="502">
        <v>0</v>
      </c>
      <c r="H39" s="504">
        <f t="shared" si="1"/>
        <v>1425109.48</v>
      </c>
      <c r="I39" s="687"/>
      <c r="J39" s="687"/>
      <c r="K39" s="687"/>
      <c r="L39" s="687"/>
      <c r="M39" s="687"/>
      <c r="N39" s="687"/>
    </row>
    <row r="40" spans="1:14">
      <c r="A40" s="366">
        <v>10.199999999999999</v>
      </c>
      <c r="B40" s="351" t="s">
        <v>196</v>
      </c>
      <c r="C40" s="502">
        <v>0</v>
      </c>
      <c r="D40" s="502">
        <v>0</v>
      </c>
      <c r="E40" s="503">
        <f t="shared" si="0"/>
        <v>0</v>
      </c>
      <c r="F40" s="502">
        <v>1857417.02</v>
      </c>
      <c r="G40" s="502">
        <v>2202952.8791999999</v>
      </c>
      <c r="H40" s="504">
        <f t="shared" si="1"/>
        <v>4060369.8991999999</v>
      </c>
      <c r="I40" s="687"/>
      <c r="J40" s="687"/>
      <c r="K40" s="687"/>
      <c r="L40" s="687"/>
      <c r="M40" s="687"/>
      <c r="N40" s="687"/>
    </row>
    <row r="41" spans="1:14">
      <c r="A41" s="366">
        <v>10.3</v>
      </c>
      <c r="B41" s="351" t="s">
        <v>199</v>
      </c>
      <c r="C41" s="502">
        <v>574405</v>
      </c>
      <c r="D41" s="502">
        <v>0</v>
      </c>
      <c r="E41" s="503">
        <f t="shared" si="0"/>
        <v>574405</v>
      </c>
      <c r="F41" s="502">
        <v>7859251.3300000001</v>
      </c>
      <c r="G41" s="502">
        <v>0</v>
      </c>
      <c r="H41" s="504">
        <f t="shared" si="1"/>
        <v>7859251.3300000001</v>
      </c>
      <c r="I41" s="687"/>
      <c r="J41" s="687"/>
      <c r="K41" s="687"/>
      <c r="L41" s="687"/>
      <c r="M41" s="687"/>
      <c r="N41" s="687"/>
    </row>
    <row r="42" spans="1:14" ht="26.4">
      <c r="A42" s="366">
        <v>10.4</v>
      </c>
      <c r="B42" s="351" t="s">
        <v>200</v>
      </c>
      <c r="C42" s="502">
        <v>15444969</v>
      </c>
      <c r="D42" s="502">
        <v>193679</v>
      </c>
      <c r="E42" s="503">
        <f t="shared" si="0"/>
        <v>15638648</v>
      </c>
      <c r="F42" s="502">
        <v>14076728.6</v>
      </c>
      <c r="G42" s="502">
        <v>22466755.2762</v>
      </c>
      <c r="H42" s="504">
        <f t="shared" si="1"/>
        <v>36543483.876199998</v>
      </c>
      <c r="I42" s="687"/>
      <c r="J42" s="687"/>
      <c r="K42" s="687"/>
      <c r="L42" s="687"/>
      <c r="M42" s="687"/>
      <c r="N42" s="687"/>
    </row>
    <row r="43" spans="1:14" ht="14.4" thickBot="1">
      <c r="A43" s="366">
        <v>11</v>
      </c>
      <c r="B43" s="109" t="s">
        <v>197</v>
      </c>
      <c r="C43" s="502"/>
      <c r="D43" s="502"/>
      <c r="E43" s="503">
        <f t="shared" si="0"/>
        <v>0</v>
      </c>
      <c r="F43" s="502"/>
      <c r="G43" s="502"/>
      <c r="H43" s="504">
        <f t="shared" si="1"/>
        <v>0</v>
      </c>
      <c r="I43" s="687"/>
      <c r="J43" s="687"/>
      <c r="K43" s="687"/>
      <c r="L43" s="687"/>
      <c r="M43" s="687"/>
      <c r="N43" s="687"/>
    </row>
    <row r="44" spans="1:14">
      <c r="C44" s="352"/>
      <c r="D44" s="352"/>
      <c r="E44" s="352"/>
      <c r="F44" s="352"/>
      <c r="G44" s="352"/>
      <c r="H44" s="352"/>
    </row>
    <row r="45" spans="1:14">
      <c r="C45" s="352"/>
      <c r="D45" s="352"/>
      <c r="E45" s="352"/>
      <c r="F45" s="352"/>
      <c r="G45" s="352"/>
      <c r="H45" s="352"/>
    </row>
    <row r="46" spans="1:14">
      <c r="C46" s="352"/>
      <c r="D46" s="352"/>
      <c r="E46" s="352"/>
      <c r="F46" s="352"/>
      <c r="G46" s="352"/>
      <c r="H46" s="352"/>
    </row>
    <row r="47" spans="1:14">
      <c r="C47" s="352"/>
      <c r="D47" s="352"/>
      <c r="E47" s="352"/>
      <c r="F47" s="352"/>
      <c r="G47" s="352"/>
      <c r="H47" s="352"/>
    </row>
  </sheetData>
  <mergeCells count="4">
    <mergeCell ref="A4:A5"/>
    <mergeCell ref="B4:B5"/>
    <mergeCell ref="C4:E4"/>
    <mergeCell ref="F4:H4"/>
  </mergeCells>
  <pageMargins left="0.7" right="0.7" top="0.75" bottom="0.75" header="0.3" footer="0.3"/>
  <pageSetup paperSize="9" orientation="portrait" r:id="rId1"/>
  <headerFooter>
    <oddFooter>&amp;C_x000D_&amp;1#&amp;"Calibri"&amp;10&amp;K000000 C1 - FOR INTERNAL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25" sqref="C25"/>
    </sheetView>
  </sheetViews>
  <sheetFormatPr defaultColWidth="9.21875" defaultRowHeight="13.2"/>
  <cols>
    <col min="1" max="1" width="9.5546875" style="4" bestFit="1" customWidth="1"/>
    <col min="2" max="2" width="93.5546875" style="4" customWidth="1"/>
    <col min="3" max="4" width="12.33203125" style="4" customWidth="1"/>
    <col min="5" max="7" width="12.33203125" style="15" customWidth="1"/>
    <col min="8" max="11" width="9.77734375" style="15" customWidth="1"/>
    <col min="12" max="16384" width="9.21875" style="15"/>
  </cols>
  <sheetData>
    <row r="1" spans="1:13">
      <c r="A1" s="2" t="s">
        <v>30</v>
      </c>
      <c r="B1" s="3" t="str">
        <f>'Info '!C2</f>
        <v xml:space="preserve">PASHA Bank Georgia JSC </v>
      </c>
      <c r="C1" s="3"/>
    </row>
    <row r="2" spans="1:13">
      <c r="A2" s="2" t="s">
        <v>31</v>
      </c>
      <c r="B2" s="269">
        <f>'1. key ratios '!B2</f>
        <v>45747</v>
      </c>
      <c r="C2" s="3"/>
    </row>
    <row r="3" spans="1:13">
      <c r="A3" s="2"/>
      <c r="B3" s="3"/>
      <c r="C3" s="3"/>
    </row>
    <row r="4" spans="1:13" ht="15" customHeight="1" thickBot="1">
      <c r="A4" s="4" t="s">
        <v>96</v>
      </c>
      <c r="B4" s="86" t="s">
        <v>174</v>
      </c>
      <c r="C4" s="18" t="s">
        <v>35</v>
      </c>
    </row>
    <row r="5" spans="1:13" ht="15" customHeight="1">
      <c r="A5" s="131" t="s">
        <v>6</v>
      </c>
      <c r="B5" s="132"/>
      <c r="C5" s="267" t="str">
        <f>INT((MONTH($B$2))/3)&amp;"Q"&amp;"-"&amp;YEAR($B$2)</f>
        <v>1Q-2025</v>
      </c>
      <c r="D5" s="267" t="str">
        <f>IF(INT(MONTH($B$2))=3, "4"&amp;"Q"&amp;"-"&amp;YEAR($B$2)-1, IF(INT(MONTH($B$2))=6, "1"&amp;"Q"&amp;"-"&amp;YEAR($B$2), IF(INT(MONTH($B$2))=9, "2"&amp;"Q"&amp;"-"&amp;YEAR($B$2),IF(INT(MONTH($B$2))=12, "3"&amp;"Q"&amp;"-"&amp;YEAR($B$2), 0))))</f>
        <v>4Q-2024</v>
      </c>
      <c r="E5" s="267" t="str">
        <f>IF(INT(MONTH($B$2))=3, "3"&amp;"Q"&amp;"-"&amp;YEAR($B$2)-1, IF(INT(MONTH($B$2))=6, "4"&amp;"Q"&amp;"-"&amp;YEAR($B$2)-1, IF(INT(MONTH($B$2))=9, "1"&amp;"Q"&amp;"-"&amp;YEAR($B$2),IF(INT(MONTH($B$2))=12, "2"&amp;"Q"&amp;"-"&amp;YEAR($B$2), 0))))</f>
        <v>3Q-2024</v>
      </c>
      <c r="F5" s="267" t="str">
        <f>IF(INT(MONTH($B$2))=3, "2"&amp;"Q"&amp;"-"&amp;YEAR($B$2)-1, IF(INT(MONTH($B$2))=6, "3"&amp;"Q"&amp;"-"&amp;YEAR($B$2)-1, IF(INT(MONTH($B$2))=9, "4"&amp;"Q"&amp;"-"&amp;YEAR($B$2)-1,IF(INT(MONTH($B$2))=12, "1"&amp;"Q"&amp;"-"&amp;YEAR($B$2), 0))))</f>
        <v>2Q-2024</v>
      </c>
      <c r="G5" s="268" t="str">
        <f>IF(INT(MONTH($B$2))=3, "1"&amp;"Q"&amp;"-"&amp;YEAR($B$2)-1, IF(INT(MONTH($B$2))=6, "2"&amp;"Q"&amp;"-"&amp;YEAR($B$2)-1, IF(INT(MONTH($B$2))=9, "3"&amp;"Q"&amp;"-"&amp;YEAR($B$2)-1,IF(INT(MONTH($B$2))=12, "4"&amp;"Q"&amp;"-"&amp;YEAR($B$2)-1, 0))))</f>
        <v>1Q-2024</v>
      </c>
    </row>
    <row r="6" spans="1:13" ht="15" customHeight="1">
      <c r="A6" s="19">
        <v>1</v>
      </c>
      <c r="B6" s="221" t="s">
        <v>178</v>
      </c>
      <c r="C6" s="262">
        <f>C7+C9+C10</f>
        <v>547179259.45317447</v>
      </c>
      <c r="D6" s="263">
        <f>D7+D9+D10</f>
        <v>557912289</v>
      </c>
      <c r="E6" s="223">
        <f t="shared" ref="E6:G6" si="0">E7+E9+E10</f>
        <v>532723318</v>
      </c>
      <c r="F6" s="262">
        <f t="shared" si="0"/>
        <v>531594203</v>
      </c>
      <c r="G6" s="265">
        <f t="shared" si="0"/>
        <v>486148202</v>
      </c>
      <c r="H6" s="584"/>
      <c r="I6" s="584"/>
      <c r="J6" s="584"/>
      <c r="K6" s="584"/>
      <c r="L6" s="584"/>
      <c r="M6" s="584"/>
    </row>
    <row r="7" spans="1:13" ht="15" customHeight="1">
      <c r="A7" s="19">
        <v>1.1000000000000001</v>
      </c>
      <c r="B7" s="221" t="s">
        <v>745</v>
      </c>
      <c r="C7" s="581">
        <v>513414045.70438999</v>
      </c>
      <c r="D7" s="582">
        <v>523377407</v>
      </c>
      <c r="E7" s="581">
        <v>490354565</v>
      </c>
      <c r="F7" s="581">
        <v>493078309</v>
      </c>
      <c r="G7" s="583">
        <v>440791399</v>
      </c>
      <c r="H7" s="584"/>
      <c r="I7" s="584"/>
      <c r="J7" s="584"/>
      <c r="K7" s="584"/>
      <c r="L7" s="584"/>
      <c r="M7" s="584"/>
    </row>
    <row r="8" spans="1:13">
      <c r="A8" s="19" t="s">
        <v>14</v>
      </c>
      <c r="B8" s="221" t="s">
        <v>95</v>
      </c>
      <c r="C8" s="581"/>
      <c r="D8" s="582"/>
      <c r="E8" s="581"/>
      <c r="F8" s="581"/>
      <c r="G8" s="583"/>
      <c r="H8" s="584"/>
      <c r="I8" s="584"/>
      <c r="J8" s="584"/>
      <c r="K8" s="584"/>
      <c r="L8" s="584"/>
      <c r="M8" s="584"/>
    </row>
    <row r="9" spans="1:13" ht="15" customHeight="1">
      <c r="A9" s="19">
        <v>1.2</v>
      </c>
      <c r="B9" s="222" t="s">
        <v>94</v>
      </c>
      <c r="C9" s="581">
        <v>33153849.225784499</v>
      </c>
      <c r="D9" s="582">
        <v>33164663</v>
      </c>
      <c r="E9" s="581">
        <v>40956395</v>
      </c>
      <c r="F9" s="581">
        <v>37135997</v>
      </c>
      <c r="G9" s="583">
        <v>43415261</v>
      </c>
      <c r="H9" s="584"/>
      <c r="I9" s="584"/>
      <c r="J9" s="584"/>
      <c r="K9" s="584"/>
      <c r="L9" s="584"/>
      <c r="M9" s="584"/>
    </row>
    <row r="10" spans="1:13" ht="15" customHeight="1">
      <c r="A10" s="19">
        <v>1.3</v>
      </c>
      <c r="B10" s="221" t="s">
        <v>28</v>
      </c>
      <c r="C10" s="581">
        <v>611364.52299999993</v>
      </c>
      <c r="D10" s="582">
        <v>1370219</v>
      </c>
      <c r="E10" s="581">
        <v>1412358</v>
      </c>
      <c r="F10" s="581">
        <v>1379897</v>
      </c>
      <c r="G10" s="583">
        <v>1941542</v>
      </c>
      <c r="H10" s="584"/>
      <c r="I10" s="584"/>
      <c r="J10" s="584"/>
      <c r="K10" s="584"/>
      <c r="L10" s="584"/>
      <c r="M10" s="584"/>
    </row>
    <row r="11" spans="1:13" ht="15" customHeight="1">
      <c r="A11" s="19">
        <v>2</v>
      </c>
      <c r="B11" s="221" t="s">
        <v>175</v>
      </c>
      <c r="C11" s="581">
        <v>729412.21164619329</v>
      </c>
      <c r="D11" s="582">
        <v>2449693</v>
      </c>
      <c r="E11" s="581">
        <v>2278077</v>
      </c>
      <c r="F11" s="581">
        <v>1876606</v>
      </c>
      <c r="G11" s="583">
        <v>5665507</v>
      </c>
      <c r="H11" s="584"/>
      <c r="I11" s="584"/>
      <c r="J11" s="584"/>
      <c r="K11" s="584"/>
      <c r="L11" s="584"/>
      <c r="M11" s="584"/>
    </row>
    <row r="12" spans="1:13" ht="15" customHeight="1">
      <c r="A12" s="19">
        <v>3</v>
      </c>
      <c r="B12" s="221" t="s">
        <v>176</v>
      </c>
      <c r="C12" s="581">
        <v>77450981.25</v>
      </c>
      <c r="D12" s="582">
        <v>77450981</v>
      </c>
      <c r="E12" s="581">
        <v>66393322</v>
      </c>
      <c r="F12" s="581">
        <v>66393322</v>
      </c>
      <c r="G12" s="583">
        <v>66393322</v>
      </c>
      <c r="H12" s="584"/>
      <c r="I12" s="584"/>
      <c r="J12" s="584"/>
      <c r="K12" s="584"/>
      <c r="L12" s="584"/>
      <c r="M12" s="584"/>
    </row>
    <row r="13" spans="1:13" ht="15" customHeight="1" thickBot="1">
      <c r="A13" s="21">
        <v>4</v>
      </c>
      <c r="B13" s="22" t="s">
        <v>177</v>
      </c>
      <c r="C13" s="224">
        <f>C6+C11+C12</f>
        <v>625359652.91482067</v>
      </c>
      <c r="D13" s="264">
        <f>D6+D11+D12</f>
        <v>637812963</v>
      </c>
      <c r="E13" s="225">
        <f t="shared" ref="E13:G13" si="1">E6+E11+E12</f>
        <v>601394717</v>
      </c>
      <c r="F13" s="224">
        <f t="shared" si="1"/>
        <v>599864131</v>
      </c>
      <c r="G13" s="266">
        <f t="shared" si="1"/>
        <v>558207031</v>
      </c>
      <c r="H13" s="584"/>
      <c r="I13" s="584"/>
      <c r="J13" s="584"/>
      <c r="K13" s="584"/>
      <c r="L13" s="584"/>
      <c r="M13" s="584"/>
    </row>
    <row r="14" spans="1:13">
      <c r="B14" s="25"/>
    </row>
    <row r="15" spans="1:13">
      <c r="B15" s="25"/>
    </row>
    <row r="16" spans="1:13">
      <c r="B16" s="25"/>
    </row>
    <row r="17" s="15" customFormat="1" ht="10.199999999999999"/>
    <row r="18" s="15" customFormat="1" ht="10.199999999999999"/>
    <row r="19" s="15" customFormat="1" ht="10.199999999999999"/>
    <row r="20" s="15" customFormat="1" ht="10.199999999999999"/>
    <row r="21" s="15" customFormat="1" ht="10.199999999999999"/>
    <row r="22" s="15" customFormat="1" ht="10.199999999999999"/>
    <row r="23" s="15" customFormat="1" ht="10.199999999999999"/>
    <row r="24" s="15" customFormat="1" ht="10.199999999999999"/>
    <row r="25" s="15" customFormat="1" ht="10.199999999999999"/>
    <row r="26" s="15" customFormat="1" ht="10.199999999999999"/>
    <row r="27" s="15" customFormat="1" ht="10.199999999999999"/>
    <row r="28" s="15" customFormat="1" ht="10.199999999999999"/>
    <row r="29" s="15" customFormat="1" ht="10.199999999999999"/>
  </sheetData>
  <pageMargins left="0.7" right="0.7" top="0.75" bottom="0.75" header="0.3" footer="0.3"/>
  <pageSetup paperSize="9" orientation="portrait" r:id="rId1"/>
  <headerFooter>
    <oddFooter>&amp;C_x000D_&amp;1#&amp;"Calibri"&amp;10&amp;K000000 C1 - FOR INTERNAL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6"/>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F37" sqref="F37"/>
    </sheetView>
  </sheetViews>
  <sheetFormatPr defaultColWidth="9.21875" defaultRowHeight="13.8"/>
  <cols>
    <col min="1" max="1" width="9.5546875" style="4" bestFit="1" customWidth="1"/>
    <col min="2" max="2" width="65.5546875" style="4" customWidth="1"/>
    <col min="3" max="3" width="49.21875" style="4" bestFit="1" customWidth="1"/>
    <col min="4" max="16384" width="9.21875" style="5"/>
  </cols>
  <sheetData>
    <row r="1" spans="1:8">
      <c r="A1" s="2" t="s">
        <v>30</v>
      </c>
      <c r="B1" s="3" t="str">
        <f>'Info '!C2</f>
        <v xml:space="preserve">PASHA Bank Georgia JSC </v>
      </c>
    </row>
    <row r="2" spans="1:8">
      <c r="A2" s="2" t="s">
        <v>31</v>
      </c>
      <c r="B2" s="269">
        <f>'1. key ratios '!B2</f>
        <v>45747</v>
      </c>
    </row>
    <row r="4" spans="1:8" ht="28.05" customHeight="1" thickBot="1">
      <c r="A4" s="26" t="s">
        <v>41</v>
      </c>
      <c r="B4" s="27" t="s">
        <v>151</v>
      </c>
      <c r="C4" s="28"/>
    </row>
    <row r="5" spans="1:8">
      <c r="A5" s="29"/>
      <c r="B5" s="257" t="s">
        <v>42</v>
      </c>
      <c r="C5" s="258" t="s">
        <v>335</v>
      </c>
    </row>
    <row r="6" spans="1:8">
      <c r="A6" s="30">
        <v>1</v>
      </c>
      <c r="B6" s="31" t="s">
        <v>756</v>
      </c>
      <c r="C6" s="32" t="s">
        <v>760</v>
      </c>
    </row>
    <row r="7" spans="1:8">
      <c r="A7" s="30">
        <v>2</v>
      </c>
      <c r="B7" s="31" t="s">
        <v>757</v>
      </c>
      <c r="C7" s="32" t="s">
        <v>761</v>
      </c>
    </row>
    <row r="8" spans="1:8">
      <c r="A8" s="30">
        <v>3</v>
      </c>
      <c r="B8" s="31" t="s">
        <v>758</v>
      </c>
      <c r="C8" s="32" t="s">
        <v>761</v>
      </c>
    </row>
    <row r="9" spans="1:8">
      <c r="A9" s="30">
        <v>4</v>
      </c>
      <c r="B9" s="31" t="s">
        <v>759</v>
      </c>
      <c r="C9" s="32" t="s">
        <v>760</v>
      </c>
    </row>
    <row r="10" spans="1:8">
      <c r="A10" s="30">
        <v>5</v>
      </c>
      <c r="B10" s="31" t="s">
        <v>753</v>
      </c>
      <c r="C10" s="32" t="s">
        <v>762</v>
      </c>
    </row>
    <row r="11" spans="1:8">
      <c r="A11" s="30">
        <v>6</v>
      </c>
      <c r="B11" s="31"/>
      <c r="C11" s="32"/>
    </row>
    <row r="12" spans="1:8">
      <c r="A12" s="30">
        <v>7</v>
      </c>
      <c r="B12" s="31"/>
      <c r="C12" s="32"/>
      <c r="H12" s="33"/>
    </row>
    <row r="13" spans="1:8">
      <c r="A13" s="30">
        <v>8</v>
      </c>
      <c r="B13" s="31"/>
      <c r="C13" s="32"/>
    </row>
    <row r="14" spans="1:8">
      <c r="A14" s="30">
        <v>9</v>
      </c>
      <c r="B14" s="31"/>
      <c r="C14" s="32"/>
    </row>
    <row r="15" spans="1:8">
      <c r="A15" s="30">
        <v>10</v>
      </c>
      <c r="B15" s="31"/>
      <c r="C15" s="32"/>
    </row>
    <row r="16" spans="1:8">
      <c r="A16" s="30"/>
      <c r="B16" s="259"/>
      <c r="C16" s="260"/>
    </row>
    <row r="17" spans="1:4">
      <c r="A17" s="30"/>
      <c r="B17" s="115" t="s">
        <v>43</v>
      </c>
      <c r="C17" s="261" t="s">
        <v>336</v>
      </c>
    </row>
    <row r="18" spans="1:4">
      <c r="A18" s="30">
        <v>1</v>
      </c>
      <c r="B18" s="31" t="s">
        <v>754</v>
      </c>
      <c r="C18" s="34" t="s">
        <v>763</v>
      </c>
    </row>
    <row r="19" spans="1:4">
      <c r="A19" s="30">
        <v>2</v>
      </c>
      <c r="B19" s="31" t="s">
        <v>764</v>
      </c>
      <c r="C19" s="34" t="s">
        <v>765</v>
      </c>
    </row>
    <row r="20" spans="1:4">
      <c r="A20" s="30">
        <v>3</v>
      </c>
      <c r="B20" s="31" t="s">
        <v>766</v>
      </c>
      <c r="C20" s="34" t="s">
        <v>767</v>
      </c>
    </row>
    <row r="21" spans="1:4">
      <c r="A21" s="30">
        <v>4</v>
      </c>
      <c r="B21" s="31" t="s">
        <v>768</v>
      </c>
      <c r="C21" s="34" t="s">
        <v>769</v>
      </c>
    </row>
    <row r="22" spans="1:4">
      <c r="A22" s="30">
        <v>5</v>
      </c>
      <c r="B22" s="31"/>
      <c r="C22" s="34"/>
    </row>
    <row r="23" spans="1:4">
      <c r="A23" s="30">
        <v>6</v>
      </c>
      <c r="B23" s="31"/>
      <c r="C23" s="34"/>
    </row>
    <row r="24" spans="1:4">
      <c r="A24" s="30">
        <v>7</v>
      </c>
      <c r="B24" s="31"/>
      <c r="C24" s="34"/>
    </row>
    <row r="25" spans="1:4">
      <c r="A25" s="30">
        <v>8</v>
      </c>
      <c r="B25" s="31"/>
      <c r="C25" s="34"/>
    </row>
    <row r="26" spans="1:4">
      <c r="A26" s="30">
        <v>9</v>
      </c>
      <c r="B26" s="31"/>
      <c r="C26" s="34"/>
    </row>
    <row r="27" spans="1:4" ht="15.75" customHeight="1">
      <c r="A27" s="30">
        <v>10</v>
      </c>
      <c r="B27" s="31"/>
      <c r="C27" s="35"/>
    </row>
    <row r="28" spans="1:4" ht="15.75" customHeight="1">
      <c r="A28" s="30"/>
      <c r="B28" s="31"/>
      <c r="C28" s="35"/>
    </row>
    <row r="29" spans="1:4" ht="30" customHeight="1">
      <c r="A29" s="30"/>
      <c r="B29" s="722" t="s">
        <v>44</v>
      </c>
      <c r="C29" s="723"/>
    </row>
    <row r="30" spans="1:4" ht="14.4">
      <c r="A30" s="30">
        <v>1</v>
      </c>
      <c r="B30" s="31" t="s">
        <v>770</v>
      </c>
      <c r="C30" s="588">
        <v>0.85058799707602339</v>
      </c>
      <c r="D30" s="685"/>
    </row>
    <row r="31" spans="1:4" ht="15.75" customHeight="1">
      <c r="A31" s="30">
        <v>2</v>
      </c>
      <c r="B31" s="31" t="s">
        <v>771</v>
      </c>
      <c r="C31" s="588">
        <v>0.14941200292397661</v>
      </c>
      <c r="D31" s="685"/>
    </row>
    <row r="32" spans="1:4" ht="29.25" customHeight="1">
      <c r="A32" s="30"/>
      <c r="B32" s="722" t="s">
        <v>45</v>
      </c>
      <c r="C32" s="723"/>
      <c r="D32" s="685"/>
    </row>
    <row r="33" spans="1:4" ht="14.4">
      <c r="A33" s="30">
        <v>1</v>
      </c>
      <c r="B33" s="31" t="s">
        <v>772</v>
      </c>
      <c r="C33" s="588">
        <v>0.18988394736842104</v>
      </c>
      <c r="D33" s="685"/>
    </row>
    <row r="34" spans="1:4" ht="14.4">
      <c r="A34" s="589">
        <v>2</v>
      </c>
      <c r="B34" s="590" t="s">
        <v>773</v>
      </c>
      <c r="C34" s="588">
        <v>0.35211520467836255</v>
      </c>
      <c r="D34" s="685"/>
    </row>
    <row r="35" spans="1:4" ht="14.4">
      <c r="A35" s="589">
        <v>3</v>
      </c>
      <c r="B35" s="590" t="s">
        <v>774</v>
      </c>
      <c r="C35" s="588">
        <v>0.35211520467836255</v>
      </c>
      <c r="D35" s="685"/>
    </row>
    <row r="36" spans="1:4" ht="15" thickBot="1">
      <c r="A36" s="36">
        <v>4</v>
      </c>
      <c r="B36" s="37" t="s">
        <v>775</v>
      </c>
      <c r="C36" s="591">
        <v>0.10588564327485381</v>
      </c>
      <c r="D36" s="685"/>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headerFooter>
    <oddFooter>&amp;C_x000D_&amp;1#&amp;"Calibri"&amp;10&amp;K000000 C1 - FOR INTERNAL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H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I8" sqref="I8"/>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8" width="11.33203125" style="5" customWidth="1"/>
    <col min="9" max="16384" width="9.21875" style="5"/>
  </cols>
  <sheetData>
    <row r="1" spans="1:8">
      <c r="A1" s="24" t="s">
        <v>30</v>
      </c>
      <c r="B1" s="3" t="str">
        <f>'Info '!C2</f>
        <v xml:space="preserve">PASHA Bank Georgia JSC </v>
      </c>
    </row>
    <row r="2" spans="1:8" s="2" customFormat="1" ht="15.75" customHeight="1">
      <c r="A2" s="24" t="s">
        <v>31</v>
      </c>
      <c r="B2" s="269">
        <f>'1. key ratios '!B2</f>
        <v>45747</v>
      </c>
    </row>
    <row r="3" spans="1:8" s="2" customFormat="1" ht="15.75" customHeight="1">
      <c r="A3" s="24"/>
    </row>
    <row r="4" spans="1:8" s="2" customFormat="1" ht="15.75" customHeight="1" thickBot="1">
      <c r="A4" s="169" t="s">
        <v>99</v>
      </c>
      <c r="B4" s="728" t="s">
        <v>212</v>
      </c>
      <c r="C4" s="729"/>
      <c r="D4" s="729"/>
      <c r="E4" s="729"/>
    </row>
    <row r="5" spans="1:8" s="41" customFormat="1" ht="17.55" customHeight="1">
      <c r="A5" s="118"/>
      <c r="B5" s="119"/>
      <c r="C5" s="39" t="s">
        <v>0</v>
      </c>
      <c r="D5" s="39" t="s">
        <v>1</v>
      </c>
      <c r="E5" s="40" t="s">
        <v>2</v>
      </c>
    </row>
    <row r="6" spans="1:8" ht="14.55" customHeight="1">
      <c r="A6" s="103"/>
      <c r="B6" s="724" t="s">
        <v>219</v>
      </c>
      <c r="C6" s="724" t="s">
        <v>624</v>
      </c>
      <c r="D6" s="726" t="s">
        <v>98</v>
      </c>
      <c r="E6" s="727"/>
    </row>
    <row r="7" spans="1:8" ht="99.6" customHeight="1">
      <c r="A7" s="103"/>
      <c r="B7" s="725"/>
      <c r="C7" s="724"/>
      <c r="D7" s="207" t="s">
        <v>97</v>
      </c>
      <c r="E7" s="208" t="s">
        <v>220</v>
      </c>
    </row>
    <row r="8" spans="1:8" ht="20.399999999999999">
      <c r="A8" s="321">
        <v>1</v>
      </c>
      <c r="B8" s="322" t="s">
        <v>525</v>
      </c>
      <c r="C8" s="592">
        <f>SUM(C9:C11)</f>
        <v>198288716.39709997</v>
      </c>
      <c r="D8" s="592">
        <f>SUM(D9:D11)</f>
        <v>0</v>
      </c>
      <c r="E8" s="592">
        <f>SUM(E9:E11)</f>
        <v>198288716.39709997</v>
      </c>
      <c r="F8" s="595"/>
      <c r="G8" s="595"/>
      <c r="H8" s="595"/>
    </row>
    <row r="9" spans="1:8" ht="14.4">
      <c r="A9" s="321">
        <v>1.1000000000000001</v>
      </c>
      <c r="B9" s="323" t="s">
        <v>526</v>
      </c>
      <c r="C9" s="592">
        <v>3438603.0577000002</v>
      </c>
      <c r="D9" s="592"/>
      <c r="E9" s="592">
        <v>3438603.0577000002</v>
      </c>
      <c r="F9" s="595"/>
      <c r="G9" s="595"/>
      <c r="H9" s="595"/>
    </row>
    <row r="10" spans="1:8" ht="14.4">
      <c r="A10" s="321">
        <v>1.2</v>
      </c>
      <c r="B10" s="323" t="s">
        <v>527</v>
      </c>
      <c r="C10" s="592">
        <v>89416383.471699998</v>
      </c>
      <c r="D10" s="592"/>
      <c r="E10" s="592">
        <v>89416383.471699998</v>
      </c>
      <c r="F10" s="595"/>
      <c r="G10" s="595"/>
      <c r="H10" s="595"/>
    </row>
    <row r="11" spans="1:8" ht="14.4">
      <c r="A11" s="321">
        <v>1.3</v>
      </c>
      <c r="B11" s="323" t="s">
        <v>528</v>
      </c>
      <c r="C11" s="592">
        <v>105433729.8677</v>
      </c>
      <c r="D11" s="592"/>
      <c r="E11" s="592">
        <v>105433729.8677</v>
      </c>
      <c r="F11" s="595"/>
      <c r="G11" s="595"/>
      <c r="H11" s="595"/>
    </row>
    <row r="12" spans="1:8" ht="14.4">
      <c r="A12" s="321">
        <v>2</v>
      </c>
      <c r="B12" s="324" t="s">
        <v>529</v>
      </c>
      <c r="C12" s="592">
        <v>590873.73609999998</v>
      </c>
      <c r="D12" s="592"/>
      <c r="E12" s="592">
        <v>590873.73609999998</v>
      </c>
      <c r="F12" s="595"/>
      <c r="G12" s="595"/>
      <c r="H12" s="595"/>
    </row>
    <row r="13" spans="1:8" ht="14.4">
      <c r="A13" s="321">
        <v>2.1</v>
      </c>
      <c r="B13" s="325" t="s">
        <v>530</v>
      </c>
      <c r="C13" s="593">
        <v>590873.73609999998</v>
      </c>
      <c r="D13" s="593"/>
      <c r="E13" s="593">
        <v>590873.73609999998</v>
      </c>
      <c r="F13" s="595"/>
      <c r="G13" s="595"/>
      <c r="H13" s="595"/>
    </row>
    <row r="14" spans="1:8" ht="20.399999999999999">
      <c r="A14" s="321">
        <v>3</v>
      </c>
      <c r="B14" s="326" t="s">
        <v>531</v>
      </c>
      <c r="C14" s="593"/>
      <c r="D14" s="593"/>
      <c r="E14" s="593"/>
      <c r="F14" s="595"/>
      <c r="G14" s="595"/>
      <c r="H14" s="595"/>
    </row>
    <row r="15" spans="1:8" ht="14.4">
      <c r="A15" s="321">
        <v>4</v>
      </c>
      <c r="B15" s="327" t="s">
        <v>532</v>
      </c>
      <c r="C15" s="593"/>
      <c r="D15" s="593"/>
      <c r="E15" s="593"/>
      <c r="F15" s="595"/>
      <c r="G15" s="595"/>
      <c r="H15" s="595"/>
    </row>
    <row r="16" spans="1:8" ht="20.399999999999999">
      <c r="A16" s="321">
        <v>5</v>
      </c>
      <c r="B16" s="328" t="s">
        <v>533</v>
      </c>
      <c r="C16" s="593">
        <f>SUM(C17:C19)</f>
        <v>0</v>
      </c>
      <c r="D16" s="593">
        <f>SUM(D17:D19)</f>
        <v>0</v>
      </c>
      <c r="E16" s="593">
        <f>SUM(E17:E19)</f>
        <v>0</v>
      </c>
      <c r="F16" s="595"/>
      <c r="G16" s="595"/>
      <c r="H16" s="595"/>
    </row>
    <row r="17" spans="1:8" ht="14.4">
      <c r="A17" s="321">
        <v>5.0999999999999996</v>
      </c>
      <c r="B17" s="329" t="s">
        <v>534</v>
      </c>
      <c r="C17" s="593"/>
      <c r="D17" s="593"/>
      <c r="E17" s="593"/>
      <c r="F17" s="595"/>
      <c r="G17" s="595"/>
      <c r="H17" s="595"/>
    </row>
    <row r="18" spans="1:8" ht="14.4">
      <c r="A18" s="321">
        <v>5.2</v>
      </c>
      <c r="B18" s="329" t="s">
        <v>535</v>
      </c>
      <c r="C18" s="593"/>
      <c r="D18" s="593"/>
      <c r="E18" s="593"/>
      <c r="F18" s="595"/>
      <c r="G18" s="595"/>
      <c r="H18" s="595"/>
    </row>
    <row r="19" spans="1:8" ht="14.4">
      <c r="A19" s="321">
        <v>5.3</v>
      </c>
      <c r="B19" s="330" t="s">
        <v>536</v>
      </c>
      <c r="C19" s="593"/>
      <c r="D19" s="593"/>
      <c r="E19" s="593"/>
      <c r="F19" s="595"/>
      <c r="G19" s="595"/>
      <c r="H19" s="595"/>
    </row>
    <row r="20" spans="1:8" ht="14.4">
      <c r="A20" s="321">
        <v>6</v>
      </c>
      <c r="B20" s="326" t="s">
        <v>537</v>
      </c>
      <c r="C20" s="593">
        <f>SUM(C21:C22)</f>
        <v>468121388.53500003</v>
      </c>
      <c r="D20" s="593">
        <f>SUM(D21:D22)</f>
        <v>0</v>
      </c>
      <c r="E20" s="593">
        <f>SUM(E21:E22)</f>
        <v>468121388.53500003</v>
      </c>
      <c r="F20" s="595"/>
      <c r="G20" s="595"/>
      <c r="H20" s="595"/>
    </row>
    <row r="21" spans="1:8" ht="14.4">
      <c r="A21" s="321">
        <v>6.1</v>
      </c>
      <c r="B21" s="329" t="s">
        <v>535</v>
      </c>
      <c r="C21" s="593">
        <v>81067518.249800012</v>
      </c>
      <c r="D21" s="593"/>
      <c r="E21" s="593">
        <v>81067518.249800012</v>
      </c>
      <c r="F21" s="595"/>
      <c r="G21" s="595"/>
      <c r="H21" s="595"/>
    </row>
    <row r="22" spans="1:8" ht="14.4">
      <c r="A22" s="321">
        <v>6.2</v>
      </c>
      <c r="B22" s="330" t="s">
        <v>536</v>
      </c>
      <c r="C22" s="593">
        <v>387053870.2852</v>
      </c>
      <c r="D22" s="593"/>
      <c r="E22" s="593">
        <v>387053870.2852</v>
      </c>
      <c r="F22" s="595"/>
      <c r="G22" s="595"/>
      <c r="H22" s="595"/>
    </row>
    <row r="23" spans="1:8" ht="14.4">
      <c r="A23" s="321">
        <v>7</v>
      </c>
      <c r="B23" s="324" t="s">
        <v>538</v>
      </c>
      <c r="C23" s="593"/>
      <c r="D23" s="593"/>
      <c r="E23" s="593"/>
      <c r="F23" s="595"/>
      <c r="G23" s="595"/>
      <c r="H23" s="595"/>
    </row>
    <row r="24" spans="1:8" ht="20.399999999999999">
      <c r="A24" s="321">
        <v>8</v>
      </c>
      <c r="B24" s="331" t="s">
        <v>539</v>
      </c>
      <c r="C24" s="593"/>
      <c r="D24" s="593"/>
      <c r="E24" s="593"/>
      <c r="F24" s="595"/>
      <c r="G24" s="595"/>
      <c r="H24" s="595"/>
    </row>
    <row r="25" spans="1:8" ht="14.4">
      <c r="A25" s="321">
        <v>9</v>
      </c>
      <c r="B25" s="327" t="s">
        <v>540</v>
      </c>
      <c r="C25" s="593">
        <f>SUM(C26:C27)</f>
        <v>6718453.9199999999</v>
      </c>
      <c r="D25" s="593">
        <f>SUM(D26:D27)</f>
        <v>0</v>
      </c>
      <c r="E25" s="593">
        <f>SUM(E26:E27)</f>
        <v>6718453.9199999999</v>
      </c>
      <c r="F25" s="595"/>
      <c r="G25" s="595"/>
      <c r="H25" s="595"/>
    </row>
    <row r="26" spans="1:8" ht="14.4">
      <c r="A26" s="321">
        <v>9.1</v>
      </c>
      <c r="B26" s="329" t="s">
        <v>541</v>
      </c>
      <c r="C26" s="593">
        <v>6718453.9199999999</v>
      </c>
      <c r="D26" s="593"/>
      <c r="E26" s="593">
        <v>6718453.9199999999</v>
      </c>
      <c r="F26" s="595"/>
      <c r="G26" s="595"/>
      <c r="H26" s="595"/>
    </row>
    <row r="27" spans="1:8" ht="14.4">
      <c r="A27" s="321">
        <v>9.1999999999999993</v>
      </c>
      <c r="B27" s="329" t="s">
        <v>542</v>
      </c>
      <c r="C27" s="593"/>
      <c r="D27" s="593"/>
      <c r="E27" s="593"/>
      <c r="F27" s="595"/>
      <c r="G27" s="595"/>
      <c r="H27" s="595"/>
    </row>
    <row r="28" spans="1:8" ht="14.4">
      <c r="A28" s="321">
        <v>10</v>
      </c>
      <c r="B28" s="327" t="s">
        <v>543</v>
      </c>
      <c r="C28" s="593">
        <f>SUM(C29:C30)</f>
        <v>3583917.36</v>
      </c>
      <c r="D28" s="593">
        <f>SUM(D29:D30)</f>
        <v>3583917.36</v>
      </c>
      <c r="E28" s="593">
        <f>SUM(E29:E30)</f>
        <v>0</v>
      </c>
      <c r="F28" s="595"/>
      <c r="G28" s="595"/>
      <c r="H28" s="595"/>
    </row>
    <row r="29" spans="1:8" ht="14.4">
      <c r="A29" s="321">
        <v>10.1</v>
      </c>
      <c r="B29" s="329" t="s">
        <v>544</v>
      </c>
      <c r="C29" s="593"/>
      <c r="D29" s="593"/>
      <c r="E29" s="593"/>
      <c r="F29" s="595"/>
      <c r="G29" s="595"/>
      <c r="H29" s="595"/>
    </row>
    <row r="30" spans="1:8" ht="14.4">
      <c r="A30" s="321">
        <v>10.199999999999999</v>
      </c>
      <c r="B30" s="329" t="s">
        <v>545</v>
      </c>
      <c r="C30" s="593">
        <v>3583917.36</v>
      </c>
      <c r="D30" s="593">
        <v>3583917.36</v>
      </c>
      <c r="E30" s="594">
        <f>C30-D30</f>
        <v>0</v>
      </c>
      <c r="F30" s="595"/>
      <c r="G30" s="595"/>
      <c r="H30" s="595"/>
    </row>
    <row r="31" spans="1:8" ht="14.4">
      <c r="A31" s="321">
        <v>11</v>
      </c>
      <c r="B31" s="327" t="s">
        <v>546</v>
      </c>
      <c r="C31" s="593">
        <f>SUM(C32:C33)</f>
        <v>3795103.27</v>
      </c>
      <c r="D31" s="593">
        <f>SUM(D32:D33)</f>
        <v>3795103.27</v>
      </c>
      <c r="E31" s="593">
        <f>SUM(E32:E33)</f>
        <v>0</v>
      </c>
      <c r="F31" s="595"/>
      <c r="G31" s="595"/>
      <c r="H31" s="595"/>
    </row>
    <row r="32" spans="1:8" ht="14.4">
      <c r="A32" s="321">
        <v>11.1</v>
      </c>
      <c r="B32" s="329" t="s">
        <v>547</v>
      </c>
      <c r="C32" s="593"/>
      <c r="D32" s="593"/>
      <c r="E32" s="593"/>
      <c r="F32" s="595"/>
      <c r="G32" s="595"/>
      <c r="H32" s="595"/>
    </row>
    <row r="33" spans="1:8" ht="14.4">
      <c r="A33" s="321">
        <v>11.2</v>
      </c>
      <c r="B33" s="329" t="s">
        <v>548</v>
      </c>
      <c r="C33" s="593">
        <v>3795103.27</v>
      </c>
      <c r="D33" s="593">
        <v>3795103.27</v>
      </c>
      <c r="E33" s="593"/>
      <c r="F33" s="595"/>
      <c r="G33" s="595"/>
      <c r="H33" s="595"/>
    </row>
    <row r="34" spans="1:8" ht="14.4">
      <c r="A34" s="321">
        <v>13</v>
      </c>
      <c r="B34" s="327" t="s">
        <v>549</v>
      </c>
      <c r="C34" s="593">
        <v>19129692.486999996</v>
      </c>
      <c r="D34" s="593"/>
      <c r="E34" s="594">
        <f>C34-D34</f>
        <v>19129692.486999996</v>
      </c>
      <c r="F34" s="595"/>
      <c r="G34" s="595"/>
      <c r="H34" s="595"/>
    </row>
    <row r="35" spans="1:8" ht="14.4">
      <c r="A35" s="321">
        <v>13.1</v>
      </c>
      <c r="B35" s="332" t="s">
        <v>550</v>
      </c>
      <c r="C35" s="593">
        <v>16895117.84</v>
      </c>
      <c r="D35" s="593"/>
      <c r="E35" s="594">
        <f>C35-D35</f>
        <v>16895117.84</v>
      </c>
      <c r="F35" s="595"/>
      <c r="G35" s="595"/>
      <c r="H35" s="595"/>
    </row>
    <row r="36" spans="1:8" ht="14.4">
      <c r="A36" s="321">
        <v>13.2</v>
      </c>
      <c r="B36" s="332" t="s">
        <v>551</v>
      </c>
      <c r="C36" s="353"/>
      <c r="D36" s="353"/>
      <c r="E36" s="353"/>
      <c r="F36" s="595"/>
      <c r="G36" s="595"/>
      <c r="H36" s="595"/>
    </row>
    <row r="37" spans="1:8" ht="27" thickBot="1">
      <c r="A37" s="106"/>
      <c r="B37" s="170" t="s">
        <v>221</v>
      </c>
      <c r="C37" s="120">
        <f>SUM(C8,C12,C14,C15,C16,C20,C23,C24,C25,C28,C31,C34)</f>
        <v>700228145.70519996</v>
      </c>
      <c r="D37" s="120">
        <f>SUM(D8,D12,D14,D15,D16,D20,D23,D24,D25,D28,D31,D34)</f>
        <v>7379020.6299999999</v>
      </c>
      <c r="E37" s="120">
        <f>SUM(E8,E12,E14,E15,E16,E20,E23,E24,E25,E28,E31,E34)</f>
        <v>692849125.07519996</v>
      </c>
      <c r="F37" s="595"/>
      <c r="G37" s="595"/>
      <c r="H37" s="595"/>
    </row>
    <row r="38" spans="1:8">
      <c r="A38" s="5"/>
      <c r="B38" s="5"/>
      <c r="C38" s="5"/>
      <c r="D38" s="5"/>
      <c r="E38" s="5"/>
    </row>
    <row r="39" spans="1:8">
      <c r="A39" s="5"/>
      <c r="B39" s="5"/>
      <c r="C39" s="5"/>
      <c r="D39" s="5"/>
      <c r="E39" s="5"/>
    </row>
    <row r="41" spans="1:8" s="4" customFormat="1">
      <c r="B41" s="43"/>
      <c r="F41" s="5"/>
      <c r="G41" s="5"/>
    </row>
    <row r="42" spans="1:8" s="4" customFormat="1">
      <c r="B42" s="43"/>
      <c r="F42" s="5"/>
      <c r="G42" s="5"/>
    </row>
    <row r="43" spans="1:8" s="4" customFormat="1">
      <c r="B43" s="43"/>
      <c r="F43" s="5"/>
      <c r="G43" s="5"/>
    </row>
    <row r="44" spans="1:8" s="4" customFormat="1">
      <c r="B44" s="43"/>
      <c r="F44" s="5"/>
      <c r="G44" s="5"/>
    </row>
    <row r="45" spans="1:8" s="4" customFormat="1">
      <c r="B45" s="43"/>
      <c r="F45" s="5"/>
      <c r="G45" s="5"/>
    </row>
    <row r="46" spans="1:8" s="4" customFormat="1">
      <c r="B46" s="43"/>
      <c r="F46" s="5"/>
      <c r="G46" s="5"/>
    </row>
    <row r="47" spans="1:8" s="4" customFormat="1">
      <c r="B47" s="43"/>
      <c r="F47" s="5"/>
      <c r="G47" s="5"/>
    </row>
    <row r="48" spans="1:8" s="4" customFormat="1">
      <c r="B48" s="43"/>
      <c r="F48" s="5"/>
      <c r="G48" s="5"/>
    </row>
    <row r="49" spans="2:7" s="4" customFormat="1">
      <c r="B49" s="43"/>
      <c r="F49" s="5"/>
      <c r="G49" s="5"/>
    </row>
    <row r="50" spans="2:7" s="4" customFormat="1">
      <c r="B50" s="43"/>
      <c r="F50" s="5"/>
      <c r="G50" s="5"/>
    </row>
    <row r="51" spans="2:7" s="4" customFormat="1">
      <c r="B51" s="43"/>
      <c r="F51" s="5"/>
      <c r="G51" s="5"/>
    </row>
    <row r="52" spans="2:7" s="4" customFormat="1">
      <c r="B52" s="43"/>
      <c r="F52" s="5"/>
      <c r="G52" s="5"/>
    </row>
    <row r="53" spans="2:7" s="4" customFormat="1">
      <c r="B53" s="43"/>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Footer>&amp;C_x000D_&amp;1#&amp;"Calibri"&amp;10&amp;K000000 C1 - FOR INTERNAL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22" sqref="D22"/>
    </sheetView>
  </sheetViews>
  <sheetFormatPr defaultColWidth="9.21875" defaultRowHeight="13.2" outlineLevelRow="1"/>
  <cols>
    <col min="1" max="1" width="9.5546875" style="4" bestFit="1" customWidth="1"/>
    <col min="2" max="2" width="114.21875" style="4" customWidth="1"/>
    <col min="3" max="3" width="18.77734375" style="4" customWidth="1"/>
    <col min="4" max="4" width="20.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 xml:space="preserve">PASHA Bank Georgia JSC </v>
      </c>
    </row>
    <row r="2" spans="1:6" s="2" customFormat="1" ht="15.75" customHeight="1">
      <c r="A2" s="2" t="s">
        <v>31</v>
      </c>
      <c r="B2" s="269">
        <f>'1. key ratios '!B2</f>
        <v>45747</v>
      </c>
      <c r="C2" s="4"/>
      <c r="D2" s="4"/>
      <c r="E2" s="4"/>
      <c r="F2" s="4"/>
    </row>
    <row r="3" spans="1:6" s="2" customFormat="1" ht="15.75" customHeight="1">
      <c r="C3" s="4"/>
      <c r="D3" s="4"/>
      <c r="E3" s="4"/>
      <c r="F3" s="4"/>
    </row>
    <row r="4" spans="1:6" s="2" customFormat="1" ht="13.8" thickBot="1">
      <c r="A4" s="2" t="s">
        <v>46</v>
      </c>
      <c r="B4" s="171" t="s">
        <v>518</v>
      </c>
      <c r="C4" s="38" t="s">
        <v>35</v>
      </c>
      <c r="D4" s="4"/>
      <c r="E4" s="4"/>
      <c r="F4" s="4"/>
    </row>
    <row r="5" spans="1:6">
      <c r="A5" s="124">
        <v>1</v>
      </c>
      <c r="B5" s="172" t="s">
        <v>520</v>
      </c>
      <c r="C5" s="125">
        <f>'7. LI1 '!E37</f>
        <v>692849125.07519996</v>
      </c>
      <c r="D5" s="597"/>
    </row>
    <row r="6" spans="1:6">
      <c r="A6" s="44">
        <v>2.1</v>
      </c>
      <c r="B6" s="104" t="s">
        <v>201</v>
      </c>
      <c r="C6" s="95">
        <v>78109987.643474996</v>
      </c>
      <c r="D6" s="597"/>
    </row>
    <row r="7" spans="1:6" s="25" customFormat="1" outlineLevel="1">
      <c r="A7" s="19">
        <v>2.2000000000000002</v>
      </c>
      <c r="B7" s="20" t="s">
        <v>202</v>
      </c>
      <c r="C7" s="126">
        <v>0</v>
      </c>
      <c r="D7" s="597"/>
    </row>
    <row r="8" spans="1:6" s="25" customFormat="1">
      <c r="A8" s="19">
        <v>3</v>
      </c>
      <c r="B8" s="122" t="s">
        <v>519</v>
      </c>
      <c r="C8" s="127">
        <f>SUM(C5:C7)</f>
        <v>770959112.7186749</v>
      </c>
      <c r="D8" s="597"/>
    </row>
    <row r="9" spans="1:6">
      <c r="A9" s="44">
        <v>4</v>
      </c>
      <c r="B9" s="45" t="s">
        <v>48</v>
      </c>
      <c r="C9" s="95"/>
      <c r="D9" s="597"/>
    </row>
    <row r="10" spans="1:6" s="25" customFormat="1" outlineLevel="1">
      <c r="A10" s="19">
        <v>5.0999999999999996</v>
      </c>
      <c r="B10" s="20" t="s">
        <v>203</v>
      </c>
      <c r="C10" s="126">
        <v>-42990176.045290492</v>
      </c>
      <c r="D10" s="597"/>
    </row>
    <row r="11" spans="1:6" s="25" customFormat="1" outlineLevel="1">
      <c r="A11" s="19">
        <v>5.2</v>
      </c>
      <c r="B11" s="20" t="s">
        <v>204</v>
      </c>
      <c r="C11" s="126">
        <v>0</v>
      </c>
      <c r="D11" s="597"/>
    </row>
    <row r="12" spans="1:6" s="25" customFormat="1">
      <c r="A12" s="19">
        <v>6</v>
      </c>
      <c r="B12" s="121" t="s">
        <v>746</v>
      </c>
      <c r="C12" s="126"/>
      <c r="D12" s="597"/>
    </row>
    <row r="13" spans="1:6" s="25" customFormat="1" ht="13.8" thickBot="1">
      <c r="A13" s="21">
        <v>7</v>
      </c>
      <c r="B13" s="123" t="s">
        <v>164</v>
      </c>
      <c r="C13" s="128">
        <f>SUM(C8:C12)</f>
        <v>727968936.67338443</v>
      </c>
      <c r="D13" s="597"/>
    </row>
    <row r="15" spans="1:6">
      <c r="B15" s="25"/>
    </row>
    <row r="17" spans="1:2" ht="13.8">
      <c r="A17" s="133"/>
      <c r="B17" s="134"/>
    </row>
    <row r="18" spans="1:2" ht="14.4">
      <c r="A18" s="138"/>
      <c r="B18" s="139"/>
    </row>
    <row r="19" spans="1:2" ht="13.8">
      <c r="A19" s="140"/>
      <c r="B19" s="135"/>
    </row>
    <row r="20" spans="1:2" ht="13.8">
      <c r="A20" s="141"/>
      <c r="B20" s="136"/>
    </row>
    <row r="21" spans="1:2" ht="13.8">
      <c r="A21" s="141"/>
      <c r="B21" s="139"/>
    </row>
    <row r="22" spans="1:2" ht="13.8">
      <c r="A22" s="140"/>
      <c r="B22" s="137"/>
    </row>
    <row r="23" spans="1:2" ht="13.8">
      <c r="A23" s="141"/>
      <c r="B23" s="136"/>
    </row>
    <row r="24" spans="1:2" ht="13.8">
      <c r="A24" s="141"/>
      <c r="B24" s="136"/>
    </row>
    <row r="25" spans="1:2" ht="13.8">
      <c r="A25" s="141"/>
      <c r="B25" s="142"/>
    </row>
    <row r="26" spans="1:2" ht="13.8">
      <c r="A26" s="141"/>
      <c r="B26" s="139"/>
    </row>
    <row r="27" spans="1:2">
      <c r="B27" s="43"/>
    </row>
    <row r="28" spans="1:2">
      <c r="B28" s="43"/>
    </row>
    <row r="29" spans="1:2">
      <c r="B29" s="43"/>
    </row>
    <row r="30" spans="1:2">
      <c r="B30" s="43"/>
    </row>
    <row r="31" spans="1:2">
      <c r="B31" s="43"/>
    </row>
    <row r="32" spans="1:2">
      <c r="B32" s="43"/>
    </row>
    <row r="33" spans="2:2">
      <c r="B33" s="43"/>
    </row>
  </sheetData>
  <pageMargins left="0.7" right="0.7" top="0.75" bottom="0.75" header="0.3" footer="0.3"/>
  <pageSetup paperSize="9" orientation="portrait" horizontalDpi="4294967295" verticalDpi="4294967295" r:id="rId1"/>
  <headerFooter>
    <oddFooter>&amp;C_x000D_&amp;1#&amp;"Calibri"&amp;10&amp;K000000 C1 - FOR INTERNAL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2025-04-30T12:20:27Z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06c7ad2-60a5-409e-8203-10f940b19acd_Enabled">
    <vt:lpwstr>true</vt:lpwstr>
  </property>
  <property fmtid="{D5CDD505-2E9C-101B-9397-08002B2CF9AE}" pid="8" name="MSIP_Label_706c7ad2-60a5-409e-8203-10f940b19acd_SetDate">
    <vt:lpwstr>2025-04-29T12:42:16Z</vt:lpwstr>
  </property>
  <property fmtid="{D5CDD505-2E9C-101B-9397-08002B2CF9AE}" pid="9" name="MSIP_Label_706c7ad2-60a5-409e-8203-10f940b19acd_Method">
    <vt:lpwstr>Standard</vt:lpwstr>
  </property>
  <property fmtid="{D5CDD505-2E9C-101B-9397-08002B2CF9AE}" pid="10" name="MSIP_Label_706c7ad2-60a5-409e-8203-10f940b19acd_Name">
    <vt:lpwstr>For internal use only C1</vt:lpwstr>
  </property>
  <property fmtid="{D5CDD505-2E9C-101B-9397-08002B2CF9AE}" pid="11" name="MSIP_Label_706c7ad2-60a5-409e-8203-10f940b19acd_SiteId">
    <vt:lpwstr>91e167b0-e7f3-47d0-b08e-ac1e6b839fc3</vt:lpwstr>
  </property>
  <property fmtid="{D5CDD505-2E9C-101B-9397-08002B2CF9AE}" pid="12" name="MSIP_Label_706c7ad2-60a5-409e-8203-10f940b19acd_ActionId">
    <vt:lpwstr>a09f643b-5e41-4924-90ac-1717715efe68</vt:lpwstr>
  </property>
  <property fmtid="{D5CDD505-2E9C-101B-9397-08002B2CF9AE}" pid="13" name="MSIP_Label_706c7ad2-60a5-409e-8203-10f940b19acd_ContentBits">
    <vt:lpwstr>2</vt:lpwstr>
  </property>
  <property fmtid="{D5CDD505-2E9C-101B-9397-08002B2CF9AE}" pid="14" name="MSIP_Label_706c7ad2-60a5-409e-8203-10f940b19acd_Tag">
    <vt:lpwstr>10, 3, 0, 1</vt:lpwstr>
  </property>
</Properties>
</file>