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13_ncr:1_{8C26C155-D48C-4F98-8FB8-51F11E2EA537}" xr6:coauthVersionLast="47" xr6:coauthVersionMax="47" xr10:uidLastSave="{00000000-0000-0000-0000-000000000000}"/>
  <bookViews>
    <workbookView xWindow="-108" yWindow="-108" windowWidth="23256" windowHeight="12576" tabRatio="919"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9" i="120" l="1"/>
  <c r="P19" i="120"/>
  <c r="O19" i="120"/>
  <c r="N19" i="120"/>
  <c r="M19" i="120"/>
  <c r="L19" i="120"/>
  <c r="K19" i="120"/>
  <c r="J19" i="120"/>
  <c r="I19" i="120"/>
  <c r="H19" i="120"/>
  <c r="G19" i="120"/>
  <c r="F19" i="120"/>
  <c r="E19" i="120"/>
  <c r="D19" i="120"/>
  <c r="C19" i="120"/>
  <c r="L33" i="118"/>
  <c r="K33" i="118"/>
  <c r="J33" i="118"/>
  <c r="I33" i="118"/>
  <c r="H33" i="118"/>
  <c r="G33" i="118"/>
  <c r="F33" i="118"/>
  <c r="E33" i="118"/>
  <c r="D33" i="118"/>
  <c r="C33" i="118"/>
  <c r="T22" i="116"/>
  <c r="L22" i="116"/>
  <c r="H22" i="116"/>
  <c r="D22" i="116"/>
  <c r="C22" i="116"/>
  <c r="G15" i="116"/>
  <c r="F15" i="116"/>
  <c r="E15" i="116"/>
  <c r="D15" i="116"/>
  <c r="C15" i="116"/>
  <c r="AA8" i="116"/>
  <c r="Z8" i="116"/>
  <c r="Y8" i="116"/>
  <c r="X8" i="116"/>
  <c r="W8" i="116"/>
  <c r="V8" i="116"/>
  <c r="U8" i="116"/>
  <c r="T8" i="116"/>
  <c r="S8" i="116"/>
  <c r="R8" i="116"/>
  <c r="Q8" i="116"/>
  <c r="P8" i="116"/>
  <c r="O8" i="116"/>
  <c r="N8" i="116"/>
  <c r="M8" i="116"/>
  <c r="L8" i="116"/>
  <c r="K8" i="116"/>
  <c r="J8" i="116"/>
  <c r="I8" i="116"/>
  <c r="H8" i="116"/>
  <c r="G8" i="116"/>
  <c r="F8" i="116"/>
  <c r="E8" i="116"/>
  <c r="D8" i="116"/>
  <c r="C8" i="116"/>
  <c r="C10" i="115"/>
  <c r="C18" i="115" s="1"/>
  <c r="D10" i="114"/>
  <c r="C10" i="114"/>
  <c r="D7" i="114"/>
  <c r="D15" i="114" s="1"/>
  <c r="C7" i="114"/>
  <c r="C15" i="114" s="1"/>
  <c r="D23" i="112"/>
  <c r="G21" i="112"/>
  <c r="F21" i="112"/>
  <c r="E21" i="112"/>
  <c r="C21" i="112"/>
  <c r="D13" i="112"/>
  <c r="D21" i="112" s="1"/>
  <c r="G21" i="111"/>
  <c r="D21" i="111"/>
  <c r="C21" i="111"/>
  <c r="D14" i="111"/>
  <c r="G24" i="97"/>
  <c r="G37" i="97" s="1"/>
  <c r="F24" i="97"/>
  <c r="E24" i="97"/>
  <c r="D24" i="97"/>
  <c r="C24" i="97"/>
  <c r="G18" i="97"/>
  <c r="F18" i="97"/>
  <c r="E18" i="97"/>
  <c r="D18" i="97"/>
  <c r="C18" i="97"/>
  <c r="G14" i="97"/>
  <c r="F14" i="97"/>
  <c r="E14" i="97"/>
  <c r="D14" i="97"/>
  <c r="C14" i="97"/>
  <c r="G11" i="97"/>
  <c r="F11" i="97"/>
  <c r="E11" i="97"/>
  <c r="D11" i="97"/>
  <c r="C11" i="97"/>
  <c r="G8" i="97"/>
  <c r="G21" i="97" s="1"/>
  <c r="G39" i="97" s="1"/>
  <c r="F8" i="97"/>
  <c r="E8" i="97"/>
  <c r="D8" i="97"/>
  <c r="C8" i="97"/>
  <c r="C35" i="95"/>
  <c r="C12" i="95"/>
  <c r="K21" i="93"/>
  <c r="J21" i="93"/>
  <c r="I21" i="93"/>
  <c r="H21" i="93"/>
  <c r="G21" i="93"/>
  <c r="F21" i="93"/>
  <c r="E21" i="93"/>
  <c r="D21" i="93"/>
  <c r="C21" i="93"/>
  <c r="K16" i="93"/>
  <c r="J16" i="93"/>
  <c r="I16" i="93"/>
  <c r="H16" i="93"/>
  <c r="G16" i="93"/>
  <c r="G24" i="93" s="1"/>
  <c r="G25" i="93" s="1"/>
  <c r="F16" i="93"/>
  <c r="F24" i="93" s="1"/>
  <c r="E16" i="93"/>
  <c r="D16" i="93"/>
  <c r="C16" i="93"/>
  <c r="I24" i="93"/>
  <c r="K24" i="93"/>
  <c r="J24" i="93"/>
  <c r="J25" i="93" s="1"/>
  <c r="F23" i="93"/>
  <c r="G23" i="93"/>
  <c r="I23" i="93"/>
  <c r="J23" i="93"/>
  <c r="K23" i="93"/>
  <c r="S21" i="90"/>
  <c r="S20" i="90"/>
  <c r="S19" i="90"/>
  <c r="S18" i="90"/>
  <c r="S17" i="90"/>
  <c r="S16" i="90"/>
  <c r="S15" i="90"/>
  <c r="S14" i="90"/>
  <c r="S13" i="90"/>
  <c r="S12" i="90"/>
  <c r="S11" i="90"/>
  <c r="S10" i="90"/>
  <c r="S9" i="90"/>
  <c r="S8" i="90"/>
  <c r="C66" i="69"/>
  <c r="C62" i="69"/>
  <c r="C67" i="69" s="1"/>
  <c r="C58" i="69"/>
  <c r="C46" i="69"/>
  <c r="C40" i="69"/>
  <c r="C37" i="69"/>
  <c r="C52" i="69" s="1"/>
  <c r="C29" i="69"/>
  <c r="C26" i="69"/>
  <c r="C35" i="69" s="1"/>
  <c r="C23" i="69"/>
  <c r="C18" i="69"/>
  <c r="C14" i="69"/>
  <c r="C10" i="69"/>
  <c r="C6" i="69"/>
  <c r="E34" i="88"/>
  <c r="E31" i="88"/>
  <c r="D31" i="88"/>
  <c r="C31" i="88"/>
  <c r="E30" i="88"/>
  <c r="E28" i="88"/>
  <c r="D28" i="88"/>
  <c r="C28" i="88"/>
  <c r="E27" i="88"/>
  <c r="E26" i="88"/>
  <c r="E25" i="88"/>
  <c r="D25" i="88"/>
  <c r="C25" i="88"/>
  <c r="E24" i="88"/>
  <c r="E23" i="88"/>
  <c r="E22" i="88"/>
  <c r="E21" i="88"/>
  <c r="E20" i="88" s="1"/>
  <c r="D20" i="88"/>
  <c r="C20" i="88"/>
  <c r="E16" i="88"/>
  <c r="D16" i="88"/>
  <c r="C16" i="88"/>
  <c r="E13" i="88"/>
  <c r="E12" i="88"/>
  <c r="D12" i="88"/>
  <c r="C12" i="88"/>
  <c r="E11" i="88"/>
  <c r="E10" i="88"/>
  <c r="E9" i="88"/>
  <c r="E8" i="88" s="1"/>
  <c r="D8" i="88"/>
  <c r="D37" i="88" s="1"/>
  <c r="C8" i="88"/>
  <c r="C37" i="88" s="1"/>
  <c r="F25" i="93" l="1"/>
  <c r="H23" i="93"/>
  <c r="H24" i="93"/>
  <c r="H25" i="93" s="1"/>
  <c r="K25" i="93"/>
  <c r="I25" i="93"/>
  <c r="C68" i="69"/>
  <c r="E37" i="88"/>
  <c r="G6" i="86"/>
  <c r="G13" i="86" s="1"/>
  <c r="F6" i="86"/>
  <c r="F13" i="86" s="1"/>
  <c r="E6" i="86"/>
  <c r="E13" i="86" s="1"/>
  <c r="D6" i="86"/>
  <c r="D13" i="86" s="1"/>
  <c r="C6" i="86"/>
  <c r="C13" i="86" s="1"/>
  <c r="H42" i="110"/>
  <c r="E42" i="110"/>
  <c r="H41" i="110"/>
  <c r="E41" i="110"/>
  <c r="H40" i="110"/>
  <c r="E40" i="110"/>
  <c r="H39" i="110"/>
  <c r="E39" i="110"/>
  <c r="H38" i="110"/>
  <c r="G38" i="110"/>
  <c r="F38" i="110"/>
  <c r="D38" i="110"/>
  <c r="C38" i="110"/>
  <c r="H37" i="110"/>
  <c r="E37" i="110"/>
  <c r="H36" i="110"/>
  <c r="E36" i="110"/>
  <c r="H35" i="110"/>
  <c r="E35" i="110"/>
  <c r="H34" i="110"/>
  <c r="E34" i="110"/>
  <c r="H33" i="110"/>
  <c r="E33" i="110"/>
  <c r="H32" i="110"/>
  <c r="E32" i="110"/>
  <c r="H31" i="110"/>
  <c r="E31" i="110"/>
  <c r="H30" i="110"/>
  <c r="G30" i="110"/>
  <c r="F30" i="110"/>
  <c r="D30" i="110"/>
  <c r="E30" i="110" s="1"/>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G17" i="110"/>
  <c r="G14" i="110" s="1"/>
  <c r="F17" i="110"/>
  <c r="H17" i="110" s="1"/>
  <c r="D17" i="110"/>
  <c r="C17" i="110"/>
  <c r="C14" i="110" s="1"/>
  <c r="E14" i="110" s="1"/>
  <c r="H16" i="110"/>
  <c r="E16" i="110"/>
  <c r="H15" i="110"/>
  <c r="E15" i="110"/>
  <c r="D14" i="110"/>
  <c r="H13" i="110"/>
  <c r="E13" i="110"/>
  <c r="H12" i="110"/>
  <c r="E12" i="110"/>
  <c r="G11" i="110"/>
  <c r="F11" i="110"/>
  <c r="H11" i="110" s="1"/>
  <c r="D11" i="110"/>
  <c r="C11" i="110"/>
  <c r="E11" i="110" s="1"/>
  <c r="H10" i="110"/>
  <c r="E10" i="110"/>
  <c r="H9" i="110"/>
  <c r="E9" i="110"/>
  <c r="H8" i="110"/>
  <c r="G8" i="110"/>
  <c r="F8" i="110"/>
  <c r="D8" i="110"/>
  <c r="E8" i="110" s="1"/>
  <c r="C8" i="110"/>
  <c r="H7" i="110"/>
  <c r="E7" i="110"/>
  <c r="H6" i="110"/>
  <c r="E6" i="110"/>
  <c r="H44" i="109"/>
  <c r="E44" i="109"/>
  <c r="C43" i="109"/>
  <c r="H42" i="109"/>
  <c r="E42" i="109"/>
  <c r="H41" i="109"/>
  <c r="E41" i="109"/>
  <c r="H40" i="109"/>
  <c r="E40" i="109"/>
  <c r="H39" i="109"/>
  <c r="E39" i="109"/>
  <c r="H38" i="109"/>
  <c r="E38" i="109"/>
  <c r="G37" i="109"/>
  <c r="F37" i="109"/>
  <c r="H37" i="109" s="1"/>
  <c r="D37" i="109"/>
  <c r="C37" i="109"/>
  <c r="E37" i="109" s="1"/>
  <c r="H36" i="109"/>
  <c r="E36" i="109"/>
  <c r="H35" i="109"/>
  <c r="E35" i="109"/>
  <c r="H34" i="109"/>
  <c r="G34" i="109"/>
  <c r="F34" i="109"/>
  <c r="D34" i="109"/>
  <c r="E34" i="109" s="1"/>
  <c r="C34" i="109"/>
  <c r="H33" i="109"/>
  <c r="E33" i="109"/>
  <c r="H32" i="109"/>
  <c r="E32" i="109"/>
  <c r="H31" i="109"/>
  <c r="E31" i="109"/>
  <c r="H30" i="109"/>
  <c r="E30" i="109"/>
  <c r="G29" i="109"/>
  <c r="F29" i="109"/>
  <c r="H29" i="109" s="1"/>
  <c r="D29" i="109"/>
  <c r="C29" i="109"/>
  <c r="E29" i="109" s="1"/>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H13" i="109" s="1"/>
  <c r="D13" i="109"/>
  <c r="C13" i="109"/>
  <c r="E13" i="109" s="1"/>
  <c r="H12" i="109"/>
  <c r="E12" i="109"/>
  <c r="H11" i="109"/>
  <c r="E11" i="109"/>
  <c r="H10" i="109"/>
  <c r="E10" i="109"/>
  <c r="H9" i="109"/>
  <c r="E9" i="109"/>
  <c r="H8" i="109"/>
  <c r="E8" i="109"/>
  <c r="H7" i="109"/>
  <c r="E7" i="109"/>
  <c r="H6" i="109"/>
  <c r="G6" i="109"/>
  <c r="G43" i="109" s="1"/>
  <c r="G45" i="109" s="1"/>
  <c r="F6" i="109"/>
  <c r="F43" i="109" s="1"/>
  <c r="D6" i="109"/>
  <c r="E6" i="109" s="1"/>
  <c r="C6" i="109"/>
  <c r="G68" i="108"/>
  <c r="H67" i="108"/>
  <c r="C67" i="108"/>
  <c r="E67" i="108" s="1"/>
  <c r="H66" i="108"/>
  <c r="E66" i="108"/>
  <c r="H65" i="108"/>
  <c r="E65" i="108"/>
  <c r="H64" i="108"/>
  <c r="E64" i="108"/>
  <c r="H63" i="108"/>
  <c r="D63" i="108"/>
  <c r="E63" i="108" s="1"/>
  <c r="C63" i="108"/>
  <c r="H62" i="108"/>
  <c r="E62" i="108"/>
  <c r="H61" i="108"/>
  <c r="E61" i="108"/>
  <c r="H60" i="108"/>
  <c r="E60" i="108"/>
  <c r="H59" i="108"/>
  <c r="F59" i="108"/>
  <c r="F68" i="108" s="1"/>
  <c r="H68" i="108" s="1"/>
  <c r="D59" i="108"/>
  <c r="D68" i="108" s="1"/>
  <c r="C59" i="108"/>
  <c r="E59" i="108" s="1"/>
  <c r="H58" i="108"/>
  <c r="E58" i="108"/>
  <c r="H57" i="108"/>
  <c r="E57" i="108"/>
  <c r="H56" i="108"/>
  <c r="E56" i="108"/>
  <c r="H55" i="108"/>
  <c r="E55" i="108"/>
  <c r="H52" i="108"/>
  <c r="E52" i="108"/>
  <c r="H51" i="108"/>
  <c r="E51" i="108"/>
  <c r="H50" i="108"/>
  <c r="E50" i="108"/>
  <c r="H49" i="108"/>
  <c r="E49" i="108"/>
  <c r="H48" i="108"/>
  <c r="E48" i="108"/>
  <c r="G47" i="108"/>
  <c r="F47" i="108"/>
  <c r="H47" i="108" s="1"/>
  <c r="E47" i="108"/>
  <c r="D47" i="108"/>
  <c r="C47" i="108"/>
  <c r="H46" i="108"/>
  <c r="E46" i="108"/>
  <c r="H45" i="108"/>
  <c r="E45" i="108"/>
  <c r="H44" i="108"/>
  <c r="E44" i="108"/>
  <c r="H43" i="108"/>
  <c r="E43" i="108"/>
  <c r="H42" i="108"/>
  <c r="E42" i="108"/>
  <c r="G41" i="108"/>
  <c r="G53" i="108" s="1"/>
  <c r="G69" i="108" s="1"/>
  <c r="F41" i="108"/>
  <c r="H41" i="108" s="1"/>
  <c r="E41" i="108"/>
  <c r="D41" i="108"/>
  <c r="D53" i="108" s="1"/>
  <c r="C41" i="108"/>
  <c r="H40" i="108"/>
  <c r="E40" i="108"/>
  <c r="H39" i="108"/>
  <c r="E39" i="108"/>
  <c r="F38" i="108"/>
  <c r="F53" i="108" s="1"/>
  <c r="E38" i="108"/>
  <c r="C38" i="108"/>
  <c r="C53" i="108" s="1"/>
  <c r="D36" i="108"/>
  <c r="H35" i="108"/>
  <c r="E35" i="108"/>
  <c r="H34" i="108"/>
  <c r="E34" i="108"/>
  <c r="H33" i="108"/>
  <c r="E33" i="108"/>
  <c r="H32" i="108"/>
  <c r="E32" i="108"/>
  <c r="H31" i="108"/>
  <c r="E31" i="108"/>
  <c r="G30" i="108"/>
  <c r="F30" i="108"/>
  <c r="H30" i="108" s="1"/>
  <c r="D30" i="108"/>
  <c r="C30" i="108"/>
  <c r="E30" i="108" s="1"/>
  <c r="H29" i="108"/>
  <c r="E29" i="108"/>
  <c r="H28" i="108"/>
  <c r="E28" i="108"/>
  <c r="G27" i="108"/>
  <c r="F27" i="108"/>
  <c r="H27" i="108" s="1"/>
  <c r="E27" i="108"/>
  <c r="D27" i="108"/>
  <c r="C27" i="108"/>
  <c r="H26" i="108"/>
  <c r="E26" i="108"/>
  <c r="H25" i="108"/>
  <c r="E25" i="108"/>
  <c r="G24" i="108"/>
  <c r="H24" i="108" s="1"/>
  <c r="F24" i="108"/>
  <c r="D24" i="108"/>
  <c r="C24" i="108"/>
  <c r="E24" i="108" s="1"/>
  <c r="H23" i="108"/>
  <c r="E23" i="108"/>
  <c r="H22" i="108"/>
  <c r="E22" i="108"/>
  <c r="H21" i="108"/>
  <c r="E21" i="108"/>
  <c r="H20" i="108"/>
  <c r="E20" i="108"/>
  <c r="G19" i="108"/>
  <c r="F19" i="108"/>
  <c r="F36" i="108" s="1"/>
  <c r="E19" i="108"/>
  <c r="D19" i="108"/>
  <c r="C19" i="108"/>
  <c r="H18" i="108"/>
  <c r="E18" i="108"/>
  <c r="H17" i="108"/>
  <c r="E17" i="108"/>
  <c r="H16" i="108"/>
  <c r="E16" i="108"/>
  <c r="G15" i="108"/>
  <c r="F15" i="108"/>
  <c r="H15" i="108" s="1"/>
  <c r="D15" i="108"/>
  <c r="E15" i="108" s="1"/>
  <c r="C15" i="108"/>
  <c r="H14" i="108"/>
  <c r="E14" i="108"/>
  <c r="H13" i="108"/>
  <c r="E13" i="108"/>
  <c r="H12" i="108"/>
  <c r="E12" i="108"/>
  <c r="H11" i="108"/>
  <c r="F11" i="108"/>
  <c r="C11" i="108"/>
  <c r="E11" i="108" s="1"/>
  <c r="H10" i="108"/>
  <c r="E10" i="108"/>
  <c r="H9" i="108"/>
  <c r="E9" i="108"/>
  <c r="H8" i="108"/>
  <c r="E8" i="108"/>
  <c r="G7" i="108"/>
  <c r="H7" i="108" s="1"/>
  <c r="F7" i="108"/>
  <c r="D7" i="108"/>
  <c r="C7" i="108"/>
  <c r="E7" i="108" s="1"/>
  <c r="E38" i="110" l="1"/>
  <c r="F14" i="110"/>
  <c r="H14" i="110" s="1"/>
  <c r="E17" i="110"/>
  <c r="F45" i="109"/>
  <c r="H45" i="109" s="1"/>
  <c r="H43" i="109"/>
  <c r="D43" i="109"/>
  <c r="D45" i="109" s="1"/>
  <c r="C45" i="109"/>
  <c r="D69" i="108"/>
  <c r="E53" i="108"/>
  <c r="C69" i="108"/>
  <c r="E69" i="108" s="1"/>
  <c r="H36" i="108"/>
  <c r="F69" i="108"/>
  <c r="H69" i="108" s="1"/>
  <c r="H53" i="108"/>
  <c r="H38" i="108"/>
  <c r="H19" i="108"/>
  <c r="G36" i="108"/>
  <c r="C68" i="108"/>
  <c r="E68" i="108" s="1"/>
  <c r="C36" i="108"/>
  <c r="E36" i="108" s="1"/>
  <c r="E45" i="109" l="1"/>
  <c r="E43" i="109"/>
  <c r="C48" i="89" l="1"/>
  <c r="C44" i="89"/>
  <c r="C36" i="89"/>
  <c r="C32" i="89"/>
  <c r="C31" i="89" s="1"/>
  <c r="C42" i="89" s="1"/>
  <c r="C12" i="89"/>
  <c r="C6" i="89"/>
  <c r="H43" i="110"/>
  <c r="E43" i="110"/>
  <c r="C53" i="89" l="1"/>
  <c r="C29" i="89"/>
  <c r="C22" i="111"/>
  <c r="H7" i="112" l="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H7" i="113" l="1"/>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H22" i="112"/>
  <c r="H23" i="112"/>
  <c r="H8" i="111"/>
  <c r="H9" i="111"/>
  <c r="H10" i="111"/>
  <c r="H11" i="111"/>
  <c r="H12" i="111"/>
  <c r="H13" i="111"/>
  <c r="H14" i="111"/>
  <c r="H15" i="111"/>
  <c r="H16" i="111"/>
  <c r="H17" i="111"/>
  <c r="H18" i="111"/>
  <c r="H19" i="111"/>
  <c r="H20" i="111"/>
  <c r="H21" i="111"/>
  <c r="D22" i="111"/>
  <c r="E22" i="111"/>
  <c r="F22" i="111"/>
  <c r="G22" i="111"/>
  <c r="H34" i="113" l="1"/>
  <c r="H21" i="112"/>
  <c r="H22" i="111"/>
  <c r="B1" i="97" l="1"/>
  <c r="B1" i="95" l="1"/>
  <c r="B1" i="92"/>
  <c r="B1" i="93"/>
  <c r="B1" i="64"/>
  <c r="B1" i="90"/>
  <c r="B1" i="69"/>
  <c r="B1" i="94"/>
  <c r="B1" i="89"/>
  <c r="B1" i="73"/>
  <c r="B1" i="88"/>
  <c r="B1" i="52"/>
  <c r="B1" i="86"/>
  <c r="G5" i="86"/>
  <c r="F5" i="86"/>
  <c r="E5" i="86"/>
  <c r="D5" i="86"/>
  <c r="G5" i="84"/>
  <c r="F5" i="84"/>
  <c r="E5" i="84"/>
  <c r="D5" i="84"/>
  <c r="C5" i="84"/>
  <c r="C21" i="94" l="1"/>
  <c r="C20" i="94"/>
  <c r="C19" i="94"/>
  <c r="B1" i="91" l="1"/>
  <c r="B1" i="84"/>
  <c r="C30" i="95" l="1"/>
  <c r="C26" i="95"/>
  <c r="C18" i="95"/>
  <c r="C8" i="95"/>
  <c r="C36" i="95" l="1"/>
  <c r="C38" i="95" s="1"/>
  <c r="D19" i="94" l="1"/>
  <c r="D8" i="94"/>
  <c r="D9" i="94"/>
  <c r="D11" i="94"/>
  <c r="D12" i="94"/>
  <c r="D13" i="94"/>
  <c r="D15" i="94"/>
  <c r="D16" i="94"/>
  <c r="D17" i="94"/>
  <c r="D20" i="94"/>
  <c r="D21" i="94"/>
  <c r="D7" i="94"/>
  <c r="N20" i="92"/>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L7" i="92"/>
  <c r="K7" i="92"/>
  <c r="J7" i="92"/>
  <c r="J21" i="92" s="1"/>
  <c r="I7" i="92"/>
  <c r="I21" i="92" s="1"/>
  <c r="H7" i="92"/>
  <c r="G7" i="92"/>
  <c r="F7" i="92"/>
  <c r="C7" i="92"/>
  <c r="E14" i="92" l="1"/>
  <c r="H21" i="92"/>
  <c r="E7" i="92"/>
  <c r="E21" i="92" s="1"/>
  <c r="K21" i="92"/>
  <c r="L21" i="92"/>
  <c r="N14" i="92"/>
  <c r="M21" i="92"/>
  <c r="C21" i="92"/>
  <c r="N7" i="92"/>
  <c r="F21" i="92"/>
  <c r="G21" i="92"/>
  <c r="N21" i="92" l="1"/>
  <c r="T21" i="64"/>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5" i="73" l="1"/>
  <c r="C22" i="90" l="1"/>
  <c r="D22" i="90" l="1"/>
  <c r="E22" i="90"/>
  <c r="F22" i="90"/>
  <c r="G22" i="90"/>
  <c r="H22" i="90"/>
  <c r="I22" i="90"/>
  <c r="J22" i="90"/>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<sst xmlns="http://schemas.openxmlformats.org/spreadsheetml/2006/main" count="1617" uniqueCount="746">
  <si>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</si>
  <si>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</si>
  <si>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</si>
  <si>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</si>
  <si>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</si>
  <si>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</si>
  <si>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</si>
  <si>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</si>
  <si>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</si>
  <si>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</si>
  <si>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</si>
  <si>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</si>
  <si>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</si>
  <si>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</si>
  <si>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</si>
  <si>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</si>
  <si>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</si>
  <si>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</si>
  <si>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</si>
  <si>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</si>
  <si>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</si>
  <si>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</si>
  <si>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</si>
  <si>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</si>
  <si>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</si>
  <si>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</si>
  <si>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</si>
  <si>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</si>
  <si>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</si>
  <si>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</si>
  <si>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</si>
  <si>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</si>
  <si>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</si>
  <si>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</si>
  <si>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</si>
  <si>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</si>
  <si>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</si>
  <si>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</si>
  <si>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</si>
  <si>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</si>
  <si>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</si>
  <si>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</si>
  <si>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</si>
  <si>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</si>
  <si>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</si>
  <si>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</si>
  <si>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</si>
  <si>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</si>
  <si>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</si>
  <si>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</si>
  <si>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</si>
  <si>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</si>
  <si>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</si>
  <si>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</si>
  <si>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</si>
  <si>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</si>
  <si>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</si>
  <si>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</si>
  <si>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</si>
  <si>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</si>
  <si>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</si>
  <si>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</si>
  <si>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</si>
  <si>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</si>
  <si>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</si>
  <si>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</si>
  <si>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</si>
  <si>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</si>
  <si>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</si>
  <si>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</si>
  <si>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</si>
  <si>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</si>
  <si>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</si>
  <si>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</si>
  <si>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</si>
  <si>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</si>
  <si>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</si>
  <si>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</si>
  <si>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</si>
  <si>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</si>
  <si>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</si>
  <si>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</si>
  <si>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</si>
  <si>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</si>
  <si>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</si>
  <si>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</si>
  <si>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</si>
  <si>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</si>
  <si>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</si>
  <si>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</si>
  <si>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</si>
  <si>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</si>
  <si>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</si>
  <si>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</si>
  <si>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</si>
  <si>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</si>
  <si>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</si>
  <si>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</si>
  <si>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</si>
  <si>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</si>
  <si>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</si>
  <si>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</si>
  <si>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</si>
  <si>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</si>
  <si>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</si>
  <si>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</si>
  <si>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</si>
  <si>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</si>
  <si>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</si>
  <si>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</si>
  <si>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</si>
  <si>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</si>
  <si>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</si>
  <si>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</si>
  <si>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</si>
  <si>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</si>
  <si>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</si>
  <si>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</si>
  <si>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</si>
  <si>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</si>
  <si>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</si>
  <si>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</si>
  <si>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</si>
  <si>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</si>
  <si>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</si>
  <si>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</si>
  <si>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</si>
  <si>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</si>
  <si>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</si>
  <si>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</si>
  <si>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</si>
  <si>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</si>
  <si>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</si>
  <si>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</si>
  <si>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</si>
  <si>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</si>
  <si>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</si>
  <si>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</si>
  <si>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</si>
  <si>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</si>
  <si>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</si>
  <si>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</si>
  <si>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</si>
  <si>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</si>
  <si>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</si>
  <si>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</si>
  <si>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</si>
  <si>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</si>
  <si>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</si>
  <si>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</si>
  <si>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</si>
  <si>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</si>
  <si>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</si>
  <si>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</si>
  <si>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</si>
  <si>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</si>
  <si>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</si>
  <si>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</si>
  <si>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</si>
  <si>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</si>
  <si>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</si>
  <si>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</si>
  <si>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</si>
  <si>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</si>
  <si>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</si>
  <si>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</si>
  <si>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</si>
  <si>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</si>
  <si>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</si>
  <si>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</si>
  <si>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</si>
  <si>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</si>
  <si>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</si>
  <si>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</si>
  <si>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</si>
  <si>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</si>
  <si>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</si>
  <si>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</si>
  <si>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</si>
  <si>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</si>
  <si>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</si>
  <si>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</si>
  <si>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</si>
  <si>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</si>
  <si>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</si>
  <si>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</si>
  <si>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</si>
  <si>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</si>
  <si>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</si>
  <si>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</si>
  <si>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</si>
  <si>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</si>
  <si>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</si>
  <si>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</si>
  <si>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</si>
  <si>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</si>
  <si>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</si>
  <si>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</si>
  <si>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</si>
  <si>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</si>
  <si>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</si>
  <si>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</si>
  <si>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</si>
  <si>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</si>
  <si>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</si>
  <si>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</si>
  <si>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</si>
  <si>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</si>
  <si>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</si>
  <si>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</si>
  <si>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</si>
  <si>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</si>
  <si>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</si>
  <si>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</si>
  <si>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</si>
  <si>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</si>
  <si>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</si>
  <si>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</si>
  <si>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</si>
  <si>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</si>
  <si>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</si>
  <si>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</si>
  <si>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</si>
  <si>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</si>
  <si>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</si>
  <si>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</si>
  <si>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</si>
  <si>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</si>
  <si>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</si>
  <si>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</si>
  <si>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</si>
  <si>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</si>
  <si>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</si>
  <si>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</si>
  <si>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</si>
  <si>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</si>
  <si>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</si>
  <si>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</si>
  <si>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</si>
  <si>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</si>
  <si>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</si>
  <si>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</si>
  <si>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</si>
  <si>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</si>
  <si>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</si>
  <si>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</si>
  <si>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</si>
  <si>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</si>
  <si>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</si>
  <si>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</si>
  <si>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</si>
  <si>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</si>
  <si>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</si>
  <si>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</si>
  <si>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</si>
  <si>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</si>
  <si>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</si>
  <si>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</si>
  <si>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</si>
  <si>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</si>
  <si>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</si>
  <si>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</si>
  <si>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</si>
  <si>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</si>
  <si>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</si>
  <si>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</si>
  <si>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</si>
  <si>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</si>
  <si>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</si>
  <si>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</si>
  <si>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</si>
  <si>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</si>
  <si>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</si>
  <si>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</si>
  <si>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</si>
  <si>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</si>
  <si>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</si>
  <si>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</si>
  <si>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</si>
  <si>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</si>
  <si>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</si>
  <si>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</si>
  <si>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</si>
  <si>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</si>
  <si>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</si>
  <si>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</si>
  <si>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</si>
  <si>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</si>
  <si>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</si>
  <si>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</si>
  <si>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</si>
  <si>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</si>
  <si>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</si>
  <si>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</si>
  <si>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</si>
  <si>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</si>
  <si>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</si>
  <si>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</si>
  <si>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</si>
  <si>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</si>
  <si>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</si>
  <si>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</si>
  <si>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</si>
  <si>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</si>
  <si>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</si>
  <si>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</si>
  <si>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</si>
  <si>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</si>
  <si>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</si>
  <si>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</si>
  <si>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</si>
  <si>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</si>
  <si>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</si>
  <si>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</si>
  <si>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</si>
  <si>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</si>
  <si>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</si>
  <si>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</si>
  <si>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</si>
  <si>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</si>
  <si>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</si>
  <si>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</si>
  <si>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</si>
  <si>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</si>
  <si>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</si>
  <si>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</si>
  <si>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</si>
  <si>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</si>
  <si>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</si>
  <si>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</si>
  <si>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</si>
  <si>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</si>
  <si>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</si>
  <si>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</si>
  <si>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</si>
  <si>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</si>
  <si>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</si>
  <si>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</si>
  <si>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</si>
  <si>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</si>
  <si>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</si>
  <si>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</si>
  <si>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</si>
  <si>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</si>
  <si>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</si>
  <si>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</si>
  <si>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</si>
  <si>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</si>
  <si>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</si>
  <si>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</si>
  <si>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</si>
  <si>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</si>
  <si>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</si>
  <si>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</si>
  <si>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</si>
  <si>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</si>
  <si>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</si>
  <si>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</si>
  <si>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</si>
  <si>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</si>
  <si>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</si>
  <si>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</si>
  <si>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</si>
  <si>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</si>
  <si>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</si>
  <si>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</si>
  <si>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</si>
  <si>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</si>
  <si>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</si>
  <si>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</si>
  <si>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</si>
  <si>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</si>
  <si>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</si>
  <si>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</si>
  <si>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</si>
  <si>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</si>
  <si>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</si>
  <si>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</si>
  <si>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</si>
  <si>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</si>
  <si>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</si>
  <si>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</si>
  <si>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</si>
  <si>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</si>
  <si>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</si>
  <si>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</si>
  <si>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</si>
  <si>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</si>
  <si>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</si>
  <si>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</si>
  <si>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</si>
  <si>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</si>
  <si>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</si>
  <si>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</si>
  <si>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</si>
  <si>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</si>
  <si>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</si>
  <si>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</si>
  <si>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</si>
  <si>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</si>
  <si>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</si>
  <si>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</si>
  <si>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</si>
  <si>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</si>
  <si>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</si>
  <si>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</si>
  <si>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</si>
  <si>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</si>
  <si>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</si>
  <si>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</si>
  <si>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</si>
  <si>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</si>
  <si>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</si>
  <si>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</si>
  <si>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</si>
  <si>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</si>
  <si>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</si>
  <si>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</si>
  <si>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</si>
  <si>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</si>
  <si>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</si>
  <si>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</si>
  <si>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</si>
  <si>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</si>
  <si>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</si>
  <si>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</si>
  <si>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</si>
  <si>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</si>
  <si>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</si>
  <si>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</si>
  <si>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</si>
  <si>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</si>
  <si>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</si>
  <si>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</si>
  <si>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</si>
  <si>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</si>
  <si>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</si>
  <si>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</si>
  <si>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</si>
  <si>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</si>
  <si>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</si>
  <si>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</si>
  <si>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</si>
  <si>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</si>
  <si>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</si>
  <si>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</si>
  <si>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</si>
  <si>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</si>
  <si>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</si>
  <si>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</si>
  <si>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</si>
  <si>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</si>
  <si>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</si>
  <si>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</si>
  <si>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</si>
  <si>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</si>
  <si>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</si>
  <si>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</si>
  <si>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</si>
  <si>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</si>
  <si>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</si>
  <si>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</si>
  <si>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</si>
  <si>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</si>
  <si>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</si>
  <si>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</si>
  <si>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</si>
  <si>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</si>
  <si>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</si>
  <si>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</si>
  <si>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</si>
  <si>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</si>
  <si>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</si>
  <si>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</si>
  <si>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</si>
  <si>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</si>
  <si>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</si>
  <si>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</si>
  <si>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</si>
  <si>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</si>
  <si>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</si>
  <si>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</si>
  <si>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</si>
  <si>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</si>
  <si>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</si>
  <si>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</si>
  <si>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</si>
  <si>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</si>
  <si>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</si>
  <si>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</si>
  <si>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</si>
  <si>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</si>
  <si>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</si>
  <si>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</si>
  <si>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</si>
  <si>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</si>
  <si>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</si>
  <si>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</si>
  <si>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</si>
  <si>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</si>
  <si>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</si>
  <si>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</si>
  <si>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</si>
  <si>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</si>
  <si>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</si>
  <si>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</si>
  <si>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</si>
  <si>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</si>
  <si>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</si>
  <si>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</si>
  <si>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</si>
  <si>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</si>
  <si>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</si>
  <si>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</si>
  <si>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</si>
  <si>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</si>
  <si>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</si>
  <si>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</si>
  <si>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</si>
  <si>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</si>
  <si>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</si>
  <si>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</si>
  <si>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</si>
  <si>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</si>
  <si>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</si>
  <si>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</si>
  <si>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</si>
  <si>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</si>
  <si>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</si>
  <si>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</si>
  <si>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</si>
  <si>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</si>
  <si>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</si>
  <si>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</si>
  <si>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</si>
  <si>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</si>
  <si>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</si>
  <si>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</si>
  <si>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</si>
  <si>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</si>
  <si>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</si>
  <si>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</si>
  <si>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</si>
  <si>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</si>
  <si>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</si>
  <si>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</si>
  <si>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</si>
  <si>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</si>
  <si>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</si>
  <si>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</si>
  <si>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</si>
  <si>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</si>
  <si>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</si>
  <si>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</si>
  <si>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</si>
  <si>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</si>
  <si>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</si>
  <si>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</si>
  <si>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</si>
  <si>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</si>
  <si>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</si>
  <si>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</si>
  <si>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</si>
  <si>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</si>
  <si>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</si>
  <si>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</si>
  <si>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</si>
  <si>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</si>
  <si>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</si>
  <si>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</si>
  <si>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</si>
  <si>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</si>
  <si>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</si>
  <si>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</si>
  <si>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</si>
  <si>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</si>
  <si>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</si>
  <si>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</si>
  <si>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</si>
  <si>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</si>
  <si>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</si>
  <si>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</si>
  <si>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</si>
  <si>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</si>
  <si>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</si>
  <si>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</si>
  <si>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</si>
  <si>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</si>
  <si>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</si>
  <si>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</si>
  <si>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</si>
  <si>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</si>
  <si>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</si>
  <si>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</si>
  <si>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</si>
  <si>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</si>
  <si>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</si>
  <si>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</si>
  <si>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</si>
  <si>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</si>
  <si>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</si>
  <si>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</si>
  <si>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</si>
  <si>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</si>
  <si>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</si>
  <si>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</si>
  <si>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</si>
  <si>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</si>
  <si>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</si>
  <si>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</si>
  <si>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</si>
  <si>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</si>
  <si>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</si>
  <si>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</si>
  <si>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</si>
  <si>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</si>
  <si>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</si>
  <si>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</si>
  <si>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</si>
  <si>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</si>
  <si>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</si>
  <si>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</si>
  <si>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</si>
  <si>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</si>
  <si>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</si>
  <si>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</si>
  <si>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</si>
  <si>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</si>
  <si>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</si>
  <si>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</si>
  <si>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</si>
  <si>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</si>
  <si>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</si>
  <si>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</si>
  <si>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</si>
  <si>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</si>
  <si>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</si>
  <si>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</si>
  <si>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</si>
  <si>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</si>
  <si>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</si>
  <si>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</si>
  <si>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</si>
  <si>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</si>
  <si>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</si>
  <si>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</si>
  <si>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</si>
  <si>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</si>
  <si>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</si>
  <si>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</si>
  <si>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</si>
  <si>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</si>
  <si>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</si>
  <si>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</si>
  <si>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</si>
  <si>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</si>
  <si>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</si>
  <si>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</si>
  <si>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</si>
  <si>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</si>
  <si>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</si>
  <si>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</si>
  <si>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</si>
  <si>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</si>
  <si>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</si>
  <si>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</si>
  <si>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</si>
  <si>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</si>
  <si>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</si>
  <si>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</si>
  <si>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</si>
  <si>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</si>
  <si>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</si>
  <si>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</si>
  <si>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</si>
  <si>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</si>
  <si>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</si>
  <si>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</si>
  <si>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</si>
  <si>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</si>
  <si>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</si>
  <si>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</si>
  <si>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</si>
  <si>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</si>
  <si>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</si>
  <si>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</si>
  <si>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</si>
  <si>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</si>
  <si>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</si>
  <si>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</si>
  <si>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</si>
  <si>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</si>
  <si>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</si>
  <si>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</si>
  <si>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</si>
  <si>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</si>
  <si>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</si>
  <si>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</si>
  <si>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</si>
  <si>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</si>
  <si>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</si>
  <si>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</si>
  <si>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</si>
  <si>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</si>
  <si>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</si>
  <si>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</si>
  <si>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</si>
  <si>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</si>
  <si>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</si>
  <si>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</si>
  <si>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</si>
  <si>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</si>
  <si>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</si>
  <si>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PASHA Bank Georgia</t>
  </si>
  <si>
    <t>www.pashabank.ge</t>
  </si>
  <si>
    <t>Ramil Imamov</t>
  </si>
  <si>
    <t>Rovshan Allahverdiyev</t>
  </si>
  <si>
    <t xml:space="preserve"> Table  9 (Capital), N10 </t>
  </si>
  <si>
    <t xml:space="preserve"> Table   9 (Capital), N38</t>
  </si>
  <si>
    <t xml:space="preserve"> Table   9 (Capital), N2</t>
  </si>
  <si>
    <t xml:space="preserve"> Table   9 (Capital), N6</t>
  </si>
  <si>
    <t/>
  </si>
  <si>
    <t>Non-independent chair</t>
  </si>
  <si>
    <t>Independent member</t>
  </si>
  <si>
    <t>Non-independent member</t>
  </si>
  <si>
    <t>Shahin Mammadov</t>
  </si>
  <si>
    <t>George Glonti</t>
  </si>
  <si>
    <t>Ebru Ogan Knottnerus</t>
  </si>
  <si>
    <t>Kamala Nuriyeva</t>
  </si>
  <si>
    <t>Member of the Board of Directors, CFO</t>
  </si>
  <si>
    <t>Levan Aladashvili</t>
  </si>
  <si>
    <t>Member of the Board of Directors, Chief Risk Officer</t>
  </si>
  <si>
    <t>Anzor Mantskava</t>
  </si>
  <si>
    <t xml:space="preserve">Mr. Arif Pashayev </t>
  </si>
  <si>
    <t>Mrs. Arzu Aliyeva</t>
  </si>
  <si>
    <t>Mrs. Leyla Aliyeva</t>
  </si>
  <si>
    <t>Mr. Mir Jamal Pashayev</t>
  </si>
  <si>
    <t>PASHA Bank OJSC</t>
  </si>
  <si>
    <t>Pasha Holding LLC</t>
  </si>
  <si>
    <t>Acting Chairman of Board of Directors​, CEO</t>
  </si>
  <si>
    <t>Member of the Board of Directors, Director of Retail Banking</t>
  </si>
  <si>
    <t>2Q-2023</t>
  </si>
  <si>
    <t>1Q-2023</t>
  </si>
  <si>
    <t>4Q-2022</t>
  </si>
  <si>
    <t>3Q-2022</t>
  </si>
  <si>
    <t>Parvin Mammadov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</si>
</sst>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0"/>
      <color rgb="FF333333"/>
      <name val="Sylfaen"/>
      <family val="1"/>
    </font>
    <font>
      <b/>
      <sz val="10"/>
      <color theme="1"/>
      <name val="Sylfaen"/>
      <family val="1"/>
    </font>
    <font>
      <sz val="10"/>
      <color theme="1"/>
      <name val="Sylfaen"/>
      <family val="1"/>
    </font>
    <font>
      <b/>
      <i/>
      <sz val="10"/>
      <color theme="1"/>
      <name val="Sylfaen"/>
      <family val="1"/>
    </font>
    <font>
      <i/>
      <sz val="10"/>
      <name val="Sylfaen"/>
      <family val="1"/>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2" fillId="0" borderId="0"/>
  </cellStyleXfs>
  <cellXfs count="778">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87"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85" fillId="0" borderId="0" xfId="0" applyFont="1" applyAlignment="1">
      <alignment wrapText="1"/>
    </xf>
    <xf numFmtId="0" fontId="2" fillId="0" borderId="21" xfId="0" applyFont="1" applyBorder="1"/>
    <xf numFmtId="0" fontId="2" fillId="0" borderId="24" xfId="0" applyFont="1" applyBorder="1" applyAlignment="1">
      <alignment wrapText="1"/>
    </xf>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 xfId="0" applyFont="1" applyBorder="1" applyAlignment="1">
      <alignment horizontal="center" vertical="center" wrapText="1"/>
    </xf>
    <xf numFmtId="167" fontId="85" fillId="0" borderId="0" xfId="0" applyNumberFormat="1" applyFont="1" applyAlignment="1">
      <alignment horizontal="center"/>
    </xf>
    <xf numFmtId="167" fontId="90" fillId="0" borderId="0" xfId="0" applyNumberFormat="1" applyFont="1" applyAlignment="1">
      <alignment horizontal="center"/>
    </xf>
    <xf numFmtId="167" fontId="88" fillId="0" borderId="0" xfId="0" applyNumberFormat="1" applyFont="1" applyAlignment="1">
      <alignment horizontal="center"/>
    </xf>
    <xf numFmtId="0" fontId="84" fillId="0" borderId="18" xfId="0" applyFont="1" applyBorder="1" applyAlignment="1">
      <alignment vertical="center"/>
    </xf>
    <xf numFmtId="193" fontId="84" fillId="0" borderId="3" xfId="0" applyNumberFormat="1" applyFont="1" applyBorder="1"/>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193"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193" fontId="84" fillId="0" borderId="18" xfId="0" applyNumberFormat="1" applyFont="1" applyBorder="1"/>
    <xf numFmtId="193" fontId="84" fillId="0" borderId="19" xfId="0" applyNumberFormat="1" applyFont="1" applyBorder="1"/>
    <xf numFmtId="193" fontId="84" fillId="36" borderId="52" xfId="0" applyNumberFormat="1" applyFont="1" applyFill="1" applyBorder="1"/>
    <xf numFmtId="0" fontId="45" fillId="3" borderId="23" xfId="16" applyFont="1" applyFill="1" applyBorder="1" applyProtection="1">
      <protection locked="0"/>
    </xf>
    <xf numFmtId="193" fontId="84" fillId="36" borderId="21" xfId="0" applyNumberFormat="1" applyFont="1" applyFill="1" applyBorder="1"/>
    <xf numFmtId="193" fontId="84" fillId="36" borderId="23" xfId="0" applyNumberFormat="1" applyFont="1" applyFill="1" applyBorder="1"/>
    <xf numFmtId="193" fontId="84" fillId="36" borderId="53" xfId="0" applyNumberFormat="1" applyFont="1" applyFill="1" applyBorder="1"/>
    <xf numFmtId="0" fontId="84" fillId="0" borderId="16" xfId="0" applyFont="1" applyBorder="1"/>
    <xf numFmtId="0" fontId="87" fillId="0" borderId="0" xfId="0" applyFont="1" applyAlignment="1">
      <alignment wrapText="1"/>
    </xf>
    <xf numFmtId="0" fontId="84" fillId="0" borderId="18" xfId="0" applyFont="1" applyBorder="1"/>
    <xf numFmtId="0" fontId="84" fillId="0" borderId="3" xfId="0" applyFont="1" applyBorder="1"/>
    <xf numFmtId="0" fontId="84" fillId="0" borderId="62"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7"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1" fillId="3" borderId="3" xfId="11" applyFont="1" applyFill="1" applyBorder="1" applyAlignment="1">
      <alignment horizontal="left" vertical="center"/>
    </xf>
    <xf numFmtId="0" fontId="89"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91"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1"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89" fillId="0" borderId="3" xfId="11" applyFont="1" applyBorder="1" applyAlignment="1">
      <alignment wrapText="1"/>
    </xf>
    <xf numFmtId="193" fontId="2" fillId="0" borderId="3" xfId="1" applyNumberFormat="1" applyFont="1" applyFill="1" applyBorder="1" applyProtection="1">
      <protection locked="0"/>
    </xf>
    <xf numFmtId="0" fontId="91" fillId="3" borderId="3" xfId="9" applyFont="1" applyFill="1" applyBorder="1" applyAlignment="1" applyProtection="1">
      <alignment horizontal="left" vertical="center"/>
      <protection locked="0"/>
    </xf>
    <xf numFmtId="0" fontId="89"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89"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2"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193" fontId="84" fillId="36" borderId="17" xfId="0" applyNumberFormat="1" applyFont="1" applyFill="1" applyBorder="1" applyAlignment="1">
      <alignment horizontal="center" vertical="center"/>
    </xf>
    <xf numFmtId="193" fontId="84" fillId="0" borderId="19" xfId="0" applyNumberFormat="1" applyFont="1" applyBorder="1" applyAlignment="1">
      <alignment wrapText="1"/>
    </xf>
    <xf numFmtId="193" fontId="84" fillId="36" borderId="19" xfId="0" applyNumberFormat="1" applyFont="1" applyFill="1" applyBorder="1" applyAlignment="1">
      <alignment horizontal="center" vertical="center" wrapText="1"/>
    </xf>
    <xf numFmtId="193" fontId="84" fillId="36" borderId="23"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3" fillId="0" borderId="0" xfId="11" applyFont="1"/>
    <xf numFmtId="0" fontId="94"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6" fillId="0" borderId="0" xfId="0" applyFont="1"/>
    <xf numFmtId="0" fontId="3" fillId="0" borderId="62" xfId="0" applyFont="1" applyBorder="1"/>
    <xf numFmtId="193" fontId="84" fillId="0" borderId="20" xfId="0" applyNumberFormat="1"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0" borderId="8" xfId="0" applyNumberFormat="1" applyFont="1" applyBorder="1"/>
    <xf numFmtId="193"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2" xfId="0" applyNumberFormat="1" applyFont="1" applyFill="1" applyBorder="1"/>
    <xf numFmtId="0" fontId="84" fillId="0" borderId="67"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5" xfId="0" applyFont="1" applyFill="1" applyBorder="1" applyAlignment="1">
      <alignment wrapText="1"/>
    </xf>
    <xf numFmtId="0" fontId="95" fillId="0" borderId="0" xfId="0" applyFont="1" applyAlignment="1">
      <alignment wrapText="1"/>
    </xf>
    <xf numFmtId="0" fontId="2" fillId="0" borderId="0" xfId="0" applyFont="1" applyAlignment="1">
      <alignment wrapText="1"/>
    </xf>
    <xf numFmtId="0" fontId="98" fillId="3" borderId="77" xfId="0" applyFont="1" applyFill="1" applyBorder="1" applyAlignment="1">
      <alignment horizontal="left"/>
    </xf>
    <xf numFmtId="0" fontId="98" fillId="3" borderId="78" xfId="0" applyFont="1" applyFill="1" applyBorder="1" applyAlignment="1">
      <alignment horizontal="left"/>
    </xf>
    <xf numFmtId="0" fontId="4" fillId="3" borderId="81" xfId="0" applyFont="1" applyFill="1" applyBorder="1" applyAlignment="1">
      <alignment vertical="center"/>
    </xf>
    <xf numFmtId="0" fontId="3" fillId="3" borderId="82" xfId="0" applyFont="1" applyFill="1" applyBorder="1" applyAlignment="1">
      <alignment vertical="center"/>
    </xf>
    <xf numFmtId="0" fontId="3" fillId="3" borderId="83" xfId="0" applyFont="1" applyFill="1" applyBorder="1" applyAlignment="1">
      <alignment vertical="center"/>
    </xf>
    <xf numFmtId="0" fontId="3" fillId="0" borderId="66"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18" xfId="0" applyFont="1" applyBorder="1" applyAlignment="1">
      <alignment horizontal="center" vertical="center"/>
    </xf>
    <xf numFmtId="0" fontId="3" fillId="0" borderId="79" xfId="0" applyFont="1" applyBorder="1" applyAlignment="1">
      <alignment vertical="center"/>
    </xf>
    <xf numFmtId="0" fontId="3" fillId="0" borderId="80" xfId="0" applyFont="1" applyBorder="1" applyAlignment="1">
      <alignment vertical="center"/>
    </xf>
    <xf numFmtId="0" fontId="4" fillId="0" borderId="79"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2"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5" xfId="0" applyFont="1" applyBorder="1" applyAlignment="1">
      <alignment horizontal="center" vertical="center"/>
    </xf>
    <xf numFmtId="0" fontId="3" fillId="0" borderId="86" xfId="0" applyFont="1" applyBorder="1" applyAlignment="1">
      <alignment vertical="center"/>
    </xf>
    <xf numFmtId="169" fontId="9" fillId="37" borderId="24" xfId="20" applyBorder="1"/>
    <xf numFmtId="169" fontId="9" fillId="37" borderId="87" xfId="20" applyBorder="1"/>
    <xf numFmtId="169" fontId="9" fillId="37" borderId="25" xfId="20" applyBorder="1"/>
    <xf numFmtId="0" fontId="3" fillId="0" borderId="89" xfId="0" applyFont="1" applyBorder="1" applyAlignment="1">
      <alignment horizontal="center" vertical="center"/>
    </xf>
    <xf numFmtId="0" fontId="3" fillId="0" borderId="90" xfId="0" applyFont="1" applyBorder="1" applyAlignment="1">
      <alignment vertical="center"/>
    </xf>
    <xf numFmtId="169" fontId="9" fillId="37" borderId="30" xfId="20" applyBorder="1"/>
    <xf numFmtId="0" fontId="4" fillId="0" borderId="0" xfId="0" applyFont="1" applyAlignment="1">
      <alignment horizontal="center"/>
    </xf>
    <xf numFmtId="0" fontId="86" fillId="0" borderId="80"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0" xfId="0" applyFont="1" applyFill="1" applyBorder="1" applyAlignment="1">
      <alignment horizontal="left" vertical="center" wrapText="1"/>
    </xf>
    <xf numFmtId="0" fontId="3" fillId="0" borderId="18" xfId="0" applyFont="1" applyBorder="1" applyAlignment="1">
      <alignment horizontal="right" vertical="center" wrapText="1"/>
    </xf>
    <xf numFmtId="0" fontId="99"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99" fillId="0" borderId="0" xfId="0" applyFont="1" applyAlignment="1">
      <alignment horizontal="left" vertical="center"/>
    </xf>
    <xf numFmtId="49" fontId="100" fillId="0" borderId="21" xfId="5" applyNumberFormat="1" applyFont="1" applyBorder="1" applyAlignment="1" applyProtection="1">
      <alignment horizontal="left" vertical="center"/>
      <protection locked="0"/>
    </xf>
    <xf numFmtId="0" fontId="101" fillId="0" borderId="22" xfId="9" applyFont="1" applyBorder="1" applyAlignment="1" applyProtection="1">
      <alignment horizontal="left" vertical="center" wrapText="1"/>
      <protection locked="0"/>
    </xf>
    <xf numFmtId="0" fontId="84" fillId="0" borderId="79" xfId="0" applyFont="1" applyBorder="1" applyAlignment="1">
      <alignment vertical="center" wrapText="1"/>
    </xf>
    <xf numFmtId="14" fontId="2" fillId="3" borderId="79" xfId="8" quotePrefix="1" applyNumberFormat="1" applyFont="1" applyFill="1" applyBorder="1" applyAlignment="1" applyProtection="1">
      <alignment horizontal="left"/>
      <protection locked="0"/>
    </xf>
    <xf numFmtId="3" fontId="102" fillId="36" borderId="80" xfId="0" applyNumberFormat="1" applyFont="1" applyFill="1" applyBorder="1" applyAlignment="1">
      <alignment vertical="center" wrapText="1"/>
    </xf>
    <xf numFmtId="3" fontId="102" fillId="36" borderId="22" xfId="0" applyNumberFormat="1" applyFont="1" applyFill="1" applyBorder="1" applyAlignment="1">
      <alignment vertical="center" wrapText="1"/>
    </xf>
    <xf numFmtId="3" fontId="102" fillId="36" borderId="23" xfId="0" applyNumberFormat="1" applyFont="1" applyFill="1" applyBorder="1" applyAlignment="1">
      <alignment vertical="center" wrapText="1"/>
    </xf>
    <xf numFmtId="0" fontId="6" fillId="0" borderId="79" xfId="17" applyFill="1" applyBorder="1" applyAlignment="1" applyProtection="1"/>
    <xf numFmtId="49" fontId="84" fillId="0" borderId="79"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7" xfId="20964" applyFont="1" applyFill="1" applyBorder="1">
      <alignment vertical="center"/>
    </xf>
    <xf numFmtId="0" fontId="45" fillId="76" borderId="98" xfId="20964" applyFont="1" applyFill="1" applyBorder="1">
      <alignment vertical="center"/>
    </xf>
    <xf numFmtId="0" fontId="45" fillId="76" borderId="95" xfId="20964" applyFont="1" applyFill="1" applyBorder="1">
      <alignment vertical="center"/>
    </xf>
    <xf numFmtId="0" fontId="104" fillId="70" borderId="94" xfId="20964" applyFont="1" applyFill="1" applyBorder="1" applyAlignment="1">
      <alignment horizontal="center" vertical="center"/>
    </xf>
    <xf numFmtId="0" fontId="104" fillId="70" borderId="95" xfId="20964" applyFont="1" applyFill="1" applyBorder="1" applyAlignment="1">
      <alignment horizontal="left" vertical="center" wrapText="1"/>
    </xf>
    <xf numFmtId="164" fontId="104" fillId="0" borderId="96" xfId="7" applyNumberFormat="1" applyFont="1" applyFill="1" applyBorder="1" applyAlignment="1" applyProtection="1">
      <alignment horizontal="right" vertical="center"/>
      <protection locked="0"/>
    </xf>
    <xf numFmtId="0" fontId="103" fillId="77" borderId="96" xfId="20964" applyFont="1" applyFill="1" applyBorder="1" applyAlignment="1">
      <alignment horizontal="center" vertical="center"/>
    </xf>
    <xf numFmtId="0" fontId="103" fillId="77" borderId="98" xfId="20964" applyFont="1" applyFill="1" applyBorder="1" applyAlignment="1">
      <alignment vertical="top" wrapText="1"/>
    </xf>
    <xf numFmtId="164" fontId="45" fillId="76" borderId="95" xfId="7" applyNumberFormat="1" applyFont="1" applyFill="1" applyBorder="1" applyAlignment="1">
      <alignment horizontal="right" vertical="center"/>
    </xf>
    <xf numFmtId="0" fontId="105" fillId="70" borderId="94" xfId="20964" applyFont="1" applyFill="1" applyBorder="1" applyAlignment="1">
      <alignment horizontal="center" vertical="center"/>
    </xf>
    <xf numFmtId="0" fontId="104" fillId="70" borderId="98" xfId="20964" applyFont="1" applyFill="1" applyBorder="1" applyAlignment="1">
      <alignment vertical="center" wrapText="1"/>
    </xf>
    <xf numFmtId="0" fontId="104" fillId="70" borderId="95" xfId="20964" applyFont="1" applyFill="1" applyBorder="1" applyAlignment="1">
      <alignment horizontal="left" vertical="center"/>
    </xf>
    <xf numFmtId="0" fontId="105" fillId="3" borderId="94" xfId="20964" applyFont="1" applyFill="1" applyBorder="1" applyAlignment="1">
      <alignment horizontal="center" vertical="center"/>
    </xf>
    <xf numFmtId="0" fontId="104" fillId="3" borderId="95" xfId="20964" applyFont="1" applyFill="1" applyBorder="1" applyAlignment="1">
      <alignment horizontal="left" vertical="center"/>
    </xf>
    <xf numFmtId="0" fontId="105" fillId="0" borderId="94" xfId="20964" applyFont="1" applyBorder="1" applyAlignment="1">
      <alignment horizontal="center" vertical="center"/>
    </xf>
    <xf numFmtId="0" fontId="104" fillId="0" borderId="95" xfId="20964" applyFont="1" applyBorder="1" applyAlignment="1">
      <alignment horizontal="left" vertical="center"/>
    </xf>
    <xf numFmtId="0" fontId="106" fillId="77" borderId="96" xfId="20964" applyFont="1" applyFill="1" applyBorder="1" applyAlignment="1">
      <alignment horizontal="center" vertical="center"/>
    </xf>
    <xf numFmtId="0" fontId="103" fillId="77" borderId="98" xfId="20964" applyFont="1" applyFill="1" applyBorder="1">
      <alignment vertical="center"/>
    </xf>
    <xf numFmtId="164" fontId="104" fillId="77" borderId="96" xfId="7" applyNumberFormat="1" applyFont="1" applyFill="1" applyBorder="1" applyAlignment="1" applyProtection="1">
      <alignment horizontal="right" vertical="center"/>
      <protection locked="0"/>
    </xf>
    <xf numFmtId="0" fontId="103" fillId="76" borderId="97" xfId="20964" applyFont="1" applyFill="1" applyBorder="1">
      <alignment vertical="center"/>
    </xf>
    <xf numFmtId="0" fontId="103" fillId="76" borderId="98" xfId="20964" applyFont="1" applyFill="1" applyBorder="1">
      <alignment vertical="center"/>
    </xf>
    <xf numFmtId="164" fontId="103" fillId="76" borderId="95" xfId="7" applyNumberFormat="1" applyFont="1" applyFill="1" applyBorder="1" applyAlignment="1">
      <alignment horizontal="right" vertical="center"/>
    </xf>
    <xf numFmtId="0" fontId="108" fillId="3" borderId="94" xfId="20964" applyFont="1" applyFill="1" applyBorder="1" applyAlignment="1">
      <alignment horizontal="center" vertical="center"/>
    </xf>
    <xf numFmtId="0" fontId="109" fillId="77" borderId="96" xfId="20964" applyFont="1" applyFill="1" applyBorder="1" applyAlignment="1">
      <alignment horizontal="center" vertical="center"/>
    </xf>
    <xf numFmtId="0" fontId="45" fillId="77" borderId="98" xfId="20964" applyFont="1" applyFill="1" applyBorder="1">
      <alignment vertical="center"/>
    </xf>
    <xf numFmtId="0" fontId="108" fillId="70" borderId="94" xfId="20964" applyFont="1" applyFill="1" applyBorder="1" applyAlignment="1">
      <alignment horizontal="center" vertical="center"/>
    </xf>
    <xf numFmtId="164" fontId="104" fillId="3" borderId="96" xfId="7" applyNumberFormat="1" applyFont="1" applyFill="1" applyBorder="1" applyAlignment="1" applyProtection="1">
      <alignment horizontal="right" vertical="center"/>
      <protection locked="0"/>
    </xf>
    <xf numFmtId="0" fontId="109" fillId="3" borderId="96" xfId="20964" applyFont="1" applyFill="1" applyBorder="1" applyAlignment="1">
      <alignment horizontal="center" vertical="center"/>
    </xf>
    <xf numFmtId="0" fontId="45" fillId="3" borderId="98" xfId="20964" applyFont="1" applyFill="1" applyBorder="1">
      <alignment vertical="center"/>
    </xf>
    <xf numFmtId="0" fontId="105" fillId="70" borderId="96" xfId="20964" applyFont="1" applyFill="1" applyBorder="1" applyAlignment="1">
      <alignment horizontal="center" vertical="center"/>
    </xf>
    <xf numFmtId="0" fontId="19" fillId="70" borderId="96" xfId="20964" applyFont="1" applyFill="1" applyBorder="1" applyAlignment="1">
      <alignment horizontal="center" vertical="center"/>
    </xf>
    <xf numFmtId="0" fontId="99" fillId="0" borderId="96" xfId="0" applyFont="1" applyBorder="1" applyAlignment="1">
      <alignment horizontal="left" vertical="center" wrapText="1"/>
    </xf>
    <xf numFmtId="10" fontId="95" fillId="0" borderId="96" xfId="20962" applyNumberFormat="1" applyFont="1" applyFill="1" applyBorder="1" applyAlignment="1">
      <alignment horizontal="left" vertical="center" wrapText="1"/>
    </xf>
    <xf numFmtId="10" fontId="3" fillId="0" borderId="96" xfId="20962" applyNumberFormat="1" applyFont="1" applyFill="1" applyBorder="1" applyAlignment="1">
      <alignment horizontal="left" vertical="center" wrapText="1"/>
    </xf>
    <xf numFmtId="10" fontId="4" fillId="36" borderId="96" xfId="0" applyNumberFormat="1" applyFont="1" applyFill="1" applyBorder="1" applyAlignment="1">
      <alignment horizontal="left" vertical="center" wrapText="1"/>
    </xf>
    <xf numFmtId="10" fontId="99" fillId="0" borderId="96" xfId="20962" applyNumberFormat="1" applyFont="1" applyFill="1" applyBorder="1" applyAlignment="1">
      <alignment horizontal="left" vertical="center" wrapText="1"/>
    </xf>
    <xf numFmtId="10" fontId="4" fillId="36" borderId="96" xfId="20962" applyNumberFormat="1" applyFont="1" applyFill="1" applyBorder="1" applyAlignment="1">
      <alignment horizontal="left" vertical="center" wrapText="1"/>
    </xf>
    <xf numFmtId="10" fontId="4" fillId="36" borderId="96" xfId="0" applyNumberFormat="1" applyFont="1" applyFill="1" applyBorder="1" applyAlignment="1">
      <alignment horizontal="center" vertical="center" wrapText="1"/>
    </xf>
    <xf numFmtId="10" fontId="101" fillId="0" borderId="22" xfId="20962" applyNumberFormat="1" applyFont="1" applyFill="1" applyBorder="1" applyAlignment="1" applyProtection="1">
      <alignment horizontal="left" vertical="center"/>
    </xf>
    <xf numFmtId="0" fontId="4" fillId="36" borderId="96" xfId="0" applyFont="1" applyFill="1" applyBorder="1" applyAlignment="1">
      <alignment horizontal="left" vertical="center" wrapText="1"/>
    </xf>
    <xf numFmtId="0" fontId="3" fillId="0" borderId="96" xfId="0" applyFont="1" applyBorder="1" applyAlignment="1">
      <alignment horizontal="left" vertical="center" wrapText="1"/>
    </xf>
    <xf numFmtId="0" fontId="4" fillId="36" borderId="80" xfId="0" applyFont="1" applyFill="1" applyBorder="1" applyAlignment="1">
      <alignment horizontal="center" vertical="center" wrapText="1"/>
    </xf>
    <xf numFmtId="0" fontId="4" fillId="36" borderId="81" xfId="0" applyFont="1" applyFill="1" applyBorder="1" applyAlignment="1">
      <alignment vertical="center" wrapText="1"/>
    </xf>
    <xf numFmtId="0" fontId="4" fillId="36" borderId="95" xfId="0" applyFont="1" applyFill="1" applyBorder="1" applyAlignment="1">
      <alignment vertical="center" wrapText="1"/>
    </xf>
    <xf numFmtId="0" fontId="4" fillId="36" borderId="68" xfId="0" applyFont="1" applyFill="1" applyBorder="1" applyAlignment="1">
      <alignment vertical="center" wrapText="1"/>
    </xf>
    <xf numFmtId="0" fontId="4" fillId="36" borderId="29" xfId="0" applyFont="1" applyFill="1" applyBorder="1" applyAlignment="1">
      <alignment vertical="center" wrapText="1"/>
    </xf>
    <xf numFmtId="0" fontId="84" fillId="0" borderId="96" xfId="0" applyFont="1" applyBorder="1"/>
    <xf numFmtId="0" fontId="6" fillId="0" borderId="96" xfId="17" applyFill="1" applyBorder="1" applyAlignment="1" applyProtection="1">
      <alignment horizontal="left" vertical="center"/>
    </xf>
    <xf numFmtId="0" fontId="6" fillId="0" borderId="96" xfId="17" applyBorder="1" applyAlignment="1" applyProtection="1"/>
    <xf numFmtId="0" fontId="6" fillId="0" borderId="96" xfId="17" applyFill="1" applyBorder="1" applyAlignment="1" applyProtection="1">
      <alignment horizontal="left" vertical="center" wrapText="1"/>
    </xf>
    <xf numFmtId="0" fontId="6" fillId="0" borderId="96"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3" fontId="102" fillId="36" borderId="96" xfId="0" applyNumberFormat="1" applyFont="1" applyFill="1" applyBorder="1" applyAlignment="1">
      <alignment vertical="center" wrapText="1"/>
    </xf>
    <xf numFmtId="3" fontId="102" fillId="0" borderId="96" xfId="0" applyNumberFormat="1" applyFont="1" applyBorder="1" applyAlignment="1">
      <alignment vertical="center" wrapText="1"/>
    </xf>
    <xf numFmtId="3" fontId="102" fillId="36" borderId="97" xfId="0" applyNumberFormat="1" applyFont="1" applyFill="1" applyBorder="1" applyAlignment="1">
      <alignment vertical="center" wrapText="1"/>
    </xf>
    <xf numFmtId="3" fontId="102" fillId="0" borderId="97" xfId="0" applyNumberFormat="1" applyFont="1" applyBorder="1" applyAlignment="1">
      <alignment vertical="center" wrapText="1"/>
    </xf>
    <xf numFmtId="3" fontId="102" fillId="36" borderId="24" xfId="0" applyNumberFormat="1" applyFont="1" applyFill="1" applyBorder="1" applyAlignment="1">
      <alignment vertical="center" wrapText="1"/>
    </xf>
    <xf numFmtId="3" fontId="102" fillId="36" borderId="83" xfId="0" applyNumberFormat="1" applyFont="1" applyFill="1" applyBorder="1" applyAlignment="1">
      <alignment vertical="center" wrapText="1"/>
    </xf>
    <xf numFmtId="3" fontId="102" fillId="0" borderId="83" xfId="0" applyNumberFormat="1" applyFont="1" applyBorder="1" applyAlignment="1">
      <alignment vertical="center" wrapText="1"/>
    </xf>
    <xf numFmtId="3" fontId="102" fillId="36" borderId="38" xfId="0" applyNumberFormat="1" applyFont="1" applyFill="1" applyBorder="1" applyAlignment="1">
      <alignment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3"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99" xfId="0" applyFont="1" applyFill="1" applyBorder="1" applyAlignment="1">
      <alignment wrapText="1"/>
    </xf>
    <xf numFmtId="0" fontId="3" fillId="3" borderId="100" xfId="0" applyFont="1" applyFill="1" applyBorder="1"/>
    <xf numFmtId="0" fontId="4" fillId="3" borderId="74" xfId="0" applyFont="1" applyFill="1" applyBorder="1" applyAlignment="1">
      <alignment horizontal="center" wrapText="1"/>
    </xf>
    <xf numFmtId="0" fontId="3" fillId="0" borderId="96" xfId="0" applyFont="1" applyBorder="1" applyAlignment="1">
      <alignment horizontal="center"/>
    </xf>
    <xf numFmtId="0" fontId="3" fillId="3" borderId="62"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3" xfId="0" applyFont="1" applyFill="1" applyBorder="1" applyAlignment="1">
      <alignment horizontal="center" vertical="center" wrapText="1"/>
    </xf>
    <xf numFmtId="0" fontId="3" fillId="0" borderId="18" xfId="0" applyFont="1" applyBorder="1"/>
    <xf numFmtId="0" fontId="3" fillId="0" borderId="96" xfId="0" applyFont="1" applyBorder="1" applyAlignment="1">
      <alignment wrapText="1"/>
    </xf>
    <xf numFmtId="0" fontId="98" fillId="0" borderId="96" xfId="0" applyFont="1" applyBorder="1" applyAlignment="1">
      <alignment horizontal="left" wrapText="1" indent="2"/>
    </xf>
    <xf numFmtId="0" fontId="4" fillId="0" borderId="18" xfId="0" applyFont="1" applyBorder="1"/>
    <xf numFmtId="0" fontId="4" fillId="0" borderId="96" xfId="0" applyFont="1" applyBorder="1" applyAlignment="1">
      <alignment wrapText="1"/>
    </xf>
    <xf numFmtId="0" fontId="110" fillId="3" borderId="62" xfId="0" applyFont="1" applyFill="1" applyBorder="1" applyAlignment="1">
      <alignment horizontal="left"/>
    </xf>
    <xf numFmtId="0" fontId="110"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3" xfId="7" applyNumberFormat="1" applyFont="1" applyFill="1" applyBorder="1"/>
    <xf numFmtId="0" fontId="98" fillId="0" borderId="96"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3" xfId="0" applyFont="1" applyFill="1" applyBorder="1"/>
    <xf numFmtId="0" fontId="4" fillId="0" borderId="21" xfId="0" applyFont="1" applyBorder="1"/>
    <xf numFmtId="0" fontId="4" fillId="0" borderId="22" xfId="0" applyFont="1" applyBorder="1" applyAlignment="1">
      <alignment wrapText="1"/>
    </xf>
    <xf numFmtId="0" fontId="2" fillId="2" borderId="85" xfId="0" applyFont="1" applyFill="1" applyBorder="1" applyAlignment="1">
      <alignment horizontal="right" vertical="center"/>
    </xf>
    <xf numFmtId="0" fontId="2" fillId="0" borderId="94" xfId="0" applyFont="1" applyBorder="1" applyAlignment="1">
      <alignment vertical="center" wrapText="1"/>
    </xf>
    <xf numFmtId="0" fontId="111" fillId="0" borderId="0" xfId="11" applyFont="1"/>
    <xf numFmtId="0" fontId="113" fillId="0" borderId="0" xfId="11" applyFont="1"/>
    <xf numFmtId="0" fontId="112" fillId="0" borderId="0" xfId="0" applyFont="1"/>
    <xf numFmtId="0" fontId="114" fillId="0" borderId="67" xfId="0" applyFont="1" applyBorder="1" applyAlignment="1">
      <alignment horizontal="left" vertical="center" wrapText="1"/>
    </xf>
    <xf numFmtId="0" fontId="6" fillId="0" borderId="111" xfId="17" applyBorder="1" applyAlignment="1" applyProtection="1"/>
    <xf numFmtId="0" fontId="112" fillId="0" borderId="0" xfId="0" applyFont="1" applyAlignment="1">
      <alignment horizontal="left" vertical="top" wrapText="1"/>
    </xf>
    <xf numFmtId="0" fontId="124" fillId="3" borderId="117" xfId="20966" applyFont="1" applyFill="1" applyBorder="1" applyAlignment="1">
      <alignment horizontal="left" vertical="center" wrapText="1" indent="1"/>
    </xf>
    <xf numFmtId="0" fontId="124" fillId="0" borderId="117" xfId="20966" applyFont="1" applyBorder="1" applyAlignment="1">
      <alignment horizontal="left" vertical="center" wrapText="1" indent="1"/>
    </xf>
    <xf numFmtId="0" fontId="125" fillId="0" borderId="117" xfId="20966" applyFont="1" applyBorder="1" applyAlignment="1">
      <alignment horizontal="left" vertical="center" wrapText="1"/>
    </xf>
    <xf numFmtId="0" fontId="125" fillId="0" borderId="117" xfId="0" applyFont="1" applyBorder="1" applyAlignment="1">
      <alignment vertical="center" wrapText="1"/>
    </xf>
    <xf numFmtId="0" fontId="127" fillId="0" borderId="117" xfId="20966" applyFont="1" applyBorder="1" applyAlignment="1">
      <alignment horizontal="center" vertical="center" wrapText="1"/>
    </xf>
    <xf numFmtId="0" fontId="125" fillId="3" borderId="117" xfId="20966" applyFont="1" applyFill="1" applyBorder="1" applyAlignment="1">
      <alignment horizontal="left" vertical="center" wrapText="1"/>
    </xf>
    <xf numFmtId="0" fontId="125" fillId="0" borderId="117"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17" xfId="0" applyFont="1" applyBorder="1" applyAlignment="1">
      <alignment horizontal="center" vertical="center" wrapText="1"/>
    </xf>
    <xf numFmtId="0" fontId="103" fillId="0" borderId="120" xfId="0" applyFont="1" applyBorder="1" applyAlignment="1">
      <alignment vertical="center" wrapText="1"/>
    </xf>
    <xf numFmtId="193" fontId="93" fillId="0" borderId="117" xfId="0" applyNumberFormat="1" applyFont="1" applyBorder="1" applyAlignment="1">
      <alignment horizontal="right"/>
    </xf>
    <xf numFmtId="193" fontId="93" fillId="36" borderId="117" xfId="0" applyNumberFormat="1" applyFont="1" applyFill="1" applyBorder="1" applyAlignment="1">
      <alignment horizontal="right"/>
    </xf>
    <xf numFmtId="193" fontId="93" fillId="36" borderId="80" xfId="0" applyNumberFormat="1" applyFont="1" applyFill="1" applyBorder="1" applyAlignment="1">
      <alignment horizontal="right"/>
    </xf>
    <xf numFmtId="0" fontId="2" fillId="0" borderId="120" xfId="0" applyFont="1" applyBorder="1" applyAlignment="1">
      <alignment horizontal="left" vertical="center" wrapText="1" indent="4"/>
    </xf>
    <xf numFmtId="0" fontId="45" fillId="0" borderId="120" xfId="0" applyFont="1" applyBorder="1" applyAlignment="1">
      <alignment vertical="center" wrapText="1"/>
    </xf>
    <xf numFmtId="0" fontId="2" fillId="0" borderId="117" xfId="0" applyFont="1" applyBorder="1" applyAlignment="1" applyProtection="1">
      <alignment horizontal="left" vertical="center" indent="11"/>
      <protection locked="0"/>
    </xf>
    <xf numFmtId="0" fontId="46" fillId="0" borderId="117" xfId="0" applyFont="1" applyBorder="1" applyAlignment="1" applyProtection="1">
      <alignment horizontal="left" vertical="center" indent="17"/>
      <protection locked="0"/>
    </xf>
    <xf numFmtId="0" fontId="110" fillId="0" borderId="117" xfId="0" applyFont="1" applyBorder="1" applyAlignment="1">
      <alignment vertical="center"/>
    </xf>
    <xf numFmtId="0" fontId="94" fillId="0" borderId="117" xfId="0" applyFont="1" applyBorder="1" applyAlignment="1">
      <alignment vertical="center" wrapText="1"/>
    </xf>
    <xf numFmtId="0" fontId="95" fillId="0" borderId="120" xfId="0" applyFont="1" applyBorder="1" applyAlignment="1">
      <alignment horizontal="left" vertical="center" wrapText="1"/>
    </xf>
    <xf numFmtId="0" fontId="2" fillId="0" borderId="120" xfId="0" applyFont="1" applyBorder="1" applyAlignment="1">
      <alignment horizontal="left" vertical="center" wrapText="1"/>
    </xf>
    <xf numFmtId="193" fontId="93" fillId="0" borderId="0" xfId="0" applyNumberFormat="1" applyFont="1" applyAlignment="1">
      <alignment horizontal="right"/>
    </xf>
    <xf numFmtId="0" fontId="124" fillId="3" borderId="117" xfId="0" applyFont="1" applyFill="1" applyBorder="1" applyAlignment="1">
      <alignment horizontal="left" vertical="center" wrapText="1" indent="1"/>
    </xf>
    <xf numFmtId="0" fontId="124" fillId="0" borderId="117" xfId="0" applyFont="1" applyBorder="1" applyAlignment="1">
      <alignment horizontal="left" vertical="center" wrapText="1" indent="1"/>
    </xf>
    <xf numFmtId="0" fontId="125" fillId="3" borderId="117" xfId="0" applyFont="1" applyFill="1" applyBorder="1" applyAlignment="1">
      <alignment horizontal="left" vertical="center" wrapText="1"/>
    </xf>
    <xf numFmtId="0" fontId="126" fillId="3" borderId="117" xfId="0" applyFont="1" applyFill="1" applyBorder="1" applyAlignment="1">
      <alignment horizontal="left" vertical="center" wrapText="1" indent="1"/>
    </xf>
    <xf numFmtId="0" fontId="128" fillId="0" borderId="117" xfId="0" applyFont="1" applyBorder="1" applyAlignment="1">
      <alignment horizontal="justify"/>
    </xf>
    <xf numFmtId="0" fontId="115" fillId="0" borderId="117" xfId="0" applyFont="1" applyBorder="1"/>
    <xf numFmtId="49" fontId="117" fillId="0" borderId="117" xfId="5" applyNumberFormat="1" applyFont="1" applyBorder="1" applyAlignment="1" applyProtection="1">
      <alignment horizontal="right" vertical="center"/>
      <protection locked="0"/>
    </xf>
    <xf numFmtId="0" fontId="116" fillId="3" borderId="117" xfId="13" applyFont="1" applyFill="1" applyBorder="1" applyAlignment="1" applyProtection="1">
      <alignment horizontal="left" vertical="center" wrapText="1"/>
      <protection locked="0"/>
    </xf>
    <xf numFmtId="49" fontId="116" fillId="3" borderId="117" xfId="5" applyNumberFormat="1" applyFont="1" applyFill="1" applyBorder="1" applyAlignment="1" applyProtection="1">
      <alignment horizontal="right" vertical="center"/>
      <protection locked="0"/>
    </xf>
    <xf numFmtId="0" fontId="116" fillId="0" borderId="117" xfId="13" applyFont="1" applyBorder="1" applyAlignment="1" applyProtection="1">
      <alignment horizontal="left" vertical="center" wrapText="1"/>
      <protection locked="0"/>
    </xf>
    <xf numFmtId="49" fontId="116" fillId="0" borderId="117" xfId="5" applyNumberFormat="1" applyFont="1" applyBorder="1" applyAlignment="1" applyProtection="1">
      <alignment horizontal="right" vertical="center"/>
      <protection locked="0"/>
    </xf>
    <xf numFmtId="0" fontId="118" fillId="0" borderId="117" xfId="13" applyFont="1" applyBorder="1" applyAlignment="1" applyProtection="1">
      <alignment horizontal="left" vertical="center" wrapText="1"/>
      <protection locked="0"/>
    </xf>
    <xf numFmtId="0" fontId="115" fillId="0" borderId="117" xfId="0" applyFont="1" applyBorder="1" applyAlignment="1">
      <alignment horizontal="center" vertical="center" wrapText="1"/>
    </xf>
    <xf numFmtId="14" fontId="112" fillId="0" borderId="0" xfId="0" applyNumberFormat="1" applyFont="1"/>
    <xf numFmtId="43" fontId="95" fillId="0" borderId="0" xfId="7" applyFont="1"/>
    <xf numFmtId="0" fontId="112" fillId="0" borderId="0" xfId="0" applyFont="1" applyAlignment="1">
      <alignment wrapText="1"/>
    </xf>
    <xf numFmtId="0" fontId="111" fillId="0" borderId="117" xfId="0" applyFont="1" applyBorder="1"/>
    <xf numFmtId="0" fontId="111" fillId="0" borderId="117" xfId="0" applyFont="1" applyBorder="1" applyAlignment="1">
      <alignment horizontal="left" indent="8"/>
    </xf>
    <xf numFmtId="0" fontId="111" fillId="0" borderId="117" xfId="0" applyFont="1" applyBorder="1" applyAlignment="1">
      <alignment wrapText="1"/>
    </xf>
    <xf numFmtId="0" fontId="115" fillId="0" borderId="0" xfId="0" applyFont="1"/>
    <xf numFmtId="0" fontId="114" fillId="0" borderId="117" xfId="0" applyFont="1" applyBorder="1"/>
    <xf numFmtId="49" fontId="117" fillId="0" borderId="117" xfId="5" applyNumberFormat="1" applyFont="1" applyBorder="1" applyAlignment="1" applyProtection="1">
      <alignment horizontal="right" vertical="center" wrapText="1"/>
      <protection locked="0"/>
    </xf>
    <xf numFmtId="49" fontId="116" fillId="3" borderId="117" xfId="5" applyNumberFormat="1" applyFont="1" applyFill="1" applyBorder="1" applyAlignment="1" applyProtection="1">
      <alignment horizontal="right" vertical="center" wrapText="1"/>
      <protection locked="0"/>
    </xf>
    <xf numFmtId="49" fontId="116" fillId="0" borderId="117" xfId="5" applyNumberFormat="1" applyFont="1" applyBorder="1" applyAlignment="1" applyProtection="1">
      <alignment horizontal="right" vertical="center" wrapText="1"/>
      <protection locked="0"/>
    </xf>
    <xf numFmtId="0" fontId="111" fillId="0" borderId="117" xfId="0" applyFont="1" applyBorder="1" applyAlignment="1">
      <alignment horizontal="center" vertical="center" wrapText="1"/>
    </xf>
    <xf numFmtId="0" fontId="111" fillId="0" borderId="121" xfId="0" applyFont="1" applyBorder="1" applyAlignment="1">
      <alignment horizontal="center" vertical="center" wrapText="1"/>
    </xf>
    <xf numFmtId="0" fontId="111" fillId="0" borderId="117" xfId="0" applyFont="1" applyBorder="1" applyAlignment="1">
      <alignment horizontal="center" vertical="center"/>
    </xf>
    <xf numFmtId="0" fontId="111" fillId="0" borderId="0" xfId="0" applyFont="1"/>
    <xf numFmtId="0" fontId="111" fillId="0" borderId="0" xfId="0" applyFont="1" applyAlignment="1">
      <alignment wrapText="1"/>
    </xf>
    <xf numFmtId="14" fontId="111" fillId="0" borderId="0" xfId="0" applyNumberFormat="1" applyFont="1"/>
    <xf numFmtId="0" fontId="112" fillId="0" borderId="0" xfId="0" applyFont="1" applyAlignment="1">
      <alignment horizontal="left"/>
    </xf>
    <xf numFmtId="0" fontId="111" fillId="0" borderId="117" xfId="0" applyFont="1" applyBorder="1" applyAlignment="1">
      <alignment horizontal="left" vertical="center" wrapText="1"/>
    </xf>
    <xf numFmtId="0" fontId="114" fillId="0" borderId="117" xfId="0" applyFont="1" applyBorder="1" applyAlignment="1">
      <alignment horizontal="left" wrapText="1" indent="1"/>
    </xf>
    <xf numFmtId="0" fontId="114" fillId="0" borderId="117" xfId="0" applyFont="1" applyBorder="1" applyAlignment="1">
      <alignment horizontal="left" vertical="center" indent="1"/>
    </xf>
    <xf numFmtId="0" fontId="112" fillId="0" borderId="117" xfId="0" applyFont="1" applyBorder="1"/>
    <xf numFmtId="0" fontId="111" fillId="0" borderId="117" xfId="0" applyFont="1" applyBorder="1" applyAlignment="1">
      <alignment horizontal="left" wrapText="1" indent="1"/>
    </xf>
    <xf numFmtId="0" fontId="111" fillId="0" borderId="117" xfId="0" applyFont="1" applyBorder="1" applyAlignment="1">
      <alignment horizontal="left" indent="1"/>
    </xf>
    <xf numFmtId="0" fontId="111" fillId="0" borderId="117" xfId="0" applyFont="1" applyBorder="1" applyAlignment="1">
      <alignment horizontal="left" wrapText="1" indent="4"/>
    </xf>
    <xf numFmtId="0" fontId="111" fillId="0" borderId="117" xfId="0" applyFont="1" applyBorder="1" applyAlignment="1">
      <alignment horizontal="left" indent="3"/>
    </xf>
    <xf numFmtId="0" fontId="114" fillId="0" borderId="117" xfId="0" applyFont="1" applyBorder="1" applyAlignment="1">
      <alignment horizontal="left" indent="1"/>
    </xf>
    <xf numFmtId="0" fontId="112" fillId="78" borderId="117" xfId="0" applyFont="1" applyFill="1" applyBorder="1"/>
    <xf numFmtId="0" fontId="115" fillId="0" borderId="7" xfId="0" applyFont="1" applyBorder="1"/>
    <xf numFmtId="0" fontId="112" fillId="0" borderId="117" xfId="0" applyFont="1" applyBorder="1" applyAlignment="1">
      <alignment horizontal="left" wrapText="1" indent="2"/>
    </xf>
    <xf numFmtId="0" fontId="112" fillId="0" borderId="117" xfId="0" applyFont="1" applyBorder="1" applyAlignment="1">
      <alignment horizontal="left" wrapText="1"/>
    </xf>
    <xf numFmtId="0" fontId="111" fillId="0" borderId="117" xfId="0" applyFont="1" applyBorder="1" applyAlignment="1">
      <alignment horizontal="center"/>
    </xf>
    <xf numFmtId="0" fontId="111" fillId="0" borderId="0" xfId="0" applyFont="1" applyAlignment="1">
      <alignment horizontal="center" vertical="center"/>
    </xf>
    <xf numFmtId="0" fontId="111" fillId="0" borderId="7" xfId="0" applyFont="1" applyBorder="1" applyAlignment="1">
      <alignment horizontal="center" vertical="center" wrapText="1"/>
    </xf>
    <xf numFmtId="0" fontId="111" fillId="0" borderId="7" xfId="0" applyFont="1" applyBorder="1" applyAlignment="1">
      <alignment wrapText="1"/>
    </xf>
    <xf numFmtId="0" fontId="111" fillId="0" borderId="0" xfId="0" applyFont="1" applyAlignment="1">
      <alignment horizontal="center" vertical="center" wrapText="1"/>
    </xf>
    <xf numFmtId="0" fontId="111" fillId="0" borderId="103" xfId="0" applyFont="1" applyBorder="1" applyAlignment="1">
      <alignment horizontal="center" vertical="center" wrapText="1"/>
    </xf>
    <xf numFmtId="0" fontId="111" fillId="0" borderId="120" xfId="0" applyFont="1" applyBorder="1" applyAlignment="1">
      <alignment horizontal="center" vertical="center" wrapText="1"/>
    </xf>
    <xf numFmtId="0" fontId="111" fillId="0" borderId="104" xfId="0" applyFont="1" applyBorder="1" applyAlignment="1">
      <alignment horizontal="center" vertical="center" wrapText="1"/>
    </xf>
    <xf numFmtId="49" fontId="111" fillId="0" borderId="23" xfId="0" applyNumberFormat="1" applyFont="1" applyBorder="1" applyAlignment="1">
      <alignment horizontal="left" wrapText="1" indent="1"/>
    </xf>
    <xf numFmtId="0" fontId="111" fillId="0" borderId="21" xfId="0" applyFont="1" applyBorder="1" applyAlignment="1">
      <alignment horizontal="left" wrapText="1" indent="1"/>
    </xf>
    <xf numFmtId="49" fontId="111" fillId="0" borderId="80" xfId="0" applyNumberFormat="1" applyFont="1" applyBorder="1" applyAlignment="1">
      <alignment horizontal="left" wrapText="1" indent="1"/>
    </xf>
    <xf numFmtId="0" fontId="111" fillId="0" borderId="18" xfId="0" applyFont="1" applyBorder="1" applyAlignment="1">
      <alignment horizontal="left" wrapText="1" indent="1"/>
    </xf>
    <xf numFmtId="49" fontId="111" fillId="0" borderId="18" xfId="0" applyNumberFormat="1" applyFont="1" applyBorder="1" applyAlignment="1">
      <alignment horizontal="left" wrapText="1" indent="3"/>
    </xf>
    <xf numFmtId="49" fontId="111" fillId="0" borderId="80" xfId="0" applyNumberFormat="1" applyFont="1" applyBorder="1" applyAlignment="1">
      <alignment horizontal="left" wrapText="1" indent="3"/>
    </xf>
    <xf numFmtId="49" fontId="111" fillId="0" borderId="18" xfId="0" applyNumberFormat="1" applyFont="1" applyBorder="1" applyAlignment="1">
      <alignment horizontal="left" wrapText="1" indent="2"/>
    </xf>
    <xf numFmtId="49" fontId="111" fillId="0" borderId="80" xfId="0" applyNumberFormat="1" applyFont="1" applyBorder="1" applyAlignment="1">
      <alignment horizontal="left" wrapText="1" indent="2"/>
    </xf>
    <xf numFmtId="49" fontId="111" fillId="0" borderId="80" xfId="0" applyNumberFormat="1" applyFont="1" applyBorder="1" applyAlignment="1">
      <alignment horizontal="left" vertical="top" wrapText="1" indent="2"/>
    </xf>
    <xf numFmtId="49" fontId="111" fillId="0" borderId="80" xfId="0" applyNumberFormat="1" applyFont="1" applyBorder="1" applyAlignment="1">
      <alignment horizontal="left" indent="1"/>
    </xf>
    <xf numFmtId="0" fontId="111" fillId="0" borderId="18" xfId="0" applyFont="1" applyBorder="1" applyAlignment="1">
      <alignment horizontal="left" indent="1"/>
    </xf>
    <xf numFmtId="49" fontId="111" fillId="0" borderId="18" xfId="0" applyNumberFormat="1" applyFont="1" applyBorder="1" applyAlignment="1">
      <alignment horizontal="left" indent="1"/>
    </xf>
    <xf numFmtId="49" fontId="111" fillId="0" borderId="18" xfId="0" applyNumberFormat="1" applyFont="1" applyBorder="1" applyAlignment="1">
      <alignment horizontal="left" indent="3"/>
    </xf>
    <xf numFmtId="49" fontId="111" fillId="0" borderId="80" xfId="0" applyNumberFormat="1" applyFont="1" applyBorder="1" applyAlignment="1">
      <alignment horizontal="left" indent="3"/>
    </xf>
    <xf numFmtId="0" fontId="111" fillId="0" borderId="18" xfId="0" applyFont="1" applyBorder="1" applyAlignment="1">
      <alignment horizontal="left" indent="2"/>
    </xf>
    <xf numFmtId="0" fontId="111" fillId="0" borderId="80" xfId="0" applyFont="1" applyBorder="1" applyAlignment="1">
      <alignment horizontal="left" indent="2"/>
    </xf>
    <xf numFmtId="0" fontId="111" fillId="0" borderId="80" xfId="0" applyFont="1" applyBorder="1" applyAlignment="1">
      <alignment horizontal="left" indent="1"/>
    </xf>
    <xf numFmtId="0" fontId="114" fillId="0" borderId="63" xfId="0" applyFont="1" applyBorder="1"/>
    <xf numFmtId="0" fontId="111" fillId="0" borderId="66" xfId="0" applyFont="1" applyBorder="1"/>
    <xf numFmtId="0" fontId="111" fillId="0" borderId="74" xfId="0" applyFont="1" applyBorder="1" applyAlignment="1">
      <alignment horizontal="center" vertical="center" wrapText="1"/>
    </xf>
    <xf numFmtId="0" fontId="111" fillId="0" borderId="80" xfId="0" applyFont="1" applyBorder="1" applyAlignment="1">
      <alignment horizontal="center" vertical="center" wrapText="1"/>
    </xf>
    <xf numFmtId="0" fontId="111" fillId="0" borderId="0" xfId="0" applyFont="1" applyAlignment="1">
      <alignment horizontal="left"/>
    </xf>
    <xf numFmtId="0" fontId="114" fillId="0" borderId="117" xfId="0" applyFont="1" applyBorder="1" applyAlignment="1">
      <alignment horizontal="left" vertical="center" wrapText="1"/>
    </xf>
    <xf numFmtId="0" fontId="116" fillId="0" borderId="0" xfId="0" applyFont="1"/>
    <xf numFmtId="0" fontId="93" fillId="0" borderId="0" xfId="0" applyFont="1" applyAlignment="1">
      <alignment wrapText="1"/>
    </xf>
    <xf numFmtId="0" fontId="114" fillId="0" borderId="117" xfId="0" applyFont="1" applyBorder="1" applyAlignment="1">
      <alignment horizontal="center" vertical="center" wrapText="1"/>
    </xf>
    <xf numFmtId="0" fontId="116" fillId="0" borderId="0" xfId="0" applyFont="1" applyAlignment="1">
      <alignment horizontal="center" vertical="center"/>
    </xf>
    <xf numFmtId="0" fontId="132" fillId="0" borderId="0" xfId="0" applyFont="1"/>
    <xf numFmtId="0" fontId="111" fillId="0" borderId="115" xfId="0" applyFont="1" applyBorder="1" applyAlignment="1">
      <alignment horizontal="left" vertical="center" wrapText="1" indent="1" readingOrder="1"/>
    </xf>
    <xf numFmtId="0" fontId="132" fillId="0" borderId="117" xfId="0" applyFont="1" applyBorder="1" applyAlignment="1">
      <alignment horizontal="left" indent="3"/>
    </xf>
    <xf numFmtId="0" fontId="114" fillId="0" borderId="117" xfId="0" applyFont="1" applyBorder="1" applyAlignment="1">
      <alignment vertical="center" wrapText="1" readingOrder="1"/>
    </xf>
    <xf numFmtId="0" fontId="132" fillId="0" borderId="117" xfId="0" applyFont="1" applyBorder="1" applyAlignment="1">
      <alignment horizontal="left" indent="2"/>
    </xf>
    <xf numFmtId="0" fontId="111" fillId="0" borderId="116" xfId="0" applyFont="1" applyBorder="1" applyAlignment="1">
      <alignment vertical="center" wrapText="1" readingOrder="1"/>
    </xf>
    <xf numFmtId="0" fontId="132" fillId="0" borderId="121" xfId="0" applyFont="1" applyBorder="1" applyAlignment="1">
      <alignment horizontal="left" indent="2"/>
    </xf>
    <xf numFmtId="0" fontId="111" fillId="0" borderId="115" xfId="0" applyFont="1" applyBorder="1" applyAlignment="1">
      <alignment vertical="center" wrapText="1" readingOrder="1"/>
    </xf>
    <xf numFmtId="0" fontId="111" fillId="0" borderId="114" xfId="0" applyFont="1" applyBorder="1" applyAlignment="1">
      <alignment vertical="center" wrapText="1" readingOrder="1"/>
    </xf>
    <xf numFmtId="0" fontId="132" fillId="0" borderId="7" xfId="0" applyFont="1" applyBorder="1"/>
    <xf numFmtId="0" fontId="2" fillId="0" borderId="15" xfId="0" applyFont="1" applyBorder="1" applyAlignment="1">
      <alignment horizontal="left" vertical="center" wrapText="1" indent="1"/>
    </xf>
    <xf numFmtId="167" fontId="134" fillId="80" borderId="57" xfId="0" applyNumberFormat="1" applyFont="1" applyFill="1" applyBorder="1" applyAlignment="1">
      <alignment horizontal="center"/>
    </xf>
    <xf numFmtId="0" fontId="2" fillId="81" borderId="0" xfId="13" applyFont="1" applyFill="1" applyAlignment="1" applyProtection="1">
      <alignment wrapText="1"/>
      <protection locked="0"/>
    </xf>
    <xf numFmtId="193" fontId="95" fillId="0" borderId="117" xfId="0" applyNumberFormat="1" applyFont="1" applyBorder="1" applyAlignment="1" applyProtection="1">
      <alignment vertical="center" wrapText="1"/>
      <protection locked="0"/>
    </xf>
    <xf numFmtId="193" fontId="3" fillId="0" borderId="117" xfId="0" applyNumberFormat="1" applyFont="1" applyBorder="1" applyAlignment="1" applyProtection="1">
      <alignment vertical="center" wrapText="1"/>
      <protection locked="0"/>
    </xf>
    <xf numFmtId="193" fontId="3" fillId="0" borderId="80" xfId="0" applyNumberFormat="1" applyFont="1" applyBorder="1" applyAlignment="1" applyProtection="1">
      <alignment vertical="center" wrapText="1"/>
      <protection locked="0"/>
    </xf>
    <xf numFmtId="169" fontId="9" fillId="37" borderId="93" xfId="20" applyBorder="1"/>
    <xf numFmtId="193" fontId="95" fillId="0" borderId="117" xfId="0" applyNumberFormat="1" applyFont="1" applyBorder="1" applyAlignment="1" applyProtection="1">
      <alignment horizontal="right" vertical="center" wrapText="1"/>
      <protection locked="0"/>
    </xf>
    <xf numFmtId="165" fontId="3" fillId="0" borderId="117" xfId="20962" applyNumberFormat="1" applyFont="1" applyFill="1" applyBorder="1" applyAlignment="1" applyProtection="1">
      <alignment horizontal="right" vertical="center" wrapText="1"/>
      <protection locked="0"/>
    </xf>
    <xf numFmtId="165" fontId="3" fillId="0" borderId="117" xfId="20962" applyNumberFormat="1" applyFont="1" applyBorder="1" applyAlignment="1" applyProtection="1">
      <alignment vertical="center" wrapText="1"/>
      <protection locked="0"/>
    </xf>
    <xf numFmtId="165" fontId="3" fillId="0" borderId="80" xfId="20962" applyNumberFormat="1" applyFont="1" applyBorder="1" applyAlignment="1" applyProtection="1">
      <alignment vertical="center" wrapText="1"/>
      <protection locked="0"/>
    </xf>
    <xf numFmtId="165" fontId="9" fillId="37" borderId="0" xfId="20" applyNumberFormat="1"/>
    <xf numFmtId="165" fontId="9" fillId="37" borderId="93" xfId="20" applyNumberFormat="1" applyBorder="1"/>
    <xf numFmtId="165" fontId="93" fillId="2" borderId="117" xfId="20962" applyNumberFormat="1" applyFont="1" applyFill="1" applyBorder="1" applyAlignment="1" applyProtection="1">
      <alignment vertical="center"/>
      <protection locked="0"/>
    </xf>
    <xf numFmtId="165" fontId="135" fillId="2" borderId="117" xfId="20962" applyNumberFormat="1" applyFont="1" applyFill="1" applyBorder="1" applyAlignment="1" applyProtection="1">
      <alignment vertical="center"/>
      <protection locked="0"/>
    </xf>
    <xf numFmtId="165" fontId="135" fillId="2" borderId="80" xfId="20962" applyNumberFormat="1" applyFont="1" applyFill="1" applyBorder="1" applyAlignment="1" applyProtection="1">
      <alignment vertical="center"/>
      <protection locked="0"/>
    </xf>
    <xf numFmtId="165" fontId="93" fillId="2" borderId="80" xfId="20962" applyNumberFormat="1" applyFont="1" applyFill="1" applyBorder="1" applyAlignment="1" applyProtection="1">
      <alignment vertical="center"/>
      <protection locked="0"/>
    </xf>
    <xf numFmtId="193" fontId="93" fillId="2" borderId="117" xfId="0" applyNumberFormat="1" applyFont="1" applyFill="1" applyBorder="1" applyAlignment="1" applyProtection="1">
      <alignment vertical="center"/>
      <protection locked="0"/>
    </xf>
    <xf numFmtId="193" fontId="93" fillId="2" borderId="80" xfId="0" applyNumberFormat="1" applyFont="1" applyFill="1" applyBorder="1" applyAlignment="1" applyProtection="1">
      <alignment vertical="center"/>
      <protection locked="0"/>
    </xf>
    <xf numFmtId="193" fontId="135" fillId="2" borderId="117" xfId="0" applyNumberFormat="1" applyFont="1" applyFill="1" applyBorder="1" applyAlignment="1" applyProtection="1">
      <alignment vertical="center"/>
      <protection locked="0"/>
    </xf>
    <xf numFmtId="193" fontId="135" fillId="2" borderId="80" xfId="0" applyNumberFormat="1" applyFont="1" applyFill="1" applyBorder="1" applyAlignment="1" applyProtection="1">
      <alignment vertical="center"/>
      <protection locked="0"/>
    </xf>
    <xf numFmtId="193" fontId="93" fillId="2" borderId="121" xfId="0" applyNumberFormat="1" applyFont="1" applyFill="1" applyBorder="1" applyAlignment="1" applyProtection="1">
      <alignment vertical="center"/>
      <protection locked="0"/>
    </xf>
    <xf numFmtId="193" fontId="135" fillId="2" borderId="121" xfId="0" applyNumberFormat="1" applyFont="1" applyFill="1" applyBorder="1" applyAlignment="1" applyProtection="1">
      <alignment vertical="center"/>
      <protection locked="0"/>
    </xf>
    <xf numFmtId="193" fontId="135" fillId="2" borderId="88" xfId="0" applyNumberFormat="1" applyFont="1" applyFill="1" applyBorder="1" applyAlignment="1" applyProtection="1">
      <alignment vertical="center"/>
      <protection locked="0"/>
    </xf>
    <xf numFmtId="165" fontId="93" fillId="2" borderId="22" xfId="20962" applyNumberFormat="1" applyFont="1" applyFill="1" applyBorder="1" applyAlignment="1" applyProtection="1">
      <alignment vertical="center"/>
      <protection locked="0"/>
    </xf>
    <xf numFmtId="165" fontId="135" fillId="2" borderId="22" xfId="20962" applyNumberFormat="1" applyFont="1" applyFill="1" applyBorder="1" applyAlignment="1" applyProtection="1">
      <alignment vertical="center"/>
      <protection locked="0"/>
    </xf>
    <xf numFmtId="165" fontId="135" fillId="2" borderId="23" xfId="20962" applyNumberFormat="1" applyFont="1" applyFill="1" applyBorder="1" applyAlignment="1" applyProtection="1">
      <alignment vertical="center"/>
      <protection locked="0"/>
    </xf>
    <xf numFmtId="164" fontId="3" fillId="0" borderId="117" xfId="7" applyNumberFormat="1" applyFont="1" applyBorder="1" applyAlignment="1" applyProtection="1">
      <alignment vertical="center" wrapText="1"/>
      <protection locked="0"/>
    </xf>
    <xf numFmtId="164" fontId="3" fillId="0" borderId="80" xfId="7" applyNumberFormat="1" applyFont="1" applyBorder="1" applyAlignment="1" applyProtection="1">
      <alignment vertical="center" wrapText="1"/>
      <protection locked="0"/>
    </xf>
    <xf numFmtId="164" fontId="93" fillId="2" borderId="117" xfId="7" applyNumberFormat="1" applyFont="1" applyFill="1" applyBorder="1" applyAlignment="1" applyProtection="1">
      <alignment vertical="center"/>
      <protection locked="0"/>
    </xf>
    <xf numFmtId="164" fontId="93" fillId="2" borderId="80" xfId="7" applyNumberFormat="1" applyFont="1" applyFill="1" applyBorder="1" applyAlignment="1" applyProtection="1">
      <alignment vertical="center"/>
      <protection locked="0"/>
    </xf>
    <xf numFmtId="164" fontId="135" fillId="2" borderId="117" xfId="7" applyNumberFormat="1" applyFont="1" applyFill="1" applyBorder="1" applyAlignment="1" applyProtection="1">
      <alignment vertical="center"/>
      <protection locked="0"/>
    </xf>
    <xf numFmtId="164" fontId="135" fillId="2" borderId="80" xfId="7" applyNumberFormat="1" applyFont="1" applyFill="1" applyBorder="1" applyAlignment="1" applyProtection="1">
      <alignment vertical="center"/>
      <protection locked="0"/>
    </xf>
    <xf numFmtId="0" fontId="123" fillId="0" borderId="117" xfId="0" applyFont="1" applyBorder="1" applyAlignment="1">
      <alignment horizontal="left" vertical="center" wrapText="1"/>
    </xf>
    <xf numFmtId="0" fontId="126" fillId="0" borderId="117" xfId="0" applyFont="1" applyBorder="1" applyAlignment="1">
      <alignment horizontal="left" vertical="center" wrapText="1" indent="1"/>
    </xf>
    <xf numFmtId="0" fontId="126" fillId="0" borderId="117" xfId="20966" applyFont="1" applyBorder="1" applyAlignment="1">
      <alignment horizontal="left" vertical="center" wrapText="1" indent="1"/>
    </xf>
    <xf numFmtId="0" fontId="110" fillId="0" borderId="117" xfId="0" applyFont="1" applyBorder="1" applyAlignment="1">
      <alignment horizontal="center" vertical="center"/>
    </xf>
    <xf numFmtId="0" fontId="123" fillId="3" borderId="117" xfId="20966" applyFont="1" applyFill="1" applyBorder="1" applyAlignment="1">
      <alignment horizontal="left" vertical="center" wrapText="1"/>
    </xf>
    <xf numFmtId="0" fontId="0" fillId="0" borderId="18" xfId="0" applyBorder="1" applyAlignment="1">
      <alignment horizontal="center" vertical="center"/>
    </xf>
    <xf numFmtId="0" fontId="2" fillId="0" borderId="80" xfId="0" applyFont="1" applyBorder="1" applyAlignment="1">
      <alignment horizontal="center" vertical="center" wrapText="1"/>
    </xf>
    <xf numFmtId="0" fontId="0" fillId="0" borderId="18" xfId="0" applyBorder="1" applyAlignment="1">
      <alignment horizontal="center"/>
    </xf>
    <xf numFmtId="0" fontId="0" fillId="0" borderId="21" xfId="0" applyBorder="1" applyAlignment="1">
      <alignment horizontal="center"/>
    </xf>
    <xf numFmtId="0" fontId="125" fillId="0" borderId="22" xfId="0" applyFont="1" applyBorder="1" applyAlignment="1">
      <alignment horizontal="left" vertical="center" wrapText="1"/>
    </xf>
    <xf numFmtId="164" fontId="0" fillId="0" borderId="117" xfId="7" applyNumberFormat="1" applyFont="1" applyBorder="1"/>
    <xf numFmtId="164" fontId="0" fillId="36" borderId="117" xfId="7" applyNumberFormat="1" applyFont="1" applyFill="1" applyBorder="1"/>
    <xf numFmtId="164" fontId="0" fillId="36" borderId="80" xfId="7" applyNumberFormat="1" applyFont="1" applyFill="1" applyBorder="1"/>
    <xf numFmtId="164" fontId="0" fillId="0" borderId="117" xfId="7" applyNumberFormat="1" applyFont="1" applyBorder="1" applyAlignment="1">
      <alignment vertical="center"/>
    </xf>
    <xf numFmtId="164" fontId="0" fillId="36" borderId="117" xfId="7" applyNumberFormat="1" applyFont="1" applyFill="1" applyBorder="1" applyAlignment="1">
      <alignment vertical="center"/>
    </xf>
    <xf numFmtId="164" fontId="0" fillId="36" borderId="80" xfId="7" applyNumberFormat="1" applyFont="1" applyFill="1" applyBorder="1" applyAlignment="1">
      <alignment vertical="center"/>
    </xf>
    <xf numFmtId="164" fontId="0" fillId="0" borderId="22" xfId="7" applyNumberFormat="1" applyFont="1" applyBorder="1"/>
    <xf numFmtId="164" fontId="0" fillId="36" borderId="22" xfId="7" applyNumberFormat="1" applyFont="1" applyFill="1" applyBorder="1"/>
    <xf numFmtId="164" fontId="0" fillId="36" borderId="23" xfId="7" applyNumberFormat="1" applyFont="1" applyFill="1" applyBorder="1"/>
    <xf numFmtId="0" fontId="125" fillId="0" borderId="117" xfId="0" applyFont="1" applyBorder="1" applyAlignment="1">
      <alignment horizontal="justify" vertical="center" wrapText="1"/>
    </xf>
    <xf numFmtId="0" fontId="123" fillId="0" borderId="117" xfId="0" applyFont="1" applyBorder="1" applyAlignment="1">
      <alignment horizontal="justify" vertical="center" wrapText="1"/>
    </xf>
    <xf numFmtId="0" fontId="125" fillId="3" borderId="117" xfId="0" applyFont="1" applyFill="1" applyBorder="1" applyAlignment="1">
      <alignment horizontal="justify" vertical="center" wrapText="1"/>
    </xf>
    <xf numFmtId="0" fontId="123" fillId="0" borderId="117" xfId="0" applyFont="1" applyBorder="1" applyAlignment="1">
      <alignment vertical="center" wrapText="1"/>
    </xf>
    <xf numFmtId="0" fontId="124" fillId="0" borderId="117" xfId="0" applyFont="1" applyBorder="1" applyAlignment="1">
      <alignment horizontal="left" vertical="center" wrapText="1"/>
    </xf>
    <xf numFmtId="0" fontId="0" fillId="0" borderId="21" xfId="0" applyBorder="1" applyAlignment="1">
      <alignment horizontal="center" vertical="center"/>
    </xf>
    <xf numFmtId="0" fontId="125" fillId="3" borderId="22" xfId="0" applyFont="1" applyFill="1" applyBorder="1" applyAlignment="1">
      <alignment vertical="center" wrapText="1"/>
    </xf>
    <xf numFmtId="193" fontId="93" fillId="0" borderId="22" xfId="0" applyNumberFormat="1" applyFont="1" applyBorder="1" applyAlignment="1">
      <alignment horizontal="right"/>
    </xf>
    <xf numFmtId="193" fontId="93" fillId="36" borderId="22" xfId="0" applyNumberFormat="1" applyFont="1" applyFill="1" applyBorder="1" applyAlignment="1">
      <alignment horizontal="right"/>
    </xf>
    <xf numFmtId="193" fontId="93" fillId="36" borderId="23" xfId="0" applyNumberFormat="1" applyFont="1" applyFill="1" applyBorder="1" applyAlignment="1">
      <alignment horizontal="right"/>
    </xf>
    <xf numFmtId="164" fontId="93" fillId="0" borderId="117" xfId="7" applyNumberFormat="1" applyFont="1" applyBorder="1" applyAlignment="1">
      <alignment horizontal="right"/>
    </xf>
    <xf numFmtId="43" fontId="93" fillId="0" borderId="117" xfId="7" applyFont="1" applyBorder="1" applyAlignment="1">
      <alignment horizontal="right"/>
    </xf>
    <xf numFmtId="43" fontId="3" fillId="0" borderId="117" xfId="7" applyFont="1" applyFill="1" applyBorder="1" applyAlignment="1">
      <alignment vertical="center" wrapText="1"/>
    </xf>
    <xf numFmtId="43" fontId="3" fillId="0" borderId="80" xfId="7" applyFont="1" applyFill="1" applyBorder="1" applyAlignment="1">
      <alignment vertical="center" wrapText="1"/>
    </xf>
    <xf numFmtId="43" fontId="3" fillId="0" borderId="117" xfId="7" applyFont="1" applyBorder="1" applyAlignment="1">
      <alignment vertical="center"/>
    </xf>
    <xf numFmtId="43" fontId="3" fillId="0" borderId="80" xfId="7" applyFont="1" applyBorder="1" applyAlignment="1">
      <alignment vertical="center"/>
    </xf>
    <xf numFmtId="0" fontId="86" fillId="0" borderId="117" xfId="0" applyFont="1" applyBorder="1" applyAlignment="1">
      <alignment horizontal="center" vertical="center" wrapText="1"/>
    </xf>
    <xf numFmtId="193" fontId="86" fillId="36" borderId="23" xfId="0" applyNumberFormat="1" applyFont="1" applyFill="1" applyBorder="1" applyAlignment="1">
      <alignment horizontal="center" vertical="center"/>
    </xf>
    <xf numFmtId="193" fontId="95" fillId="36" borderId="80" xfId="2" applyNumberFormat="1" applyFont="1" applyFill="1" applyBorder="1" applyAlignment="1" applyProtection="1">
      <alignment vertical="top"/>
    </xf>
    <xf numFmtId="193" fontId="95" fillId="3" borderId="80" xfId="2" applyNumberFormat="1" applyFont="1" applyFill="1" applyBorder="1" applyAlignment="1" applyProtection="1">
      <alignment vertical="top"/>
      <protection locked="0"/>
    </xf>
    <xf numFmtId="193" fontId="95" fillId="36" borderId="80" xfId="2" applyNumberFormat="1" applyFont="1" applyFill="1" applyBorder="1" applyAlignment="1" applyProtection="1">
      <alignment vertical="top" wrapText="1"/>
    </xf>
    <xf numFmtId="193" fontId="95" fillId="3" borderId="80" xfId="2" applyNumberFormat="1" applyFont="1" applyFill="1" applyBorder="1" applyAlignment="1" applyProtection="1">
      <alignment vertical="top" wrapText="1"/>
      <protection locked="0"/>
    </xf>
    <xf numFmtId="193" fontId="95" fillId="36" borderId="80" xfId="2" applyNumberFormat="1" applyFont="1" applyFill="1" applyBorder="1" applyAlignment="1" applyProtection="1">
      <alignment vertical="top" wrapText="1"/>
      <protection locked="0"/>
    </xf>
    <xf numFmtId="193" fontId="95" fillId="36" borderId="23" xfId="2" applyNumberFormat="1" applyFont="1" applyFill="1" applyBorder="1" applyAlignment="1" applyProtection="1">
      <alignment vertical="top" wrapText="1"/>
    </xf>
    <xf numFmtId="10" fontId="99" fillId="0" borderId="117" xfId="20962" applyNumberFormat="1" applyFont="1" applyFill="1" applyBorder="1" applyAlignment="1">
      <alignment horizontal="left" vertical="center" wrapText="1"/>
    </xf>
    <xf numFmtId="164" fontId="3" fillId="0" borderId="80" xfId="7" applyNumberFormat="1" applyFont="1" applyBorder="1" applyAlignment="1">
      <alignment horizontal="right" vertical="center" wrapText="1"/>
    </xf>
    <xf numFmtId="164" fontId="4" fillId="36" borderId="80" xfId="7" applyNumberFormat="1" applyFont="1" applyFill="1" applyBorder="1" applyAlignment="1">
      <alignment horizontal="left" vertical="center" wrapText="1"/>
    </xf>
    <xf numFmtId="164" fontId="3" fillId="0" borderId="23" xfId="7" applyNumberFormat="1" applyFont="1" applyBorder="1" applyAlignment="1">
      <alignment horizontal="right" vertical="center" wrapText="1"/>
    </xf>
    <xf numFmtId="164" fontId="136" fillId="0" borderId="31" xfId="7" applyNumberFormat="1" applyFont="1" applyBorder="1" applyAlignment="1">
      <alignment horizontal="center" vertical="center"/>
    </xf>
    <xf numFmtId="164" fontId="137" fillId="0" borderId="11" xfId="7" applyNumberFormat="1" applyFont="1" applyBorder="1" applyAlignment="1">
      <alignment horizontal="center" vertical="center"/>
    </xf>
    <xf numFmtId="164" fontId="136" fillId="0" borderId="11" xfId="7" applyNumberFormat="1" applyFont="1" applyBorder="1" applyAlignment="1">
      <alignment horizontal="center" vertical="center"/>
    </xf>
    <xf numFmtId="164" fontId="134" fillId="0" borderId="11" xfId="7" applyNumberFormat="1" applyFont="1" applyBorder="1" applyAlignment="1">
      <alignment horizontal="center" vertical="center"/>
    </xf>
    <xf numFmtId="164" fontId="138" fillId="0" borderId="11" xfId="7" applyNumberFormat="1" applyFont="1" applyBorder="1" applyAlignment="1">
      <alignment horizontal="center" vertical="center"/>
    </xf>
    <xf numFmtId="164" fontId="137" fillId="0" borderId="12" xfId="7" applyNumberFormat="1" applyFont="1" applyBorder="1" applyAlignment="1">
      <alignment horizontal="center" vertical="center"/>
    </xf>
    <xf numFmtId="164" fontId="136" fillId="0" borderId="13" xfId="7" applyNumberFormat="1" applyFont="1" applyBorder="1" applyAlignment="1">
      <alignment horizontal="center" vertical="center"/>
    </xf>
    <xf numFmtId="164" fontId="136" fillId="0" borderId="14" xfId="7" applyNumberFormat="1" applyFont="1" applyBorder="1" applyAlignment="1">
      <alignment horizontal="center" vertical="center"/>
    </xf>
    <xf numFmtId="164" fontId="136" fillId="0" borderId="12" xfId="7" applyNumberFormat="1" applyFont="1" applyBorder="1" applyAlignment="1">
      <alignment horizontal="center" vertical="center"/>
    </xf>
    <xf numFmtId="164" fontId="134" fillId="0" borderId="12" xfId="7" applyNumberFormat="1" applyFont="1" applyBorder="1" applyAlignment="1">
      <alignment horizontal="center" vertical="center"/>
    </xf>
    <xf numFmtId="164" fontId="137" fillId="0" borderId="117" xfId="7" applyNumberFormat="1" applyFont="1" applyBorder="1" applyAlignment="1">
      <alignment horizontal="center" vertical="center"/>
    </xf>
    <xf numFmtId="164" fontId="136" fillId="0" borderId="117" xfId="7" applyNumberFormat="1" applyFont="1" applyBorder="1" applyAlignment="1">
      <alignment horizontal="center" vertical="center"/>
    </xf>
    <xf numFmtId="164" fontId="136" fillId="0" borderId="22" xfId="7" applyNumberFormat="1" applyFont="1" applyBorder="1" applyAlignment="1">
      <alignment horizontal="center" vertical="center"/>
    </xf>
    <xf numFmtId="0" fontId="84" fillId="0" borderId="80" xfId="0" applyFont="1" applyBorder="1"/>
    <xf numFmtId="167" fontId="137" fillId="0" borderId="60" xfId="0" applyNumberFormat="1" applyFont="1" applyBorder="1" applyAlignment="1">
      <alignment horizontal="center"/>
    </xf>
    <xf numFmtId="167" fontId="137" fillId="0" borderId="58" xfId="0" applyNumberFormat="1" applyFont="1" applyBorder="1" applyAlignment="1">
      <alignment horizontal="center"/>
    </xf>
    <xf numFmtId="167" fontId="134" fillId="0" borderId="58" xfId="0" applyNumberFormat="1" applyFont="1" applyBorder="1" applyAlignment="1">
      <alignment horizontal="center"/>
    </xf>
    <xf numFmtId="167" fontId="139" fillId="0" borderId="58" xfId="0" applyNumberFormat="1" applyFont="1" applyBorder="1" applyAlignment="1">
      <alignment horizontal="center"/>
    </xf>
    <xf numFmtId="167" fontId="137" fillId="0" borderId="61" xfId="0" applyNumberFormat="1" applyFont="1" applyBorder="1" applyAlignment="1">
      <alignment horizontal="center"/>
    </xf>
    <xf numFmtId="167" fontId="136" fillId="0" borderId="56" xfId="0" applyNumberFormat="1" applyFont="1" applyBorder="1" applyAlignment="1">
      <alignment horizontal="center"/>
    </xf>
    <xf numFmtId="167" fontId="137" fillId="0" borderId="80" xfId="0" applyNumberFormat="1" applyFont="1" applyBorder="1" applyAlignment="1">
      <alignment horizontal="center"/>
    </xf>
    <xf numFmtId="0" fontId="137" fillId="0" borderId="80" xfId="0" applyFont="1" applyBorder="1"/>
    <xf numFmtId="0" fontId="137" fillId="0" borderId="23" xfId="0" applyFont="1" applyBorder="1"/>
    <xf numFmtId="164" fontId="3" fillId="0" borderId="84" xfId="7" applyNumberFormat="1" applyFont="1" applyBorder="1" applyAlignment="1">
      <alignment vertical="center"/>
    </xf>
    <xf numFmtId="164" fontId="3" fillId="0" borderId="118" xfId="7" applyNumberFormat="1" applyFont="1" applyBorder="1" applyAlignment="1">
      <alignment vertical="center"/>
    </xf>
    <xf numFmtId="164" fontId="3" fillId="0" borderId="63" xfId="0" applyNumberFormat="1" applyFont="1" applyBorder="1" applyAlignment="1">
      <alignment vertical="center"/>
    </xf>
    <xf numFmtId="0" fontId="3" fillId="3" borderId="119" xfId="0" applyFont="1" applyFill="1" applyBorder="1" applyAlignment="1">
      <alignment vertical="center"/>
    </xf>
    <xf numFmtId="164" fontId="3" fillId="3" borderId="119" xfId="7" applyNumberFormat="1" applyFont="1" applyFill="1" applyBorder="1" applyAlignment="1">
      <alignment vertical="center"/>
    </xf>
    <xf numFmtId="164" fontId="3" fillId="0" borderId="117" xfId="7" applyNumberFormat="1" applyFont="1" applyBorder="1" applyAlignment="1">
      <alignment vertical="center"/>
    </xf>
    <xf numFmtId="164" fontId="3" fillId="0" borderId="80" xfId="0" applyNumberFormat="1" applyFont="1" applyBorder="1" applyAlignment="1">
      <alignment vertical="center"/>
    </xf>
    <xf numFmtId="164" fontId="3" fillId="0" borderId="117" xfId="7" applyNumberFormat="1" applyFont="1" applyFill="1" applyBorder="1" applyAlignment="1">
      <alignment vertical="center"/>
    </xf>
    <xf numFmtId="164" fontId="3" fillId="0" borderId="118" xfId="7" applyNumberFormat="1" applyFont="1" applyFill="1" applyBorder="1" applyAlignment="1">
      <alignment vertical="center"/>
    </xf>
    <xf numFmtId="0" fontId="3" fillId="0" borderId="117" xfId="0" applyFont="1" applyBorder="1" applyAlignment="1">
      <alignment vertical="center"/>
    </xf>
    <xf numFmtId="0" fontId="3" fillId="0" borderId="118" xfId="0" applyFont="1" applyBorder="1" applyAlignment="1">
      <alignment vertical="center"/>
    </xf>
    <xf numFmtId="164" fontId="3" fillId="0" borderId="22" xfId="7" applyNumberFormat="1" applyFont="1" applyFill="1" applyBorder="1" applyAlignment="1">
      <alignment vertical="center"/>
    </xf>
    <xf numFmtId="164" fontId="3" fillId="0" borderId="24" xfId="7" applyNumberFormat="1" applyFont="1" applyFill="1" applyBorder="1" applyAlignment="1">
      <alignment vertical="center"/>
    </xf>
    <xf numFmtId="164" fontId="3" fillId="0" borderId="24" xfId="7" applyNumberFormat="1" applyFont="1" applyBorder="1" applyAlignment="1">
      <alignment vertical="center"/>
    </xf>
    <xf numFmtId="164" fontId="3" fillId="0" borderId="24" xfId="0" applyNumberFormat="1" applyFont="1" applyBorder="1" applyAlignment="1">
      <alignment vertical="center"/>
    </xf>
    <xf numFmtId="164" fontId="3" fillId="0" borderId="23" xfId="0" applyNumberFormat="1" applyFont="1" applyBorder="1" applyAlignment="1">
      <alignment vertical="center"/>
    </xf>
    <xf numFmtId="164" fontId="3" fillId="0" borderId="26" xfId="7" applyNumberFormat="1" applyFont="1" applyBorder="1" applyAlignment="1">
      <alignment vertical="center"/>
    </xf>
    <xf numFmtId="43" fontId="3" fillId="0" borderId="26" xfId="7" applyFont="1" applyBorder="1" applyAlignment="1">
      <alignment vertical="center"/>
    </xf>
    <xf numFmtId="43" fontId="3" fillId="0" borderId="17" xfId="0" applyNumberFormat="1" applyFont="1" applyBorder="1" applyAlignment="1">
      <alignment vertical="center"/>
    </xf>
    <xf numFmtId="164" fontId="3" fillId="0" borderId="103" xfId="7" applyNumberFormat="1" applyFont="1" applyBorder="1" applyAlignment="1">
      <alignment vertical="center"/>
    </xf>
    <xf numFmtId="43" fontId="3" fillId="0" borderId="103" xfId="7" applyFont="1" applyBorder="1" applyAlignment="1">
      <alignment vertical="center"/>
    </xf>
    <xf numFmtId="43" fontId="3" fillId="0" borderId="88" xfId="7" applyFont="1" applyBorder="1" applyAlignment="1">
      <alignment vertical="center"/>
    </xf>
    <xf numFmtId="10" fontId="3" fillId="0" borderId="91" xfId="20962" applyNumberFormat="1" applyFont="1" applyBorder="1" applyAlignment="1">
      <alignment vertical="center"/>
    </xf>
    <xf numFmtId="165" fontId="3" fillId="0" borderId="91" xfId="20962" applyNumberFormat="1" applyFont="1" applyBorder="1" applyAlignment="1">
      <alignment vertical="center"/>
    </xf>
    <xf numFmtId="165" fontId="3" fillId="0" borderId="92" xfId="20962" applyNumberFormat="1" applyFont="1" applyBorder="1" applyAlignment="1">
      <alignment vertical="center"/>
    </xf>
    <xf numFmtId="10" fontId="104" fillId="0" borderId="96" xfId="20962" applyNumberFormat="1" applyFont="1" applyFill="1" applyBorder="1" applyAlignment="1" applyProtection="1">
      <alignment horizontal="right" vertical="center"/>
      <protection locked="0"/>
    </xf>
    <xf numFmtId="164" fontId="115" fillId="0" borderId="117" xfId="7" applyNumberFormat="1" applyFont="1" applyBorder="1"/>
    <xf numFmtId="164" fontId="112" fillId="0" borderId="117" xfId="7" applyNumberFormat="1" applyFont="1" applyBorder="1"/>
    <xf numFmtId="164" fontId="111" fillId="0" borderId="117" xfId="7" applyNumberFormat="1" applyFont="1" applyBorder="1"/>
    <xf numFmtId="164" fontId="114" fillId="0" borderId="117" xfId="7" applyNumberFormat="1" applyFont="1" applyBorder="1"/>
    <xf numFmtId="164" fontId="111" fillId="36" borderId="117" xfId="7" applyNumberFormat="1" applyFont="1" applyFill="1" applyBorder="1"/>
    <xf numFmtId="164" fontId="114" fillId="36" borderId="117" xfId="7" applyNumberFormat="1" applyFont="1" applyFill="1" applyBorder="1"/>
    <xf numFmtId="164" fontId="112" fillId="0" borderId="0" xfId="0" applyNumberFormat="1" applyFont="1"/>
    <xf numFmtId="0" fontId="2" fillId="0" borderId="118" xfId="0" applyFont="1" applyBorder="1" applyAlignment="1">
      <alignment wrapText="1"/>
    </xf>
    <xf numFmtId="0" fontId="84" fillId="0" borderId="83" xfId="0" applyFont="1" applyBorder="1"/>
    <xf numFmtId="0" fontId="2" fillId="0" borderId="117" xfId="0" applyFont="1" applyBorder="1" applyAlignment="1">
      <alignment wrapText="1"/>
    </xf>
    <xf numFmtId="0" fontId="45" fillId="0" borderId="117" xfId="0" applyFont="1" applyBorder="1" applyAlignment="1">
      <alignment horizontal="center" vertical="center" wrapText="1"/>
    </xf>
    <xf numFmtId="0" fontId="45" fillId="0" borderId="80" xfId="0" applyFont="1" applyBorder="1" applyAlignment="1">
      <alignment horizontal="center" vertical="center" wrapText="1"/>
    </xf>
    <xf numFmtId="0" fontId="2" fillId="0" borderId="83" xfId="0" applyFont="1" applyBorder="1"/>
    <xf numFmtId="0" fontId="2" fillId="0" borderId="83" xfId="0" applyFont="1" applyBorder="1" applyAlignment="1">
      <alignment wrapText="1"/>
    </xf>
    <xf numFmtId="10" fontId="3" fillId="0" borderId="80" xfId="20962" applyNumberFormat="1" applyFont="1" applyBorder="1"/>
    <xf numFmtId="10" fontId="3" fillId="0" borderId="88" xfId="20962" applyNumberFormat="1" applyFont="1" applyBorder="1"/>
    <xf numFmtId="10" fontId="3" fillId="0" borderId="23" xfId="20962" applyNumberFormat="1" applyFont="1" applyBorder="1"/>
    <xf numFmtId="10" fontId="3" fillId="0" borderId="83" xfId="20962" applyNumberFormat="1" applyFont="1" applyBorder="1"/>
    <xf numFmtId="169" fontId="9" fillId="37" borderId="62" xfId="20" applyBorder="1"/>
    <xf numFmtId="193" fontId="3" fillId="0" borderId="18" xfId="0" applyNumberFormat="1" applyFont="1" applyBorder="1" applyAlignment="1" applyProtection="1">
      <alignment vertical="center" wrapText="1"/>
      <protection locked="0"/>
    </xf>
    <xf numFmtId="165" fontId="3" fillId="0" borderId="18" xfId="20962" applyNumberFormat="1" applyFont="1" applyBorder="1" applyAlignment="1" applyProtection="1">
      <alignment vertical="center" wrapText="1"/>
      <protection locked="0"/>
    </xf>
    <xf numFmtId="165" fontId="9" fillId="37" borderId="62" xfId="20" applyNumberFormat="1" applyBorder="1"/>
    <xf numFmtId="165" fontId="135" fillId="2" borderId="18" xfId="20962" applyNumberFormat="1" applyFont="1" applyFill="1" applyBorder="1" applyAlignment="1" applyProtection="1">
      <alignment vertical="center"/>
      <protection locked="0"/>
    </xf>
    <xf numFmtId="165" fontId="93" fillId="2" borderId="18" xfId="20962" applyNumberFormat="1" applyFont="1" applyFill="1" applyBorder="1" applyAlignment="1" applyProtection="1">
      <alignment vertical="center"/>
      <protection locked="0"/>
    </xf>
    <xf numFmtId="193" fontId="135" fillId="2" borderId="125" xfId="0" applyNumberFormat="1" applyFont="1" applyFill="1" applyBorder="1" applyAlignment="1" applyProtection="1">
      <alignment vertical="center"/>
      <protection locked="0"/>
    </xf>
    <xf numFmtId="165" fontId="135" fillId="2" borderId="126" xfId="20962" applyNumberFormat="1" applyFont="1" applyFill="1" applyBorder="1" applyAlignment="1" applyProtection="1">
      <alignment vertical="center"/>
      <protection locked="0"/>
    </xf>
    <xf numFmtId="164" fontId="114" fillId="0" borderId="127" xfId="7" applyNumberFormat="1" applyFont="1" applyBorder="1"/>
    <xf numFmtId="164" fontId="111" fillId="0" borderId="127" xfId="7" applyNumberFormat="1" applyFont="1" applyBorder="1" applyAlignment="1">
      <alignment horizontal="left" indent="1"/>
    </xf>
    <xf numFmtId="164" fontId="111" fillId="0" borderId="127" xfId="7" applyNumberFormat="1" applyFont="1" applyBorder="1"/>
    <xf numFmtId="164" fontId="114" fillId="82" borderId="127" xfId="7" applyNumberFormat="1" applyFont="1" applyFill="1" applyBorder="1"/>
    <xf numFmtId="164" fontId="114" fillId="0" borderId="66" xfId="7" applyNumberFormat="1" applyFont="1" applyBorder="1"/>
    <xf numFmtId="164" fontId="114" fillId="0" borderId="128" xfId="7" applyNumberFormat="1" applyFont="1" applyBorder="1"/>
    <xf numFmtId="164" fontId="111" fillId="0" borderId="129" xfId="7" applyNumberFormat="1" applyFont="1" applyBorder="1" applyAlignment="1">
      <alignment horizontal="left" indent="1"/>
    </xf>
    <xf numFmtId="164" fontId="111" fillId="0" borderId="128" xfId="7" applyNumberFormat="1" applyFont="1" applyBorder="1"/>
    <xf numFmtId="164" fontId="111" fillId="0" borderId="129" xfId="7" applyNumberFormat="1" applyFont="1" applyBorder="1" applyAlignment="1">
      <alignment horizontal="left" indent="2"/>
    </xf>
    <xf numFmtId="164" fontId="111" fillId="0" borderId="129" xfId="7" applyNumberFormat="1" applyFont="1" applyBorder="1" applyAlignment="1">
      <alignment horizontal="left" indent="3"/>
    </xf>
    <xf numFmtId="164" fontId="111" fillId="79" borderId="129" xfId="7" applyNumberFormat="1" applyFont="1" applyFill="1" applyBorder="1"/>
    <xf numFmtId="164" fontId="111" fillId="79" borderId="127" xfId="7" applyNumberFormat="1" applyFont="1" applyFill="1" applyBorder="1"/>
    <xf numFmtId="164" fontId="111" fillId="79" borderId="128" xfId="7" applyNumberFormat="1" applyFont="1" applyFill="1" applyBorder="1"/>
    <xf numFmtId="164" fontId="111" fillId="0" borderId="129" xfId="7" applyNumberFormat="1" applyFont="1" applyBorder="1" applyAlignment="1">
      <alignment horizontal="left" vertical="top" wrapText="1" indent="2"/>
    </xf>
    <xf numFmtId="164" fontId="111" fillId="0" borderId="129" xfId="7" applyNumberFormat="1" applyFont="1" applyBorder="1" applyAlignment="1">
      <alignment horizontal="left" wrapText="1" indent="3"/>
    </xf>
    <xf numFmtId="164" fontId="111" fillId="0" borderId="129" xfId="7" applyNumberFormat="1" applyFont="1" applyBorder="1" applyAlignment="1">
      <alignment horizontal="left" wrapText="1" indent="2"/>
    </xf>
    <xf numFmtId="164" fontId="111" fillId="0" borderId="129" xfId="7" applyNumberFormat="1" applyFont="1" applyBorder="1" applyAlignment="1">
      <alignment horizontal="left" wrapText="1" indent="1"/>
    </xf>
    <xf numFmtId="164" fontId="111" fillId="0" borderId="126" xfId="7" applyNumberFormat="1" applyFont="1" applyBorder="1" applyAlignment="1">
      <alignment horizontal="left" wrapText="1" indent="1"/>
    </xf>
    <xf numFmtId="164" fontId="111" fillId="0" borderId="130" xfId="7" applyNumberFormat="1" applyFont="1" applyBorder="1"/>
    <xf numFmtId="164" fontId="111" fillId="0" borderId="131" xfId="7" applyNumberFormat="1" applyFont="1" applyBorder="1"/>
    <xf numFmtId="164" fontId="111" fillId="0" borderId="127" xfId="7" applyNumberFormat="1" applyFont="1" applyBorder="1" applyAlignment="1">
      <alignment horizontal="left" vertical="center" wrapText="1"/>
    </xf>
    <xf numFmtId="164" fontId="111" fillId="0" borderId="127" xfId="7" applyNumberFormat="1" applyFont="1" applyBorder="1" applyAlignment="1">
      <alignment horizontal="center" vertical="center" wrapText="1"/>
    </xf>
    <xf numFmtId="164" fontId="111" fillId="0" borderId="127" xfId="7" applyNumberFormat="1" applyFont="1" applyBorder="1" applyAlignment="1">
      <alignment horizontal="center" vertical="center"/>
    </xf>
    <xf numFmtId="164" fontId="114" fillId="0" borderId="127" xfId="7" applyNumberFormat="1" applyFont="1" applyFill="1" applyBorder="1" applyAlignment="1">
      <alignment horizontal="left" vertical="center" wrapText="1"/>
    </xf>
    <xf numFmtId="164" fontId="116" fillId="0" borderId="127" xfId="7" applyNumberFormat="1" applyFont="1" applyBorder="1"/>
    <xf numFmtId="164" fontId="116" fillId="0" borderId="117" xfId="7" applyNumberFormat="1" applyFont="1" applyBorder="1"/>
    <xf numFmtId="164" fontId="116" fillId="0" borderId="121" xfId="7" applyNumberFormat="1" applyFont="1" applyBorder="1"/>
    <xf numFmtId="164" fontId="3" fillId="0" borderId="127" xfId="7" applyNumberFormat="1" applyFont="1" applyBorder="1"/>
    <xf numFmtId="164" fontId="3" fillId="0" borderId="128" xfId="7" applyNumberFormat="1" applyFont="1" applyBorder="1"/>
    <xf numFmtId="169" fontId="9" fillId="37" borderId="127" xfId="20" applyBorder="1"/>
    <xf numFmtId="164" fontId="3" fillId="0" borderId="127" xfId="7" applyNumberFormat="1" applyFont="1" applyBorder="1" applyAlignment="1">
      <alignment vertical="center"/>
    </xf>
    <xf numFmtId="164" fontId="4" fillId="0" borderId="128" xfId="7" applyNumberFormat="1" applyFont="1" applyBorder="1"/>
    <xf numFmtId="164" fontId="3" fillId="0" borderId="127" xfId="7" applyNumberFormat="1" applyFont="1" applyFill="1" applyBorder="1"/>
    <xf numFmtId="164" fontId="3" fillId="0" borderId="127" xfId="7" applyNumberFormat="1" applyFont="1" applyFill="1" applyBorder="1" applyAlignment="1">
      <alignment vertical="center"/>
    </xf>
    <xf numFmtId="10" fontId="4" fillId="0" borderId="131" xfId="20962" applyNumberFormat="1" applyFont="1" applyBorder="1"/>
    <xf numFmtId="193" fontId="93" fillId="0" borderId="18" xfId="0" applyNumberFormat="1" applyFont="1" applyBorder="1" applyAlignment="1" applyProtection="1">
      <alignment vertical="center"/>
      <protection locked="0"/>
    </xf>
    <xf numFmtId="193" fontId="135" fillId="0" borderId="18" xfId="0" applyNumberFormat="1" applyFont="1" applyBorder="1" applyAlignment="1" applyProtection="1">
      <alignment vertical="center"/>
      <protection locked="0"/>
    </xf>
    <xf numFmtId="165" fontId="93" fillId="0" borderId="18" xfId="20962" applyNumberFormat="1" applyFont="1" applyFill="1" applyBorder="1" applyAlignment="1" applyProtection="1">
      <alignment vertical="center"/>
      <protection locked="0"/>
    </xf>
    <xf numFmtId="164" fontId="112" fillId="0" borderId="127" xfId="7" applyNumberFormat="1" applyFont="1" applyBorder="1"/>
    <xf numFmtId="164" fontId="112" fillId="0" borderId="127" xfId="7" applyNumberFormat="1" applyFont="1" applyFill="1" applyBorder="1"/>
    <xf numFmtId="164" fontId="104" fillId="77" borderId="127" xfId="948" applyNumberFormat="1" applyFont="1" applyFill="1" applyBorder="1" applyAlignment="1" applyProtection="1">
      <alignment horizontal="right" vertical="center"/>
    </xf>
    <xf numFmtId="0" fontId="92" fillId="0" borderId="65" xfId="0" applyFont="1" applyBorder="1" applyAlignment="1">
      <alignment horizontal="left" wrapText="1"/>
    </xf>
    <xf numFmtId="0" fontId="92" fillId="0" borderId="64" xfId="0" applyFont="1" applyBorder="1" applyAlignment="1">
      <alignment horizontal="left" wrapText="1"/>
    </xf>
    <xf numFmtId="0" fontId="92" fillId="0" borderId="123" xfId="0" applyFont="1" applyBorder="1" applyAlignment="1">
      <alignment horizontal="center" vertical="center"/>
    </xf>
    <xf numFmtId="0" fontId="92" fillId="0" borderId="30" xfId="0" applyFont="1" applyBorder="1" applyAlignment="1">
      <alignment horizontal="center" vertical="center"/>
    </xf>
    <xf numFmtId="0" fontId="92" fillId="0" borderId="124" xfId="0" applyFont="1" applyBorder="1" applyAlignment="1">
      <alignment horizontal="center" vertical="center"/>
    </xf>
    <xf numFmtId="0" fontId="133" fillId="0" borderId="123" xfId="0" applyFont="1" applyBorder="1" applyAlignment="1">
      <alignment horizontal="center"/>
    </xf>
    <xf numFmtId="0" fontId="133" fillId="0" borderId="30" xfId="0" applyFont="1" applyBorder="1" applyAlignment="1">
      <alignment horizontal="center"/>
    </xf>
    <xf numFmtId="0" fontId="133" fillId="0" borderId="124" xfId="0" applyFont="1" applyBorder="1" applyAlignment="1">
      <alignment horizontal="center"/>
    </xf>
    <xf numFmtId="164" fontId="0" fillId="0" borderId="118" xfId="7" applyNumberFormat="1" applyFont="1" applyBorder="1" applyAlignment="1">
      <alignment horizontal="center"/>
    </xf>
    <xf numFmtId="164" fontId="0" fillId="0" borderId="119" xfId="7" applyNumberFormat="1" applyFont="1" applyBorder="1" applyAlignment="1">
      <alignment horizontal="center"/>
    </xf>
    <xf numFmtId="164" fontId="0" fillId="0" borderId="83" xfId="7" applyNumberFormat="1" applyFont="1" applyBorder="1" applyAlignment="1">
      <alignment horizontal="center"/>
    </xf>
    <xf numFmtId="0" fontId="0" fillId="0" borderId="15" xfId="0" applyBorder="1" applyAlignment="1">
      <alignment horizontal="center" vertical="center"/>
    </xf>
    <xf numFmtId="0" fontId="0" fillId="0" borderId="18" xfId="0" applyBorder="1" applyAlignment="1">
      <alignment horizontal="center" vertical="center"/>
    </xf>
    <xf numFmtId="0" fontId="120" fillId="0" borderId="16" xfId="0" applyFont="1" applyBorder="1" applyAlignment="1">
      <alignment horizontal="center" vertical="center"/>
    </xf>
    <xf numFmtId="0" fontId="120" fillId="0" borderId="117" xfId="0" applyFont="1" applyBorder="1" applyAlignment="1">
      <alignment horizontal="center" vertical="center"/>
    </xf>
    <xf numFmtId="0" fontId="121" fillId="0" borderId="16" xfId="0" applyFont="1" applyBorder="1" applyAlignment="1">
      <alignment horizontal="center" vertical="center"/>
    </xf>
    <xf numFmtId="0" fontId="121" fillId="0" borderId="17" xfId="0" applyFont="1" applyBorder="1" applyAlignment="1">
      <alignment horizontal="center" vertical="center"/>
    </xf>
    <xf numFmtId="0" fontId="0" fillId="0" borderId="117" xfId="0" applyBorder="1" applyAlignment="1">
      <alignment horizontal="center"/>
    </xf>
    <xf numFmtId="0" fontId="0" fillId="0" borderId="80" xfId="0" applyBorder="1" applyAlignment="1">
      <alignment horizontal="center"/>
    </xf>
    <xf numFmtId="0" fontId="0" fillId="0" borderId="4" xfId="0" applyBorder="1" applyAlignment="1">
      <alignment horizontal="center" vertical="center"/>
    </xf>
    <xf numFmtId="0" fontId="0" fillId="0" borderId="66" xfId="0" applyBorder="1" applyAlignment="1">
      <alignment horizontal="center" vertical="center"/>
    </xf>
    <xf numFmtId="0" fontId="120" fillId="0" borderId="5" xfId="0" applyFont="1" applyBorder="1" applyAlignment="1">
      <alignment horizontal="center" vertical="center" wrapText="1"/>
    </xf>
    <xf numFmtId="0" fontId="120" fillId="0" borderId="7" xfId="0" applyFont="1" applyBorder="1" applyAlignment="1">
      <alignment horizontal="center" vertical="center" wrapText="1"/>
    </xf>
    <xf numFmtId="0" fontId="0" fillId="0" borderId="16" xfId="0" applyBorder="1" applyAlignment="1">
      <alignment horizontal="center" vertical="center" wrapText="1"/>
    </xf>
    <xf numFmtId="0" fontId="0" fillId="0" borderId="117" xfId="0" applyBorder="1" applyAlignment="1">
      <alignment horizontal="center" vertical="center" wrapText="1"/>
    </xf>
    <xf numFmtId="0" fontId="45" fillId="0" borderId="117" xfId="0" applyFont="1" applyBorder="1" applyAlignment="1">
      <alignment horizontal="center" vertical="center" wrapText="1"/>
    </xf>
    <xf numFmtId="0" fontId="45" fillId="0" borderId="80" xfId="0" applyFont="1" applyBorder="1" applyAlignment="1">
      <alignment horizontal="center" vertical="center" wrapText="1"/>
    </xf>
    <xf numFmtId="0" fontId="86" fillId="0" borderId="117" xfId="0" applyFont="1" applyBorder="1" applyAlignment="1">
      <alignment horizontal="center" vertical="center" wrapText="1"/>
    </xf>
    <xf numFmtId="0" fontId="84" fillId="0" borderId="117" xfId="0" applyFont="1" applyBorder="1" applyAlignment="1">
      <alignment horizontal="center" vertical="center" wrapText="1"/>
    </xf>
    <xf numFmtId="0" fontId="45" fillId="0" borderId="117" xfId="11" applyFont="1" applyBorder="1" applyAlignment="1">
      <alignment horizontal="center" vertical="center" wrapText="1"/>
    </xf>
    <xf numFmtId="0" fontId="45" fillId="0" borderId="80" xfId="11" applyFont="1" applyBorder="1" applyAlignment="1">
      <alignment horizontal="center" vertical="center" wrapText="1"/>
    </xf>
    <xf numFmtId="0" fontId="45" fillId="0" borderId="69"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7" fillId="3" borderId="70" xfId="13" applyFont="1" applyFill="1" applyBorder="1" applyAlignment="1" applyProtection="1">
      <alignment horizontal="center" vertical="center" wrapText="1"/>
      <protection locked="0"/>
    </xf>
    <xf numFmtId="0" fontId="97" fillId="3" borderId="63"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8"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1" xfId="1" applyNumberFormat="1" applyFont="1" applyFill="1" applyBorder="1" applyAlignment="1" applyProtection="1">
      <alignment horizontal="center" vertical="center" wrapText="1"/>
      <protection locked="0"/>
    </xf>
    <xf numFmtId="164" fontId="45" fillId="0" borderId="72" xfId="1" applyNumberFormat="1" applyFont="1" applyFill="1" applyBorder="1" applyAlignment="1" applyProtection="1">
      <alignment horizontal="center" vertical="center" wrapText="1"/>
      <protection locked="0"/>
    </xf>
    <xf numFmtId="0" fontId="3" fillId="0" borderId="70" xfId="0" applyFont="1" applyBorder="1" applyAlignment="1">
      <alignment horizontal="center" vertical="center" wrapText="1"/>
    </xf>
    <xf numFmtId="0" fontId="3" fillId="0" borderId="63" xfId="0" applyFont="1" applyBorder="1" applyAlignment="1">
      <alignment horizontal="center" vertical="center" wrapText="1"/>
    </xf>
    <xf numFmtId="0" fontId="86" fillId="0" borderId="73" xfId="0" applyFont="1" applyBorder="1" applyAlignment="1">
      <alignment horizontal="center"/>
    </xf>
    <xf numFmtId="0" fontId="86" fillId="0" borderId="74"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8" fillId="0" borderId="54" xfId="0" applyFont="1" applyBorder="1" applyAlignment="1">
      <alignment horizontal="left" vertical="center"/>
    </xf>
    <xf numFmtId="0" fontId="98"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0" xfId="0" applyFont="1" applyBorder="1" applyAlignment="1">
      <alignment horizontal="center" vertical="center" wrapText="1"/>
    </xf>
    <xf numFmtId="0" fontId="114" fillId="0" borderId="101" xfId="0" applyFont="1" applyBorder="1" applyAlignment="1">
      <alignment horizontal="left" vertical="center" wrapText="1"/>
    </xf>
    <xf numFmtId="0" fontId="114" fillId="0" borderId="102" xfId="0" applyFont="1" applyBorder="1" applyAlignment="1">
      <alignment horizontal="left" vertical="center" wrapText="1"/>
    </xf>
    <xf numFmtId="0" fontId="114" fillId="0" borderId="106" xfId="0" applyFont="1" applyBorder="1" applyAlignment="1">
      <alignment horizontal="left" vertical="center" wrapText="1"/>
    </xf>
    <xf numFmtId="0" fontId="114" fillId="0" borderId="107" xfId="0" applyFont="1" applyBorder="1" applyAlignment="1">
      <alignment horizontal="left" vertical="center" wrapText="1"/>
    </xf>
    <xf numFmtId="0" fontId="114" fillId="0" borderId="109" xfId="0" applyFont="1" applyBorder="1" applyAlignment="1">
      <alignment horizontal="left" vertical="center" wrapText="1"/>
    </xf>
    <xf numFmtId="0" fontId="114" fillId="0" borderId="110" xfId="0" applyFont="1" applyBorder="1" applyAlignment="1">
      <alignment horizontal="left" vertical="center" wrapText="1"/>
    </xf>
    <xf numFmtId="0" fontId="115" fillId="0" borderId="103" xfId="0" applyFont="1" applyBorder="1" applyAlignment="1">
      <alignment horizontal="center" vertical="center" wrapText="1"/>
    </xf>
    <xf numFmtId="0" fontId="115" fillId="0" borderId="104" xfId="0" applyFont="1" applyBorder="1" applyAlignment="1">
      <alignment horizontal="center" vertical="center" wrapText="1"/>
    </xf>
    <xf numFmtId="0" fontId="115" fillId="0" borderId="105" xfId="0" applyFont="1" applyBorder="1" applyAlignment="1">
      <alignment horizontal="center" vertical="center" wrapText="1"/>
    </xf>
    <xf numFmtId="0" fontId="115" fillId="0" borderId="84" xfId="0" applyFont="1" applyBorder="1" applyAlignment="1">
      <alignment horizontal="center" vertical="center" wrapText="1"/>
    </xf>
    <xf numFmtId="0" fontId="115" fillId="0" borderId="108" xfId="0" applyFont="1" applyBorder="1" applyAlignment="1">
      <alignment horizontal="center" vertical="center" wrapText="1"/>
    </xf>
    <xf numFmtId="0" fontId="115" fillId="0" borderId="74" xfId="0" applyFont="1" applyBorder="1" applyAlignment="1">
      <alignment horizontal="center" vertical="center" wrapText="1"/>
    </xf>
    <xf numFmtId="0" fontId="111" fillId="0" borderId="121" xfId="0" applyFont="1" applyBorder="1" applyAlignment="1">
      <alignment horizontal="center" vertical="center" wrapText="1"/>
    </xf>
    <xf numFmtId="0" fontId="111" fillId="0" borderId="7" xfId="0" applyFont="1" applyBorder="1" applyAlignment="1">
      <alignment horizontal="center" vertical="center" wrapText="1"/>
    </xf>
    <xf numFmtId="0" fontId="111" fillId="0" borderId="117" xfId="0" applyFont="1" applyBorder="1" applyAlignment="1">
      <alignment horizontal="center" vertical="center" wrapText="1"/>
    </xf>
    <xf numFmtId="0" fontId="119" fillId="0" borderId="117" xfId="0" applyFont="1" applyBorder="1" applyAlignment="1">
      <alignment horizontal="center" vertical="center"/>
    </xf>
    <xf numFmtId="0" fontId="119" fillId="0" borderId="103" xfId="0" applyFont="1" applyBorder="1" applyAlignment="1">
      <alignment horizontal="center" vertical="center"/>
    </xf>
    <xf numFmtId="0" fontId="119" fillId="0" borderId="105" xfId="0" applyFont="1" applyBorder="1" applyAlignment="1">
      <alignment horizontal="center" vertical="center"/>
    </xf>
    <xf numFmtId="0" fontId="119" fillId="0" borderId="84" xfId="0" applyFont="1" applyBorder="1" applyAlignment="1">
      <alignment horizontal="center" vertical="center"/>
    </xf>
    <xf numFmtId="0" fontId="119" fillId="0" borderId="74" xfId="0" applyFont="1" applyBorder="1" applyAlignment="1">
      <alignment horizontal="center" vertical="center"/>
    </xf>
    <xf numFmtId="0" fontId="115" fillId="0" borderId="117" xfId="0" applyFont="1" applyBorder="1" applyAlignment="1">
      <alignment horizontal="center" vertical="center" wrapText="1"/>
    </xf>
    <xf numFmtId="0" fontId="111" fillId="0" borderId="120" xfId="0" applyFont="1" applyBorder="1" applyAlignment="1">
      <alignment horizontal="center" vertical="center" wrapText="1"/>
    </xf>
    <xf numFmtId="0" fontId="114" fillId="0" borderId="103" xfId="0" applyFont="1" applyBorder="1" applyAlignment="1">
      <alignment horizontal="center" vertical="center" wrapText="1"/>
    </xf>
    <xf numFmtId="0" fontId="114" fillId="0" borderId="105" xfId="0" applyFont="1" applyBorder="1" applyAlignment="1">
      <alignment horizontal="center" vertical="center" wrapText="1"/>
    </xf>
    <xf numFmtId="0" fontId="114" fillId="0" borderId="69" xfId="0" applyFont="1" applyBorder="1" applyAlignment="1">
      <alignment horizontal="center" vertical="center" wrapText="1"/>
    </xf>
    <xf numFmtId="0" fontId="114" fillId="0" borderId="67" xfId="0" applyFont="1" applyBorder="1" applyAlignment="1">
      <alignment horizontal="center" vertical="center" wrapText="1"/>
    </xf>
    <xf numFmtId="0" fontId="114" fillId="0" borderId="84" xfId="0" applyFont="1" applyBorder="1" applyAlignment="1">
      <alignment horizontal="center" vertical="center" wrapText="1"/>
    </xf>
    <xf numFmtId="0" fontId="114" fillId="0" borderId="74" xfId="0" applyFont="1" applyBorder="1" applyAlignment="1">
      <alignment horizontal="center" vertical="center" wrapText="1"/>
    </xf>
    <xf numFmtId="0" fontId="111" fillId="0" borderId="118" xfId="0" applyFont="1" applyBorder="1" applyAlignment="1">
      <alignment horizontal="center" vertical="center" wrapText="1"/>
    </xf>
    <xf numFmtId="0" fontId="111" fillId="0" borderId="119" xfId="0" applyFont="1" applyBorder="1" applyAlignment="1">
      <alignment horizontal="center" vertical="center" wrapText="1"/>
    </xf>
    <xf numFmtId="0" fontId="114" fillId="0" borderId="75" xfId="0" applyFont="1" applyBorder="1" applyAlignment="1">
      <alignment horizontal="center" vertical="center" wrapText="1"/>
    </xf>
    <xf numFmtId="0" fontId="114" fillId="0" borderId="7" xfId="0" applyFont="1" applyBorder="1" applyAlignment="1">
      <alignment horizontal="center" vertical="center" wrapText="1"/>
    </xf>
    <xf numFmtId="0" fontId="111" fillId="0" borderId="75" xfId="0" applyFont="1" applyBorder="1" applyAlignment="1">
      <alignment horizontal="center" vertical="center" wrapText="1"/>
    </xf>
    <xf numFmtId="0" fontId="111" fillId="0" borderId="74" xfId="0" applyFont="1" applyBorder="1" applyAlignment="1">
      <alignment horizontal="center" vertical="center" wrapText="1"/>
    </xf>
    <xf numFmtId="0" fontId="114" fillId="0" borderId="54" xfId="0" applyFont="1" applyBorder="1" applyAlignment="1">
      <alignment horizontal="left" vertical="top" wrapText="1"/>
    </xf>
    <xf numFmtId="0" fontId="114" fillId="0" borderId="76" xfId="0" applyFont="1" applyBorder="1" applyAlignment="1">
      <alignment horizontal="left" vertical="top" wrapText="1"/>
    </xf>
    <xf numFmtId="0" fontId="114" fillId="0" borderId="62" xfId="0" applyFont="1" applyBorder="1" applyAlignment="1">
      <alignment horizontal="left" vertical="top" wrapText="1"/>
    </xf>
    <xf numFmtId="0" fontId="114" fillId="0" borderId="93" xfId="0" applyFont="1" applyBorder="1" applyAlignment="1">
      <alignment horizontal="left" vertical="top" wrapText="1"/>
    </xf>
    <xf numFmtId="0" fontId="114" fillId="0" borderId="100" xfId="0" applyFont="1" applyBorder="1" applyAlignment="1">
      <alignment horizontal="left" vertical="top" wrapText="1"/>
    </xf>
    <xf numFmtId="0" fontId="114" fillId="0" borderId="122" xfId="0" applyFont="1" applyBorder="1" applyAlignment="1">
      <alignment horizontal="left" vertical="top" wrapText="1"/>
    </xf>
    <xf numFmtId="0" fontId="114" fillId="0" borderId="85" xfId="0" applyFont="1" applyBorder="1" applyAlignment="1">
      <alignment horizontal="center" vertical="center" wrapText="1"/>
    </xf>
    <xf numFmtId="0" fontId="114" fillId="0" borderId="66" xfId="0" applyFont="1" applyBorder="1" applyAlignment="1">
      <alignment horizontal="center" vertical="center" wrapText="1"/>
    </xf>
    <xf numFmtId="0" fontId="111" fillId="0" borderId="63" xfId="0" applyFont="1" applyBorder="1" applyAlignment="1">
      <alignment horizontal="center" vertical="center" wrapText="1"/>
    </xf>
    <xf numFmtId="0" fontId="111" fillId="0" borderId="68" xfId="0" applyFont="1" applyBorder="1" applyAlignment="1">
      <alignment horizontal="center" vertical="center" wrapText="1"/>
    </xf>
    <xf numFmtId="0" fontId="111" fillId="0" borderId="27" xfId="0" applyFont="1" applyBorder="1" applyAlignment="1">
      <alignment horizontal="center" vertical="center" wrapText="1"/>
    </xf>
    <xf numFmtId="0" fontId="111" fillId="0" borderId="28" xfId="0" applyFont="1" applyBorder="1" applyAlignment="1">
      <alignment horizontal="center" vertical="center" wrapText="1"/>
    </xf>
    <xf numFmtId="0" fontId="111" fillId="0" borderId="103" xfId="0" applyFont="1" applyBorder="1" applyAlignment="1">
      <alignment horizontal="center" vertical="top" wrapText="1"/>
    </xf>
    <xf numFmtId="0" fontId="111" fillId="0" borderId="104" xfId="0" applyFont="1" applyBorder="1" applyAlignment="1">
      <alignment horizontal="center" vertical="top" wrapText="1"/>
    </xf>
    <xf numFmtId="0" fontId="111" fillId="0" borderId="119" xfId="0" applyFont="1" applyBorder="1" applyAlignment="1">
      <alignment horizontal="center" vertical="top" wrapText="1"/>
    </xf>
    <xf numFmtId="0" fontId="111" fillId="0" borderId="120" xfId="0" applyFont="1" applyBorder="1" applyAlignment="1">
      <alignment horizontal="center" vertical="top" wrapText="1"/>
    </xf>
    <xf numFmtId="0" fontId="131" fillId="0" borderId="112" xfId="0" applyFont="1" applyBorder="1" applyAlignment="1">
      <alignment horizontal="left" vertical="top" wrapText="1"/>
    </xf>
    <xf numFmtId="0" fontId="131" fillId="0" borderId="113" xfId="0" applyFont="1" applyBorder="1" applyAlignment="1">
      <alignment horizontal="left" vertical="top" wrapText="1"/>
    </xf>
    <xf numFmtId="0" fontId="117" fillId="0" borderId="103" xfId="0" applyFont="1" applyBorder="1" applyAlignment="1">
      <alignment horizontal="center" vertical="center"/>
    </xf>
    <xf numFmtId="0" fontId="117" fillId="0" borderId="105" xfId="0" applyFont="1" applyBorder="1" applyAlignment="1">
      <alignment horizontal="center" vertical="center"/>
    </xf>
    <xf numFmtId="0" fontId="117" fillId="0" borderId="84" xfId="0" applyFont="1" applyBorder="1" applyAlignment="1">
      <alignment horizontal="center" vertical="center"/>
    </xf>
    <xf numFmtId="0" fontId="117" fillId="0" borderId="74" xfId="0" applyFont="1" applyBorder="1" applyAlignment="1">
      <alignment horizontal="center" vertical="center"/>
    </xf>
    <xf numFmtId="0" fontId="116" fillId="0" borderId="117" xfId="0" applyFont="1" applyBorder="1" applyAlignment="1">
      <alignment horizontal="center" vertical="center" wrapText="1"/>
    </xf>
    <xf numFmtId="0" fontId="116" fillId="0" borderId="121"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ColWidth="9.21875" defaultRowHeight="13.8"/>
  <cols>
    <col min="1" max="1" width="10.21875" style="4" customWidth="1"/>
    <col min="2" max="2" width="138.33203125" style="5" bestFit="1" customWidth="1"/>
    <col min="3" max="3" width="39.44140625" style="5" customWidth="1"/>
    <col min="4" max="6" width="9.21875" style="5"/>
    <col min="7" max="7" width="25" style="5" customWidth="1"/>
    <col min="8" max="16384" width="9.21875" style="5"/>
  </cols>
  <sheetData>
    <row r="1" spans="1:3">
      <c r="A1" s="90"/>
      <c r="B1" s="126" t="s">
        <v>223</v>
      </c>
      <c r="C1" s="90"/>
    </row>
    <row r="2" spans="1:3">
      <c r="A2" s="127">
        <v>1</v>
      </c>
      <c r="B2" s="241" t="s">
        <v>224</v>
      </c>
      <c r="C2" s="36" t="s">
        <v>713</v>
      </c>
    </row>
    <row r="3" spans="1:3">
      <c r="A3" s="127">
        <v>2</v>
      </c>
      <c r="B3" s="242" t="s">
        <v>220</v>
      </c>
      <c r="C3" s="36" t="s">
        <v>716</v>
      </c>
    </row>
    <row r="4" spans="1:3">
      <c r="A4" s="127">
        <v>3</v>
      </c>
      <c r="B4" s="243" t="s">
        <v>225</v>
      </c>
      <c r="C4" s="36" t="s">
        <v>715</v>
      </c>
    </row>
    <row r="5" spans="1:3">
      <c r="A5" s="128">
        <v>4</v>
      </c>
      <c r="B5" s="244" t="s">
        <v>221</v>
      </c>
      <c r="C5" s="36" t="s">
        <v>714</v>
      </c>
    </row>
    <row r="6" spans="1:3" s="129" customFormat="1" ht="45.75" customHeight="1">
      <c r="A6" s="657" t="s">
        <v>297</v>
      </c>
      <c r="B6" s="658"/>
      <c r="C6" s="658"/>
    </row>
    <row r="7" spans="1:3">
      <c r="A7" s="130" t="s">
        <v>30</v>
      </c>
      <c r="B7" s="126" t="s">
        <v>222</v>
      </c>
    </row>
    <row r="8" spans="1:3">
      <c r="A8" s="90">
        <v>1</v>
      </c>
      <c r="B8" s="161" t="s">
        <v>21</v>
      </c>
    </row>
    <row r="9" spans="1:3">
      <c r="A9" s="90">
        <v>2</v>
      </c>
      <c r="B9" s="162" t="s">
        <v>22</v>
      </c>
    </row>
    <row r="10" spans="1:3">
      <c r="A10" s="90">
        <v>3</v>
      </c>
      <c r="B10" s="162" t="s">
        <v>23</v>
      </c>
    </row>
    <row r="11" spans="1:3">
      <c r="A11" s="90">
        <v>4</v>
      </c>
      <c r="B11" s="162" t="s">
        <v>24</v>
      </c>
    </row>
    <row r="12" spans="1:3">
      <c r="A12" s="90">
        <v>5</v>
      </c>
      <c r="B12" s="162" t="s">
        <v>25</v>
      </c>
    </row>
    <row r="13" spans="1:3">
      <c r="A13" s="90">
        <v>6</v>
      </c>
      <c r="B13" s="163" t="s">
        <v>232</v>
      </c>
    </row>
    <row r="14" spans="1:3">
      <c r="A14" s="90">
        <v>7</v>
      </c>
      <c r="B14" s="162" t="s">
        <v>226</v>
      </c>
    </row>
    <row r="15" spans="1:3">
      <c r="A15" s="90">
        <v>8</v>
      </c>
      <c r="B15" s="162" t="s">
        <v>227</v>
      </c>
    </row>
    <row r="16" spans="1:3">
      <c r="A16" s="90">
        <v>9</v>
      </c>
      <c r="B16" s="162" t="s">
        <v>26</v>
      </c>
    </row>
    <row r="17" spans="1:2">
      <c r="A17" s="240" t="s">
        <v>296</v>
      </c>
      <c r="B17" s="239" t="s">
        <v>283</v>
      </c>
    </row>
    <row r="18" spans="1:2">
      <c r="A18" s="90">
        <v>10</v>
      </c>
      <c r="B18" s="162" t="s">
        <v>27</v>
      </c>
    </row>
    <row r="19" spans="1:2">
      <c r="A19" s="90">
        <v>11</v>
      </c>
      <c r="B19" s="163" t="s">
        <v>228</v>
      </c>
    </row>
    <row r="20" spans="1:2">
      <c r="A20" s="90">
        <v>12</v>
      </c>
      <c r="B20" s="163" t="s">
        <v>28</v>
      </c>
    </row>
    <row r="21" spans="1:2">
      <c r="A21" s="292">
        <v>13</v>
      </c>
      <c r="B21" s="293" t="s">
        <v>229</v>
      </c>
    </row>
    <row r="22" spans="1:2">
      <c r="A22" s="292">
        <v>14</v>
      </c>
      <c r="B22" s="294" t="s">
        <v>254</v>
      </c>
    </row>
    <row r="23" spans="1:2">
      <c r="A23" s="292">
        <v>15</v>
      </c>
      <c r="B23" s="295" t="s">
        <v>29</v>
      </c>
    </row>
    <row r="24" spans="1:2">
      <c r="A24" s="292">
        <v>15.1</v>
      </c>
      <c r="B24" s="296" t="s">
        <v>310</v>
      </c>
    </row>
    <row r="25" spans="1:2">
      <c r="A25" s="292">
        <v>16</v>
      </c>
      <c r="B25" s="296" t="s">
        <v>374</v>
      </c>
    </row>
    <row r="26" spans="1:2">
      <c r="A26" s="292">
        <v>17</v>
      </c>
      <c r="B26" s="296" t="s">
        <v>415</v>
      </c>
    </row>
    <row r="27" spans="1:2">
      <c r="A27" s="292">
        <v>18</v>
      </c>
      <c r="B27" s="296" t="s">
        <v>703</v>
      </c>
    </row>
    <row r="28" spans="1:2">
      <c r="A28" s="292">
        <v>19</v>
      </c>
      <c r="B28" s="296" t="s">
        <v>704</v>
      </c>
    </row>
    <row r="29" spans="1:2">
      <c r="A29" s="292">
        <v>20</v>
      </c>
      <c r="B29" s="347" t="s">
        <v>705</v>
      </c>
    </row>
    <row r="30" spans="1:2">
      <c r="A30" s="292">
        <v>21</v>
      </c>
      <c r="B30" s="296" t="s">
        <v>531</v>
      </c>
    </row>
    <row r="31" spans="1:2">
      <c r="A31" s="292">
        <v>22</v>
      </c>
      <c r="B31" s="296" t="s">
        <v>706</v>
      </c>
    </row>
    <row r="32" spans="1:2">
      <c r="A32" s="292">
        <v>23</v>
      </c>
      <c r="B32" s="296" t="s">
        <v>707</v>
      </c>
    </row>
    <row r="33" spans="1:2">
      <c r="A33" s="292">
        <v>24</v>
      </c>
      <c r="B33" s="296" t="s">
        <v>708</v>
      </c>
    </row>
    <row r="34" spans="1:2">
      <c r="A34" s="292">
        <v>25</v>
      </c>
      <c r="B34" s="296" t="s">
        <v>416</v>
      </c>
    </row>
    <row r="35" spans="1:2">
      <c r="A35" s="292">
        <v>26</v>
      </c>
      <c r="B35" s="296" t="s">
        <v>553</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scale="4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6"/>
  <sheetViews>
    <sheetView zoomScale="90" zoomScaleNormal="90" workbookViewId="0">
      <pane xSplit="1" ySplit="5" topLeftCell="B6" activePane="bottomRight" state="frozen"/>
      <selection pane="topRight"/>
      <selection pane="bottomLeft"/>
      <selection pane="bottomRight"/>
    </sheetView>
  </sheetViews>
  <sheetFormatPr defaultColWidth="9.21875" defaultRowHeight="13.2"/>
  <cols>
    <col min="1" max="1" width="9.5546875" style="4" bestFit="1" customWidth="1"/>
    <col min="2" max="2" width="132.44140625" style="4" customWidth="1"/>
    <col min="3" max="3" width="18.44140625" style="4" customWidth="1"/>
    <col min="4" max="16384" width="9.21875" style="4"/>
  </cols>
  <sheetData>
    <row r="1" spans="1:3">
      <c r="A1" s="2" t="s">
        <v>31</v>
      </c>
      <c r="B1" s="3" t="str">
        <f>'Info '!C2</f>
        <v>JSC PASHA Bank Georgia</v>
      </c>
    </row>
    <row r="2" spans="1:3" s="2" customFormat="1" ht="15.75" customHeight="1">
      <c r="A2" s="2" t="s">
        <v>32</v>
      </c>
      <c r="B2" s="309">
        <f>'1. key ratios '!B2</f>
        <v>45291</v>
      </c>
    </row>
    <row r="3" spans="1:3" s="2" customFormat="1" ht="15.75" customHeight="1"/>
    <row r="4" spans="1:3" ht="13.8" thickBot="1">
      <c r="A4" s="4" t="s">
        <v>144</v>
      </c>
      <c r="B4" s="72" t="s">
        <v>143</v>
      </c>
    </row>
    <row r="5" spans="1:3">
      <c r="A5" s="41" t="s">
        <v>7</v>
      </c>
      <c r="B5" s="42"/>
      <c r="C5" s="43" t="s">
        <v>36</v>
      </c>
    </row>
    <row r="6" spans="1:3" ht="13.8">
      <c r="A6" s="44">
        <v>1</v>
      </c>
      <c r="B6" s="45" t="s">
        <v>142</v>
      </c>
      <c r="C6" s="531">
        <f>SUM(C7:C11)</f>
        <v>111157998.75</v>
      </c>
    </row>
    <row r="7" spans="1:3" ht="13.8">
      <c r="A7" s="44">
        <v>2</v>
      </c>
      <c r="B7" s="46" t="s">
        <v>141</v>
      </c>
      <c r="C7" s="532">
        <v>136800000</v>
      </c>
    </row>
    <row r="8" spans="1:3" ht="13.8">
      <c r="A8" s="44">
        <v>3</v>
      </c>
      <c r="B8" s="47" t="s">
        <v>140</v>
      </c>
      <c r="C8" s="532"/>
    </row>
    <row r="9" spans="1:3" ht="13.8">
      <c r="A9" s="44">
        <v>4</v>
      </c>
      <c r="B9" s="47" t="s">
        <v>139</v>
      </c>
      <c r="C9" s="532"/>
    </row>
    <row r="10" spans="1:3" ht="13.8">
      <c r="A10" s="44">
        <v>5</v>
      </c>
      <c r="B10" s="47" t="s">
        <v>138</v>
      </c>
      <c r="C10" s="532"/>
    </row>
    <row r="11" spans="1:3" ht="13.8">
      <c r="A11" s="44">
        <v>6</v>
      </c>
      <c r="B11" s="48" t="s">
        <v>137</v>
      </c>
      <c r="C11" s="532">
        <v>-25642001.25</v>
      </c>
    </row>
    <row r="12" spans="1:3" s="23" customFormat="1" ht="13.8">
      <c r="A12" s="44">
        <v>7</v>
      </c>
      <c r="B12" s="45" t="s">
        <v>136</v>
      </c>
      <c r="C12" s="533">
        <f>SUM(C13:C28)</f>
        <v>4894842</v>
      </c>
    </row>
    <row r="13" spans="1:3" s="23" customFormat="1" ht="13.8">
      <c r="A13" s="44">
        <v>8</v>
      </c>
      <c r="B13" s="49" t="s">
        <v>135</v>
      </c>
      <c r="C13" s="534"/>
    </row>
    <row r="14" spans="1:3" s="23" customFormat="1" ht="26.4">
      <c r="A14" s="44">
        <v>9</v>
      </c>
      <c r="B14" s="50" t="s">
        <v>134</v>
      </c>
      <c r="C14" s="534"/>
    </row>
    <row r="15" spans="1:3" s="23" customFormat="1" ht="13.8">
      <c r="A15" s="44">
        <v>10</v>
      </c>
      <c r="B15" s="51" t="s">
        <v>133</v>
      </c>
      <c r="C15" s="534">
        <v>4894842</v>
      </c>
    </row>
    <row r="16" spans="1:3" s="23" customFormat="1" ht="13.8">
      <c r="A16" s="44">
        <v>11</v>
      </c>
      <c r="B16" s="52" t="s">
        <v>132</v>
      </c>
      <c r="C16" s="534"/>
    </row>
    <row r="17" spans="1:3" s="23" customFormat="1" ht="13.8">
      <c r="A17" s="44">
        <v>12</v>
      </c>
      <c r="B17" s="51" t="s">
        <v>131</v>
      </c>
      <c r="C17" s="534"/>
    </row>
    <row r="18" spans="1:3" s="23" customFormat="1" ht="13.8">
      <c r="A18" s="44">
        <v>13</v>
      </c>
      <c r="B18" s="51" t="s">
        <v>130</v>
      </c>
      <c r="C18" s="534"/>
    </row>
    <row r="19" spans="1:3" s="23" customFormat="1" ht="13.8">
      <c r="A19" s="44">
        <v>14</v>
      </c>
      <c r="B19" s="51" t="s">
        <v>129</v>
      </c>
      <c r="C19" s="534"/>
    </row>
    <row r="20" spans="1:3" s="23" customFormat="1" ht="13.8">
      <c r="A20" s="44">
        <v>15</v>
      </c>
      <c r="B20" s="51" t="s">
        <v>128</v>
      </c>
      <c r="C20" s="534"/>
    </row>
    <row r="21" spans="1:3" s="23" customFormat="1" ht="26.4">
      <c r="A21" s="44">
        <v>16</v>
      </c>
      <c r="B21" s="50" t="s">
        <v>127</v>
      </c>
      <c r="C21" s="534"/>
    </row>
    <row r="22" spans="1:3" s="23" customFormat="1" ht="13.8">
      <c r="A22" s="44">
        <v>17</v>
      </c>
      <c r="B22" s="53" t="s">
        <v>126</v>
      </c>
      <c r="C22" s="534"/>
    </row>
    <row r="23" spans="1:3" s="23" customFormat="1" ht="13.8">
      <c r="A23" s="44">
        <v>18</v>
      </c>
      <c r="B23" s="463" t="s">
        <v>554</v>
      </c>
      <c r="C23" s="534"/>
    </row>
    <row r="24" spans="1:3" s="23" customFormat="1" ht="13.8">
      <c r="A24" s="44">
        <v>19</v>
      </c>
      <c r="B24" s="50" t="s">
        <v>125</v>
      </c>
      <c r="C24" s="534"/>
    </row>
    <row r="25" spans="1:3" s="23" customFormat="1" ht="26.4">
      <c r="A25" s="44">
        <v>20</v>
      </c>
      <c r="B25" s="50" t="s">
        <v>102</v>
      </c>
      <c r="C25" s="534"/>
    </row>
    <row r="26" spans="1:3" s="23" customFormat="1" ht="13.8">
      <c r="A26" s="44">
        <v>21</v>
      </c>
      <c r="B26" s="52" t="s">
        <v>124</v>
      </c>
      <c r="C26" s="534"/>
    </row>
    <row r="27" spans="1:3" s="23" customFormat="1" ht="13.8">
      <c r="A27" s="44">
        <v>22</v>
      </c>
      <c r="B27" s="52" t="s">
        <v>123</v>
      </c>
      <c r="C27" s="534"/>
    </row>
    <row r="28" spans="1:3" s="23" customFormat="1" ht="13.8">
      <c r="A28" s="44">
        <v>23</v>
      </c>
      <c r="B28" s="52" t="s">
        <v>122</v>
      </c>
      <c r="C28" s="534"/>
    </row>
    <row r="29" spans="1:3" s="23" customFormat="1" ht="13.8">
      <c r="A29" s="44">
        <v>24</v>
      </c>
      <c r="B29" s="54" t="s">
        <v>121</v>
      </c>
      <c r="C29" s="533">
        <f>C6-C12</f>
        <v>106263156.75</v>
      </c>
    </row>
    <row r="30" spans="1:3" s="23" customFormat="1" ht="13.8">
      <c r="A30" s="55"/>
      <c r="B30" s="56"/>
      <c r="C30" s="534"/>
    </row>
    <row r="31" spans="1:3" s="23" customFormat="1" ht="13.8">
      <c r="A31" s="55">
        <v>25</v>
      </c>
      <c r="B31" s="54" t="s">
        <v>120</v>
      </c>
      <c r="C31" s="533">
        <f>C32+C35</f>
        <v>0</v>
      </c>
    </row>
    <row r="32" spans="1:3" s="23" customFormat="1" ht="13.8">
      <c r="A32" s="55">
        <v>26</v>
      </c>
      <c r="B32" s="47" t="s">
        <v>119</v>
      </c>
      <c r="C32" s="535">
        <f>C33+C34</f>
        <v>0</v>
      </c>
    </row>
    <row r="33" spans="1:3" s="23" customFormat="1" ht="13.8">
      <c r="A33" s="55">
        <v>27</v>
      </c>
      <c r="B33" s="57" t="s">
        <v>193</v>
      </c>
      <c r="C33" s="534"/>
    </row>
    <row r="34" spans="1:3" s="23" customFormat="1" ht="13.8">
      <c r="A34" s="55">
        <v>28</v>
      </c>
      <c r="B34" s="57" t="s">
        <v>118</v>
      </c>
      <c r="C34" s="534"/>
    </row>
    <row r="35" spans="1:3" s="23" customFormat="1" ht="13.8">
      <c r="A35" s="55">
        <v>29</v>
      </c>
      <c r="B35" s="47" t="s">
        <v>117</v>
      </c>
      <c r="C35" s="534"/>
    </row>
    <row r="36" spans="1:3" s="23" customFormat="1" ht="13.8">
      <c r="A36" s="55">
        <v>30</v>
      </c>
      <c r="B36" s="54" t="s">
        <v>116</v>
      </c>
      <c r="C36" s="533">
        <f>SUM(C37:C41)</f>
        <v>0</v>
      </c>
    </row>
    <row r="37" spans="1:3" s="23" customFormat="1" ht="13.8">
      <c r="A37" s="55">
        <v>31</v>
      </c>
      <c r="B37" s="50" t="s">
        <v>115</v>
      </c>
      <c r="C37" s="534"/>
    </row>
    <row r="38" spans="1:3" s="23" customFormat="1" ht="13.8">
      <c r="A38" s="55">
        <v>32</v>
      </c>
      <c r="B38" s="51" t="s">
        <v>114</v>
      </c>
      <c r="C38" s="534"/>
    </row>
    <row r="39" spans="1:3" s="23" customFormat="1" ht="13.8">
      <c r="A39" s="55">
        <v>33</v>
      </c>
      <c r="B39" s="50" t="s">
        <v>113</v>
      </c>
      <c r="C39" s="534"/>
    </row>
    <row r="40" spans="1:3" s="23" customFormat="1" ht="26.4">
      <c r="A40" s="55">
        <v>34</v>
      </c>
      <c r="B40" s="50" t="s">
        <v>102</v>
      </c>
      <c r="C40" s="534"/>
    </row>
    <row r="41" spans="1:3" s="23" customFormat="1" ht="13.8">
      <c r="A41" s="55">
        <v>35</v>
      </c>
      <c r="B41" s="52" t="s">
        <v>112</v>
      </c>
      <c r="C41" s="534"/>
    </row>
    <row r="42" spans="1:3" s="23" customFormat="1" ht="13.8">
      <c r="A42" s="55">
        <v>36</v>
      </c>
      <c r="B42" s="54" t="s">
        <v>111</v>
      </c>
      <c r="C42" s="533">
        <f>C31-C36</f>
        <v>0</v>
      </c>
    </row>
    <row r="43" spans="1:3" s="23" customFormat="1" ht="13.8">
      <c r="A43" s="55"/>
      <c r="B43" s="56"/>
      <c r="C43" s="534"/>
    </row>
    <row r="44" spans="1:3" s="23" customFormat="1" ht="13.8">
      <c r="A44" s="55">
        <v>37</v>
      </c>
      <c r="B44" s="58" t="s">
        <v>110</v>
      </c>
      <c r="C44" s="533">
        <f>SUM(C45:C47)</f>
        <v>16134927</v>
      </c>
    </row>
    <row r="45" spans="1:3" s="23" customFormat="1" ht="13.8">
      <c r="A45" s="55">
        <v>38</v>
      </c>
      <c r="B45" s="47" t="s">
        <v>109</v>
      </c>
      <c r="C45" s="534">
        <v>16134927</v>
      </c>
    </row>
    <row r="46" spans="1:3" s="23" customFormat="1" ht="13.8">
      <c r="A46" s="55">
        <v>39</v>
      </c>
      <c r="B46" s="47" t="s">
        <v>108</v>
      </c>
      <c r="C46" s="534"/>
    </row>
    <row r="47" spans="1:3" s="23" customFormat="1" ht="13.8">
      <c r="A47" s="55">
        <v>40</v>
      </c>
      <c r="B47" s="47" t="s">
        <v>107</v>
      </c>
      <c r="C47" s="534"/>
    </row>
    <row r="48" spans="1:3" s="23" customFormat="1" ht="13.8">
      <c r="A48" s="55">
        <v>41</v>
      </c>
      <c r="B48" s="58" t="s">
        <v>106</v>
      </c>
      <c r="C48" s="533">
        <f>SUM(C49:C52)</f>
        <v>0</v>
      </c>
    </row>
    <row r="49" spans="1:3" s="23" customFormat="1" ht="13.8">
      <c r="A49" s="55">
        <v>42</v>
      </c>
      <c r="B49" s="50" t="s">
        <v>105</v>
      </c>
      <c r="C49" s="534"/>
    </row>
    <row r="50" spans="1:3" s="23" customFormat="1" ht="13.8">
      <c r="A50" s="55">
        <v>43</v>
      </c>
      <c r="B50" s="51" t="s">
        <v>104</v>
      </c>
      <c r="C50" s="534"/>
    </row>
    <row r="51" spans="1:3" s="23" customFormat="1" ht="13.8">
      <c r="A51" s="55">
        <v>44</v>
      </c>
      <c r="B51" s="50" t="s">
        <v>103</v>
      </c>
      <c r="C51" s="534"/>
    </row>
    <row r="52" spans="1:3" s="23" customFormat="1" ht="26.4">
      <c r="A52" s="55">
        <v>45</v>
      </c>
      <c r="B52" s="50" t="s">
        <v>102</v>
      </c>
      <c r="C52" s="534"/>
    </row>
    <row r="53" spans="1:3" s="23" customFormat="1" ht="14.4" thickBot="1">
      <c r="A53" s="55">
        <v>46</v>
      </c>
      <c r="B53" s="59" t="s">
        <v>101</v>
      </c>
      <c r="C53" s="536">
        <f>C44-C48</f>
        <v>16134927</v>
      </c>
    </row>
    <row r="56" spans="1:3">
      <c r="B56" s="4" t="s">
        <v>8</v>
      </c>
    </row>
  </sheetData>
  <dataValidations count="1">
    <dataValidation operator="lessThanOrEqual" allowBlank="1" showInputMessage="1" showErrorMessage="1" errorTitle="Should be negative number" error="Should be whole negative number or 0" sqref="C13:C53" xr:uid="{D97CA62B-D358-4D2A-8A57-6A3D03C1EBC9}"/>
  </dataValidations>
  <pageMargins left="0.7" right="0.7" top="0.75" bottom="0.75" header="0.3" footer="0.3"/>
  <pageSetup paperSize="9" scale="4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zoomScaleNormal="100" workbookViewId="0"/>
  </sheetViews>
  <sheetFormatPr defaultColWidth="9.21875" defaultRowHeight="13.8"/>
  <cols>
    <col min="1" max="1" width="9.44140625" style="153" bestFit="1" customWidth="1"/>
    <col min="2" max="2" width="59" style="153" customWidth="1"/>
    <col min="3" max="3" width="16.77734375" style="153" bestFit="1" customWidth="1"/>
    <col min="4" max="4" width="14.33203125" style="153" bestFit="1" customWidth="1"/>
    <col min="5" max="16384" width="9.21875" style="153"/>
  </cols>
  <sheetData>
    <row r="1" spans="1:4">
      <c r="A1" s="151" t="s">
        <v>31</v>
      </c>
      <c r="B1" s="3" t="str">
        <f>'Info '!C2</f>
        <v>JSC PASHA Bank Georgia</v>
      </c>
    </row>
    <row r="2" spans="1:4" s="151" customFormat="1" ht="15.75" customHeight="1">
      <c r="A2" s="151" t="s">
        <v>32</v>
      </c>
      <c r="B2" s="309">
        <f>'1. key ratios '!B2</f>
        <v>45291</v>
      </c>
    </row>
    <row r="3" spans="1:4" s="151" customFormat="1" ht="15.75" customHeight="1"/>
    <row r="4" spans="1:4" ht="14.4" thickBot="1">
      <c r="A4" s="153" t="s">
        <v>282</v>
      </c>
      <c r="B4" s="229" t="s">
        <v>283</v>
      </c>
    </row>
    <row r="5" spans="1:4" s="158" customFormat="1" ht="12.75" customHeight="1">
      <c r="A5" s="290"/>
      <c r="B5" s="291" t="s">
        <v>286</v>
      </c>
      <c r="C5" s="222" t="s">
        <v>284</v>
      </c>
      <c r="D5" s="223" t="s">
        <v>285</v>
      </c>
    </row>
    <row r="6" spans="1:4" s="230" customFormat="1">
      <c r="A6" s="224">
        <v>1</v>
      </c>
      <c r="B6" s="285" t="s">
        <v>287</v>
      </c>
      <c r="C6" s="285"/>
      <c r="D6" s="225"/>
    </row>
    <row r="7" spans="1:4" s="230" customFormat="1">
      <c r="A7" s="226" t="s">
        <v>273</v>
      </c>
      <c r="B7" s="286" t="s">
        <v>288</v>
      </c>
      <c r="C7" s="278">
        <v>4.4999999999999998E-2</v>
      </c>
      <c r="D7" s="538">
        <f>C7*'5. RWA '!$C$13</f>
        <v>26414515.844999999</v>
      </c>
    </row>
    <row r="8" spans="1:4" s="230" customFormat="1">
      <c r="A8" s="226" t="s">
        <v>274</v>
      </c>
      <c r="B8" s="286" t="s">
        <v>289</v>
      </c>
      <c r="C8" s="279">
        <v>0.06</v>
      </c>
      <c r="D8" s="538">
        <f>C8*'5. RWA '!$C$13</f>
        <v>35219354.460000001</v>
      </c>
    </row>
    <row r="9" spans="1:4" s="230" customFormat="1">
      <c r="A9" s="226" t="s">
        <v>275</v>
      </c>
      <c r="B9" s="286" t="s">
        <v>290</v>
      </c>
      <c r="C9" s="279">
        <v>0.08</v>
      </c>
      <c r="D9" s="538">
        <f>C9*'5. RWA '!$C$13</f>
        <v>46959139.280000001</v>
      </c>
    </row>
    <row r="10" spans="1:4" s="230" customFormat="1">
      <c r="A10" s="224" t="s">
        <v>276</v>
      </c>
      <c r="B10" s="285" t="s">
        <v>291</v>
      </c>
      <c r="C10" s="280"/>
      <c r="D10" s="539"/>
    </row>
    <row r="11" spans="1:4" s="231" customFormat="1">
      <c r="A11" s="227" t="s">
        <v>277</v>
      </c>
      <c r="B11" s="277" t="s">
        <v>357</v>
      </c>
      <c r="C11" s="537">
        <v>2.5000000000000001E-2</v>
      </c>
      <c r="D11" s="538">
        <f>C11*'5. RWA '!$C$13</f>
        <v>14674731.025</v>
      </c>
    </row>
    <row r="12" spans="1:4" s="231" customFormat="1">
      <c r="A12" s="227" t="s">
        <v>278</v>
      </c>
      <c r="B12" s="277" t="s">
        <v>292</v>
      </c>
      <c r="C12" s="537">
        <v>0</v>
      </c>
      <c r="D12" s="538">
        <f>C12*'5. RWA '!$C$13</f>
        <v>0</v>
      </c>
    </row>
    <row r="13" spans="1:4" s="231" customFormat="1">
      <c r="A13" s="227" t="s">
        <v>279</v>
      </c>
      <c r="B13" s="277" t="s">
        <v>293</v>
      </c>
      <c r="C13" s="537"/>
      <c r="D13" s="538">
        <f>C13*'5. RWA '!$C$13</f>
        <v>0</v>
      </c>
    </row>
    <row r="14" spans="1:4" s="231" customFormat="1">
      <c r="A14" s="224" t="s">
        <v>280</v>
      </c>
      <c r="B14" s="285" t="s">
        <v>354</v>
      </c>
      <c r="C14" s="282"/>
      <c r="D14" s="539"/>
    </row>
    <row r="15" spans="1:4" s="231" customFormat="1">
      <c r="A15" s="227">
        <v>3.1</v>
      </c>
      <c r="B15" s="277" t="s">
        <v>298</v>
      </c>
      <c r="C15" s="537">
        <v>5.96E-2</v>
      </c>
      <c r="D15" s="538">
        <f>C15*'5. RWA '!$C$13</f>
        <v>34984558.763599999</v>
      </c>
    </row>
    <row r="16" spans="1:4" s="231" customFormat="1">
      <c r="A16" s="227">
        <v>3.2</v>
      </c>
      <c r="B16" s="277" t="s">
        <v>299</v>
      </c>
      <c r="C16" s="537">
        <v>7.4099999999999999E-2</v>
      </c>
      <c r="D16" s="538">
        <f>C16*'5. RWA '!$C$13</f>
        <v>43495902.758100003</v>
      </c>
    </row>
    <row r="17" spans="1:4" s="230" customFormat="1">
      <c r="A17" s="227">
        <v>3.3</v>
      </c>
      <c r="B17" s="277" t="s">
        <v>300</v>
      </c>
      <c r="C17" s="537">
        <v>9.3200000000000005E-2</v>
      </c>
      <c r="D17" s="538">
        <f>C17*'5. RWA '!$C$13</f>
        <v>54707397.261200003</v>
      </c>
    </row>
    <row r="18" spans="1:4" s="158" customFormat="1" ht="12.75" customHeight="1">
      <c r="A18" s="288"/>
      <c r="B18" s="289" t="s">
        <v>353</v>
      </c>
      <c r="C18" s="283" t="s">
        <v>284</v>
      </c>
      <c r="D18" s="287" t="s">
        <v>285</v>
      </c>
    </row>
    <row r="19" spans="1:4" s="230" customFormat="1">
      <c r="A19" s="228">
        <v>4</v>
      </c>
      <c r="B19" s="277" t="s">
        <v>294</v>
      </c>
      <c r="C19" s="281">
        <f>C7+C11+C12+C13+C15</f>
        <v>0.12959999999999999</v>
      </c>
      <c r="D19" s="538">
        <f>C19*'5. RWA '!$C$13</f>
        <v>76073805.633599997</v>
      </c>
    </row>
    <row r="20" spans="1:4" s="230" customFormat="1">
      <c r="A20" s="228">
        <v>5</v>
      </c>
      <c r="B20" s="277" t="s">
        <v>91</v>
      </c>
      <c r="C20" s="281">
        <f>C8+C11+C12+C13+C16</f>
        <v>0.15909999999999999</v>
      </c>
      <c r="D20" s="538">
        <f>C20*'5. RWA '!$C$13</f>
        <v>93389988.243100002</v>
      </c>
    </row>
    <row r="21" spans="1:4" s="230" customFormat="1" ht="14.4" thickBot="1">
      <c r="A21" s="232" t="s">
        <v>281</v>
      </c>
      <c r="B21" s="233" t="s">
        <v>295</v>
      </c>
      <c r="C21" s="284">
        <f>C9+C11+C12+C13+C17</f>
        <v>0.19820000000000002</v>
      </c>
      <c r="D21" s="540">
        <f>C21*'5. RWA '!$C$13</f>
        <v>116341267.5662</v>
      </c>
    </row>
    <row r="23" spans="1:4" ht="53.4">
      <c r="B23" s="192" t="s">
        <v>356</v>
      </c>
    </row>
  </sheetData>
  <conditionalFormatting sqref="C21">
    <cfRule type="cellIs" dxfId="21" priority="1" operator="lessThan">
      <formula>#REF!</formula>
    </cfRule>
  </conditionalFormatting>
  <pageMargins left="0.7" right="0.7" top="0.75" bottom="0.75" header="0.3" footer="0.3"/>
  <pageSetup paperSize="9"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70" zoomScaleNormal="70" workbookViewId="0">
      <pane xSplit="1" ySplit="5" topLeftCell="B6" activePane="bottomRight" state="frozen"/>
      <selection pane="topRight"/>
      <selection pane="bottomLeft"/>
      <selection pane="bottomRight"/>
    </sheetView>
  </sheetViews>
  <sheetFormatPr defaultColWidth="9.21875" defaultRowHeight="13.8"/>
  <cols>
    <col min="1" max="1" width="10.77734375" style="4" customWidth="1"/>
    <col min="2" max="2" width="91.77734375" style="4" customWidth="1"/>
    <col min="3" max="3" width="53.21875" style="4" customWidth="1"/>
    <col min="4" max="4" width="32.21875" style="4" customWidth="1"/>
    <col min="5" max="5" width="9.44140625" style="5" customWidth="1"/>
    <col min="6" max="16384" width="9.21875" style="5"/>
  </cols>
  <sheetData>
    <row r="1" spans="1:6">
      <c r="A1" s="2" t="s">
        <v>31</v>
      </c>
      <c r="B1" s="3" t="str">
        <f>'Info '!C2</f>
        <v>JSC PASHA Bank Georgia</v>
      </c>
      <c r="E1" s="4"/>
      <c r="F1" s="4"/>
    </row>
    <row r="2" spans="1:6" s="2" customFormat="1" ht="15.75" customHeight="1">
      <c r="A2" s="2" t="s">
        <v>32</v>
      </c>
      <c r="B2" s="309">
        <f>'1. key ratios '!B2</f>
        <v>45291</v>
      </c>
    </row>
    <row r="3" spans="1:6" s="2" customFormat="1" ht="15.75" customHeight="1">
      <c r="A3" s="60"/>
    </row>
    <row r="4" spans="1:6" s="2" customFormat="1" ht="15.75" customHeight="1" thickBot="1">
      <c r="A4" s="2" t="s">
        <v>48</v>
      </c>
      <c r="B4" s="145" t="s">
        <v>179</v>
      </c>
      <c r="D4" s="14" t="s">
        <v>36</v>
      </c>
    </row>
    <row r="5" spans="1:6" ht="26.4">
      <c r="A5" s="61" t="s">
        <v>7</v>
      </c>
      <c r="B5" s="165" t="s">
        <v>219</v>
      </c>
      <c r="C5" s="62" t="s">
        <v>661</v>
      </c>
      <c r="D5" s="63" t="s">
        <v>50</v>
      </c>
    </row>
    <row r="6" spans="1:6" ht="14.4">
      <c r="A6" s="501">
        <v>1</v>
      </c>
      <c r="B6" s="498" t="s">
        <v>562</v>
      </c>
      <c r="C6" s="541">
        <f>SUM(C7:C9)</f>
        <v>101575518.70719999</v>
      </c>
      <c r="D6" s="555"/>
      <c r="E6" s="64"/>
    </row>
    <row r="7" spans="1:6" ht="14.4">
      <c r="A7" s="501">
        <v>1.1000000000000001</v>
      </c>
      <c r="B7" s="350" t="s">
        <v>563</v>
      </c>
      <c r="C7" s="542">
        <v>2919174.8731000004</v>
      </c>
      <c r="D7" s="556"/>
      <c r="E7" s="64"/>
    </row>
    <row r="8" spans="1:6" ht="14.4">
      <c r="A8" s="501">
        <v>1.2</v>
      </c>
      <c r="B8" s="350" t="s">
        <v>564</v>
      </c>
      <c r="C8" s="542">
        <v>31226313.320999999</v>
      </c>
      <c r="D8" s="556"/>
      <c r="E8" s="64"/>
    </row>
    <row r="9" spans="1:6" ht="14.4">
      <c r="A9" s="501">
        <v>1.3</v>
      </c>
      <c r="B9" s="350" t="s">
        <v>565</v>
      </c>
      <c r="C9" s="542">
        <v>67430030.513099998</v>
      </c>
      <c r="D9" s="556"/>
      <c r="E9" s="64"/>
    </row>
    <row r="10" spans="1:6" ht="14.4">
      <c r="A10" s="501">
        <v>2</v>
      </c>
      <c r="B10" s="374" t="s">
        <v>566</v>
      </c>
      <c r="C10" s="543">
        <f>C11</f>
        <v>690915.74</v>
      </c>
      <c r="D10" s="556"/>
      <c r="E10" s="64"/>
    </row>
    <row r="11" spans="1:6" ht="14.4">
      <c r="A11" s="501">
        <v>2.1</v>
      </c>
      <c r="B11" s="349" t="s">
        <v>567</v>
      </c>
      <c r="C11" s="544">
        <v>690915.74</v>
      </c>
      <c r="D11" s="557"/>
      <c r="E11" s="65"/>
    </row>
    <row r="12" spans="1:6" ht="14.4">
      <c r="A12" s="501">
        <v>3</v>
      </c>
      <c r="B12" s="494" t="s">
        <v>568</v>
      </c>
      <c r="C12" s="545"/>
      <c r="D12" s="557"/>
      <c r="E12" s="65"/>
    </row>
    <row r="13" spans="1:6" ht="14.4">
      <c r="A13" s="501">
        <v>4</v>
      </c>
      <c r="B13" s="355" t="s">
        <v>569</v>
      </c>
      <c r="C13" s="545"/>
      <c r="D13" s="557"/>
      <c r="E13" s="65"/>
    </row>
    <row r="14" spans="1:6" ht="14.4">
      <c r="A14" s="501">
        <v>5</v>
      </c>
      <c r="B14" s="352" t="s">
        <v>570</v>
      </c>
      <c r="C14" s="545">
        <f>SUM(C15:C17)</f>
        <v>0</v>
      </c>
      <c r="D14" s="557"/>
      <c r="E14" s="65"/>
    </row>
    <row r="15" spans="1:6" ht="14.4">
      <c r="A15" s="501">
        <v>5.0999999999999996</v>
      </c>
      <c r="B15" s="495" t="s">
        <v>571</v>
      </c>
      <c r="C15" s="542"/>
      <c r="D15" s="557"/>
      <c r="E15" s="64"/>
    </row>
    <row r="16" spans="1:6" ht="14.4">
      <c r="A16" s="501">
        <v>5.2</v>
      </c>
      <c r="B16" s="495" t="s">
        <v>572</v>
      </c>
      <c r="C16" s="542"/>
      <c r="D16" s="556"/>
      <c r="E16" s="64"/>
    </row>
    <row r="17" spans="1:5" ht="14.4">
      <c r="A17" s="501">
        <v>5.3</v>
      </c>
      <c r="B17" s="375" t="s">
        <v>573</v>
      </c>
      <c r="C17" s="542"/>
      <c r="D17" s="556"/>
      <c r="E17" s="64"/>
    </row>
    <row r="18" spans="1:5" ht="14.4">
      <c r="A18" s="501">
        <v>6</v>
      </c>
      <c r="B18" s="494" t="s">
        <v>574</v>
      </c>
      <c r="C18" s="543">
        <f>SUM(C19:C20)</f>
        <v>401336512.84969991</v>
      </c>
      <c r="D18" s="556"/>
      <c r="E18" s="64"/>
    </row>
    <row r="19" spans="1:5" ht="14.4">
      <c r="A19" s="501">
        <v>6.1</v>
      </c>
      <c r="B19" s="495" t="s">
        <v>572</v>
      </c>
      <c r="C19" s="544">
        <v>65230020.842900001</v>
      </c>
      <c r="D19" s="556"/>
      <c r="E19" s="64"/>
    </row>
    <row r="20" spans="1:5" ht="14.4">
      <c r="A20" s="501">
        <v>6.2</v>
      </c>
      <c r="B20" s="375" t="s">
        <v>573</v>
      </c>
      <c r="C20" s="544">
        <v>336106492.00679994</v>
      </c>
      <c r="D20" s="556"/>
      <c r="E20" s="64"/>
    </row>
    <row r="21" spans="1:5" ht="14.4">
      <c r="A21" s="501">
        <v>7</v>
      </c>
      <c r="B21" s="374" t="s">
        <v>575</v>
      </c>
      <c r="C21" s="545"/>
      <c r="D21" s="556"/>
      <c r="E21" s="64"/>
    </row>
    <row r="22" spans="1:5" ht="14.4">
      <c r="A22" s="501">
        <v>8</v>
      </c>
      <c r="B22" s="374" t="s">
        <v>576</v>
      </c>
      <c r="C22" s="543">
        <v>11631520.42</v>
      </c>
      <c r="D22" s="556"/>
      <c r="E22" s="64"/>
    </row>
    <row r="23" spans="1:5" ht="14.4">
      <c r="A23" s="501">
        <v>9</v>
      </c>
      <c r="B23" s="355" t="s">
        <v>577</v>
      </c>
      <c r="C23" s="543">
        <f>SUM(C24:C25)</f>
        <v>9048070.0600000005</v>
      </c>
      <c r="D23" s="558"/>
      <c r="E23" s="64"/>
    </row>
    <row r="24" spans="1:5" ht="14.4">
      <c r="A24" s="501">
        <v>9.1</v>
      </c>
      <c r="B24" s="495" t="s">
        <v>578</v>
      </c>
      <c r="C24" s="546">
        <v>4969672.78</v>
      </c>
      <c r="D24" s="559"/>
      <c r="E24" s="64"/>
    </row>
    <row r="25" spans="1:5" ht="14.4">
      <c r="A25" s="501">
        <v>9.1999999999999993</v>
      </c>
      <c r="B25" s="495" t="s">
        <v>579</v>
      </c>
      <c r="C25" s="547">
        <v>4078397.28</v>
      </c>
      <c r="D25" s="560"/>
      <c r="E25" s="66"/>
    </row>
    <row r="26" spans="1:5" ht="14.4">
      <c r="A26" s="501">
        <v>10</v>
      </c>
      <c r="B26" s="355" t="s">
        <v>580</v>
      </c>
      <c r="C26" s="548">
        <f>SUM(C27:C28)</f>
        <v>4894841.96</v>
      </c>
      <c r="D26" s="462" t="s">
        <v>717</v>
      </c>
      <c r="E26" s="64"/>
    </row>
    <row r="27" spans="1:5" ht="14.4">
      <c r="A27" s="501">
        <v>10.1</v>
      </c>
      <c r="B27" s="495" t="s">
        <v>581</v>
      </c>
      <c r="C27" s="542"/>
      <c r="D27" s="556"/>
      <c r="E27" s="64"/>
    </row>
    <row r="28" spans="1:5" ht="14.4">
      <c r="A28" s="501">
        <v>10.199999999999999</v>
      </c>
      <c r="B28" s="495" t="s">
        <v>582</v>
      </c>
      <c r="C28" s="542">
        <v>4894841.96</v>
      </c>
      <c r="D28" s="556"/>
      <c r="E28" s="64"/>
    </row>
    <row r="29" spans="1:5" ht="14.4">
      <c r="A29" s="501">
        <v>11</v>
      </c>
      <c r="B29" s="355" t="s">
        <v>583</v>
      </c>
      <c r="C29" s="543">
        <f>SUM(C30:C31)</f>
        <v>0</v>
      </c>
      <c r="D29" s="556"/>
      <c r="E29" s="64"/>
    </row>
    <row r="30" spans="1:5" ht="14.4">
      <c r="A30" s="501">
        <v>11.1</v>
      </c>
      <c r="B30" s="495" t="s">
        <v>584</v>
      </c>
      <c r="C30" s="542"/>
      <c r="D30" s="556"/>
      <c r="E30" s="64"/>
    </row>
    <row r="31" spans="1:5" ht="14.4">
      <c r="A31" s="501">
        <v>11.2</v>
      </c>
      <c r="B31" s="495" t="s">
        <v>585</v>
      </c>
      <c r="C31" s="542"/>
      <c r="D31" s="556"/>
      <c r="E31" s="64"/>
    </row>
    <row r="32" spans="1:5" ht="14.4">
      <c r="A32" s="501">
        <v>13</v>
      </c>
      <c r="B32" s="355" t="s">
        <v>586</v>
      </c>
      <c r="C32" s="543">
        <v>5531631.4583999999</v>
      </c>
      <c r="D32" s="556"/>
      <c r="E32" s="64"/>
    </row>
    <row r="33" spans="1:5" ht="14.4">
      <c r="A33" s="501">
        <v>13.1</v>
      </c>
      <c r="B33" s="496" t="s">
        <v>587</v>
      </c>
      <c r="C33" s="542"/>
      <c r="D33" s="556"/>
      <c r="E33" s="64"/>
    </row>
    <row r="34" spans="1:5" ht="14.4">
      <c r="A34" s="501">
        <v>13.2</v>
      </c>
      <c r="B34" s="496" t="s">
        <v>588</v>
      </c>
      <c r="C34" s="546"/>
      <c r="D34" s="559"/>
      <c r="E34" s="64"/>
    </row>
    <row r="35" spans="1:5" ht="14.4">
      <c r="A35" s="501">
        <v>14</v>
      </c>
      <c r="B35" s="355" t="s">
        <v>589</v>
      </c>
      <c r="C35" s="549">
        <f>SUM(C6,C10,C12,C13,C14,C18,C21,C22,C23,C26,C29,C32)</f>
        <v>534709011.19529992</v>
      </c>
      <c r="D35" s="556"/>
      <c r="E35" s="64"/>
    </row>
    <row r="36" spans="1:5" ht="14.4">
      <c r="A36" s="501"/>
      <c r="B36" s="353" t="s">
        <v>590</v>
      </c>
      <c r="C36" s="550"/>
      <c r="D36" s="556"/>
      <c r="E36" s="64"/>
    </row>
    <row r="37" spans="1:5" ht="14.4">
      <c r="A37" s="501">
        <v>15</v>
      </c>
      <c r="B37" s="374" t="s">
        <v>591</v>
      </c>
      <c r="C37" s="547">
        <f>C38</f>
        <v>825800.46</v>
      </c>
      <c r="D37" s="560"/>
      <c r="E37" s="66"/>
    </row>
    <row r="38" spans="1:5" ht="14.4">
      <c r="A38" s="501">
        <v>15.1</v>
      </c>
      <c r="B38" s="349" t="s">
        <v>567</v>
      </c>
      <c r="C38" s="542">
        <v>825800.46</v>
      </c>
      <c r="D38" s="556"/>
      <c r="E38" s="64"/>
    </row>
    <row r="39" spans="1:5" ht="14.4">
      <c r="A39" s="501">
        <v>16</v>
      </c>
      <c r="B39" s="374" t="s">
        <v>592</v>
      </c>
      <c r="C39" s="543"/>
      <c r="D39" s="556"/>
      <c r="E39" s="64"/>
    </row>
    <row r="40" spans="1:5" ht="14.4">
      <c r="A40" s="501">
        <v>17</v>
      </c>
      <c r="B40" s="374" t="s">
        <v>593</v>
      </c>
      <c r="C40" s="543">
        <f>SUM(C41:C44)</f>
        <v>382128299.98869997</v>
      </c>
      <c r="D40" s="556"/>
      <c r="E40" s="64"/>
    </row>
    <row r="41" spans="1:5" ht="14.4">
      <c r="A41" s="501">
        <v>17.100000000000001</v>
      </c>
      <c r="B41" s="372" t="s">
        <v>594</v>
      </c>
      <c r="C41" s="542">
        <v>356814307.98599994</v>
      </c>
      <c r="D41" s="556"/>
      <c r="E41" s="64"/>
    </row>
    <row r="42" spans="1:5" ht="14.4">
      <c r="A42" s="501">
        <v>17.2</v>
      </c>
      <c r="B42" s="350" t="s">
        <v>595</v>
      </c>
      <c r="C42" s="546">
        <v>22179086.976</v>
      </c>
      <c r="D42" s="559"/>
      <c r="E42" s="64"/>
    </row>
    <row r="43" spans="1:5" ht="14.4">
      <c r="A43" s="501">
        <v>17.3</v>
      </c>
      <c r="B43" s="372" t="s">
        <v>596</v>
      </c>
      <c r="C43" s="551"/>
      <c r="D43" s="561"/>
      <c r="E43" s="64"/>
    </row>
    <row r="44" spans="1:5" ht="14.4">
      <c r="A44" s="501">
        <v>17.399999999999999</v>
      </c>
      <c r="B44" s="372" t="s">
        <v>597</v>
      </c>
      <c r="C44" s="551">
        <v>3134905.0266999998</v>
      </c>
      <c r="D44" s="561"/>
      <c r="E44" s="64"/>
    </row>
    <row r="45" spans="1:5" ht="14.4">
      <c r="A45" s="501">
        <v>18</v>
      </c>
      <c r="B45" s="355" t="s">
        <v>598</v>
      </c>
      <c r="C45" s="552">
        <v>1346879.6949</v>
      </c>
      <c r="D45" s="561"/>
      <c r="E45" s="66"/>
    </row>
    <row r="46" spans="1:5" ht="14.4">
      <c r="A46" s="501">
        <v>19</v>
      </c>
      <c r="B46" s="355" t="s">
        <v>599</v>
      </c>
      <c r="C46" s="552">
        <f>SUM(C47:C48)</f>
        <v>0</v>
      </c>
      <c r="D46" s="562"/>
    </row>
    <row r="47" spans="1:5" ht="14.4">
      <c r="A47" s="501">
        <v>19.100000000000001</v>
      </c>
      <c r="B47" s="373" t="s">
        <v>600</v>
      </c>
      <c r="C47" s="551"/>
      <c r="D47" s="562"/>
    </row>
    <row r="48" spans="1:5" ht="14.4">
      <c r="A48" s="501">
        <v>19.2</v>
      </c>
      <c r="B48" s="373" t="s">
        <v>601</v>
      </c>
      <c r="C48" s="551"/>
      <c r="D48" s="562"/>
    </row>
    <row r="49" spans="1:4" ht="14.4">
      <c r="A49" s="501">
        <v>20</v>
      </c>
      <c r="B49" s="351" t="s">
        <v>602</v>
      </c>
      <c r="C49" s="552">
        <v>27716206.595400002</v>
      </c>
      <c r="D49" s="462" t="s">
        <v>718</v>
      </c>
    </row>
    <row r="50" spans="1:4" ht="14.4">
      <c r="A50" s="501">
        <v>21</v>
      </c>
      <c r="B50" s="374" t="s">
        <v>603</v>
      </c>
      <c r="C50" s="552">
        <v>10378913.702399999</v>
      </c>
      <c r="D50" s="562"/>
    </row>
    <row r="51" spans="1:4" ht="14.4">
      <c r="A51" s="501">
        <v>21.1</v>
      </c>
      <c r="B51" s="350" t="s">
        <v>604</v>
      </c>
      <c r="C51" s="551"/>
      <c r="D51" s="562"/>
    </row>
    <row r="52" spans="1:4" ht="14.4">
      <c r="A52" s="501">
        <v>22</v>
      </c>
      <c r="B52" s="352" t="s">
        <v>605</v>
      </c>
      <c r="C52" s="552">
        <f>SUM(C37,C39,C40,C45,C46,C49,C50)</f>
        <v>422396100.44139993</v>
      </c>
      <c r="D52" s="562"/>
    </row>
    <row r="53" spans="1:4" ht="14.4">
      <c r="A53" s="501"/>
      <c r="B53" s="353" t="s">
        <v>606</v>
      </c>
      <c r="C53" s="551"/>
      <c r="D53" s="562"/>
    </row>
    <row r="54" spans="1:4" ht="14.4">
      <c r="A54" s="501">
        <v>23</v>
      </c>
      <c r="B54" s="351" t="s">
        <v>607</v>
      </c>
      <c r="C54" s="552">
        <v>136800000</v>
      </c>
      <c r="D54" s="462" t="s">
        <v>719</v>
      </c>
    </row>
    <row r="55" spans="1:4" ht="14.4">
      <c r="A55" s="501">
        <v>24</v>
      </c>
      <c r="B55" s="351" t="s">
        <v>608</v>
      </c>
      <c r="C55" s="552"/>
      <c r="D55" s="562"/>
    </row>
    <row r="56" spans="1:4" ht="14.4">
      <c r="A56" s="501">
        <v>25</v>
      </c>
      <c r="B56" s="355" t="s">
        <v>609</v>
      </c>
      <c r="C56" s="552"/>
      <c r="D56" s="562"/>
    </row>
    <row r="57" spans="1:4" ht="14.4">
      <c r="A57" s="501">
        <v>26</v>
      </c>
      <c r="B57" s="355" t="s">
        <v>610</v>
      </c>
      <c r="C57" s="552"/>
      <c r="D57" s="562"/>
    </row>
    <row r="58" spans="1:4" ht="14.4">
      <c r="A58" s="501">
        <v>27</v>
      </c>
      <c r="B58" s="355" t="s">
        <v>611</v>
      </c>
      <c r="C58" s="552">
        <f>SUM(C59:C60)</f>
        <v>1154910.5</v>
      </c>
      <c r="D58" s="562"/>
    </row>
    <row r="59" spans="1:4" ht="14.4">
      <c r="A59" s="501">
        <v>27.1</v>
      </c>
      <c r="B59" s="372" t="s">
        <v>612</v>
      </c>
      <c r="C59" s="551">
        <v>1154910.5</v>
      </c>
      <c r="D59" s="562"/>
    </row>
    <row r="60" spans="1:4" ht="14.4">
      <c r="A60" s="501">
        <v>27.2</v>
      </c>
      <c r="B60" s="372" t="s">
        <v>613</v>
      </c>
      <c r="C60" s="551"/>
      <c r="D60" s="562"/>
    </row>
    <row r="61" spans="1:4" ht="14.4">
      <c r="A61" s="501">
        <v>28</v>
      </c>
      <c r="B61" s="354" t="s">
        <v>614</v>
      </c>
      <c r="C61" s="552"/>
      <c r="D61" s="562"/>
    </row>
    <row r="62" spans="1:4" ht="14.4">
      <c r="A62" s="501">
        <v>29</v>
      </c>
      <c r="B62" s="355" t="s">
        <v>615</v>
      </c>
      <c r="C62" s="552">
        <f>SUM(C63:C65)</f>
        <v>0</v>
      </c>
      <c r="D62" s="562"/>
    </row>
    <row r="63" spans="1:4" ht="14.4">
      <c r="A63" s="501">
        <v>29.1</v>
      </c>
      <c r="B63" s="375" t="s">
        <v>616</v>
      </c>
      <c r="C63" s="551"/>
      <c r="D63" s="562"/>
    </row>
    <row r="64" spans="1:4" ht="14.4">
      <c r="A64" s="501">
        <v>29.2</v>
      </c>
      <c r="B64" s="373" t="s">
        <v>617</v>
      </c>
      <c r="C64" s="551"/>
      <c r="D64" s="562"/>
    </row>
    <row r="65" spans="1:4" ht="14.4">
      <c r="A65" s="501">
        <v>29.3</v>
      </c>
      <c r="B65" s="373" t="s">
        <v>618</v>
      </c>
      <c r="C65" s="551"/>
      <c r="D65" s="562"/>
    </row>
    <row r="66" spans="1:4" ht="14.4">
      <c r="A66" s="501">
        <v>30</v>
      </c>
      <c r="B66" s="355" t="s">
        <v>619</v>
      </c>
      <c r="C66" s="552">
        <f>-25642001.25+1.5</f>
        <v>-25641999.75</v>
      </c>
      <c r="D66" s="462" t="s">
        <v>720</v>
      </c>
    </row>
    <row r="67" spans="1:4" ht="14.4">
      <c r="A67" s="501">
        <v>31</v>
      </c>
      <c r="B67" s="376" t="s">
        <v>620</v>
      </c>
      <c r="C67" s="552">
        <f>SUM(C54,C55,C56,C57,C58,C61,C62,C66)</f>
        <v>112312910.75</v>
      </c>
      <c r="D67" s="562"/>
    </row>
    <row r="68" spans="1:4" ht="15" thickBot="1">
      <c r="A68" s="502">
        <v>32</v>
      </c>
      <c r="B68" s="503" t="s">
        <v>621</v>
      </c>
      <c r="C68" s="553">
        <f>SUM(C52,C67)</f>
        <v>534709011.19139993</v>
      </c>
      <c r="D68" s="563"/>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pane="topRight"/>
      <selection pane="bottomLeft"/>
      <selection pane="bottomRight"/>
    </sheetView>
  </sheetViews>
  <sheetFormatPr defaultColWidth="9.218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21875" style="4" bestFit="1" customWidth="1"/>
    <col min="9" max="9" width="13" style="4" bestFit="1" customWidth="1"/>
    <col min="10" max="10" width="13.21875" style="4" bestFit="1" customWidth="1"/>
    <col min="11" max="11" width="13" style="4" bestFit="1" customWidth="1"/>
    <col min="12" max="16" width="13" style="13" bestFit="1" customWidth="1"/>
    <col min="17" max="17" width="14.77734375" style="13" customWidth="1"/>
    <col min="18" max="18" width="13" style="13" bestFit="1" customWidth="1"/>
    <col min="19" max="19" width="34.77734375" style="13" customWidth="1"/>
    <col min="20" max="16384" width="9.21875" style="13"/>
  </cols>
  <sheetData>
    <row r="1" spans="1:19">
      <c r="A1" s="2" t="s">
        <v>31</v>
      </c>
      <c r="B1" s="3" t="str">
        <f>'Info '!C2</f>
        <v>JSC PASHA Bank Georgia</v>
      </c>
    </row>
    <row r="2" spans="1:19">
      <c r="A2" s="2" t="s">
        <v>32</v>
      </c>
      <c r="B2" s="309">
        <f>'1. key ratios '!B2</f>
        <v>45291</v>
      </c>
    </row>
    <row r="4" spans="1:19" ht="27" thickBot="1">
      <c r="A4" s="4" t="s">
        <v>147</v>
      </c>
      <c r="B4" s="184" t="s">
        <v>252</v>
      </c>
    </row>
    <row r="5" spans="1:19" s="172" customFormat="1" ht="13.8">
      <c r="A5" s="167"/>
      <c r="B5" s="168"/>
      <c r="C5" s="169" t="s">
        <v>0</v>
      </c>
      <c r="D5" s="169" t="s">
        <v>1</v>
      </c>
      <c r="E5" s="169" t="s">
        <v>2</v>
      </c>
      <c r="F5" s="169" t="s">
        <v>3</v>
      </c>
      <c r="G5" s="169" t="s">
        <v>4</v>
      </c>
      <c r="H5" s="169" t="s">
        <v>6</v>
      </c>
      <c r="I5" s="169" t="s">
        <v>9</v>
      </c>
      <c r="J5" s="169" t="s">
        <v>10</v>
      </c>
      <c r="K5" s="169" t="s">
        <v>11</v>
      </c>
      <c r="L5" s="169" t="s">
        <v>12</v>
      </c>
      <c r="M5" s="169" t="s">
        <v>13</v>
      </c>
      <c r="N5" s="169" t="s">
        <v>14</v>
      </c>
      <c r="O5" s="169" t="s">
        <v>236</v>
      </c>
      <c r="P5" s="169" t="s">
        <v>237</v>
      </c>
      <c r="Q5" s="169" t="s">
        <v>238</v>
      </c>
      <c r="R5" s="170" t="s">
        <v>239</v>
      </c>
      <c r="S5" s="171" t="s">
        <v>240</v>
      </c>
    </row>
    <row r="6" spans="1:19" s="172" customFormat="1" ht="99" customHeight="1">
      <c r="A6" s="173"/>
      <c r="B6" s="694" t="s">
        <v>241</v>
      </c>
      <c r="C6" s="690">
        <v>0</v>
      </c>
      <c r="D6" s="691"/>
      <c r="E6" s="690">
        <v>0.2</v>
      </c>
      <c r="F6" s="691"/>
      <c r="G6" s="690">
        <v>0.35</v>
      </c>
      <c r="H6" s="691"/>
      <c r="I6" s="690">
        <v>0.5</v>
      </c>
      <c r="J6" s="691"/>
      <c r="K6" s="690">
        <v>0.75</v>
      </c>
      <c r="L6" s="691"/>
      <c r="M6" s="690">
        <v>1</v>
      </c>
      <c r="N6" s="691"/>
      <c r="O6" s="690">
        <v>1.5</v>
      </c>
      <c r="P6" s="691"/>
      <c r="Q6" s="690">
        <v>2.5</v>
      </c>
      <c r="R6" s="691"/>
      <c r="S6" s="692" t="s">
        <v>146</v>
      </c>
    </row>
    <row r="7" spans="1:19" s="172" customFormat="1" ht="30.75" customHeight="1">
      <c r="A7" s="173"/>
      <c r="B7" s="695"/>
      <c r="C7" s="164" t="s">
        <v>149</v>
      </c>
      <c r="D7" s="164" t="s">
        <v>148</v>
      </c>
      <c r="E7" s="164" t="s">
        <v>149</v>
      </c>
      <c r="F7" s="164" t="s">
        <v>148</v>
      </c>
      <c r="G7" s="164" t="s">
        <v>149</v>
      </c>
      <c r="H7" s="164" t="s">
        <v>148</v>
      </c>
      <c r="I7" s="164" t="s">
        <v>149</v>
      </c>
      <c r="J7" s="164" t="s">
        <v>148</v>
      </c>
      <c r="K7" s="164" t="s">
        <v>149</v>
      </c>
      <c r="L7" s="164" t="s">
        <v>148</v>
      </c>
      <c r="M7" s="164" t="s">
        <v>149</v>
      </c>
      <c r="N7" s="164" t="s">
        <v>148</v>
      </c>
      <c r="O7" s="164" t="s">
        <v>149</v>
      </c>
      <c r="P7" s="164" t="s">
        <v>148</v>
      </c>
      <c r="Q7" s="164" t="s">
        <v>149</v>
      </c>
      <c r="R7" s="164" t="s">
        <v>148</v>
      </c>
      <c r="S7" s="693"/>
    </row>
    <row r="8" spans="1:19">
      <c r="A8" s="67">
        <v>1</v>
      </c>
      <c r="B8" s="1" t="s">
        <v>52</v>
      </c>
      <c r="C8" s="68">
        <v>8882064</v>
      </c>
      <c r="D8" s="68"/>
      <c r="E8" s="68">
        <v>0</v>
      </c>
      <c r="F8" s="68"/>
      <c r="G8" s="68">
        <v>0</v>
      </c>
      <c r="H8" s="68"/>
      <c r="I8" s="68">
        <v>0</v>
      </c>
      <c r="J8" s="68"/>
      <c r="K8" s="68">
        <v>0</v>
      </c>
      <c r="L8" s="68"/>
      <c r="M8" s="68">
        <v>27813649</v>
      </c>
      <c r="N8" s="68"/>
      <c r="O8" s="68">
        <v>0</v>
      </c>
      <c r="P8" s="68"/>
      <c r="Q8" s="68">
        <v>0</v>
      </c>
      <c r="R8" s="68"/>
      <c r="S8" s="185">
        <f>$C$6*SUM(C8:D8)+$E$6*SUM(E8:F8)+$G$6*SUM(G8:H8)+$I$6*SUM(I8:J8)+$K$6*SUM(K8:L8)+$M$6*SUM(M8:N8)+$O$6*SUM(O8:P8)+$Q$6*SUM(Q8:R8)</f>
        <v>27813649</v>
      </c>
    </row>
    <row r="9" spans="1:19">
      <c r="A9" s="67">
        <v>2</v>
      </c>
      <c r="B9" s="1" t="s">
        <v>53</v>
      </c>
      <c r="C9" s="68">
        <v>0</v>
      </c>
      <c r="D9" s="68"/>
      <c r="E9" s="68">
        <v>0</v>
      </c>
      <c r="F9" s="68"/>
      <c r="G9" s="68">
        <v>0</v>
      </c>
      <c r="H9" s="68"/>
      <c r="I9" s="68">
        <v>0</v>
      </c>
      <c r="J9" s="68"/>
      <c r="K9" s="68">
        <v>0</v>
      </c>
      <c r="L9" s="68"/>
      <c r="M9" s="68">
        <v>0</v>
      </c>
      <c r="N9" s="68"/>
      <c r="O9" s="68">
        <v>0</v>
      </c>
      <c r="P9" s="68"/>
      <c r="Q9" s="68">
        <v>0</v>
      </c>
      <c r="R9" s="68"/>
      <c r="S9" s="185">
        <f t="shared" ref="S9:S21" si="0">$C$6*SUM(C9:D9)+$E$6*SUM(E9:F9)+$G$6*SUM(G9:H9)+$I$6*SUM(I9:J9)+$K$6*SUM(K9:L9)+$M$6*SUM(M9:N9)+$O$6*SUM(O9:P9)+$Q$6*SUM(Q9:R9)</f>
        <v>0</v>
      </c>
    </row>
    <row r="10" spans="1:19">
      <c r="A10" s="67">
        <v>3</v>
      </c>
      <c r="B10" s="1" t="s">
        <v>165</v>
      </c>
      <c r="C10" s="68">
        <v>0</v>
      </c>
      <c r="D10" s="68"/>
      <c r="E10" s="68">
        <v>0</v>
      </c>
      <c r="F10" s="68"/>
      <c r="G10" s="68">
        <v>0</v>
      </c>
      <c r="H10" s="68"/>
      <c r="I10" s="68">
        <v>0</v>
      </c>
      <c r="J10" s="68"/>
      <c r="K10" s="68">
        <v>0</v>
      </c>
      <c r="L10" s="68"/>
      <c r="M10" s="68">
        <v>0</v>
      </c>
      <c r="N10" s="68"/>
      <c r="O10" s="68">
        <v>0</v>
      </c>
      <c r="P10" s="68"/>
      <c r="Q10" s="68">
        <v>0</v>
      </c>
      <c r="R10" s="68"/>
      <c r="S10" s="185">
        <f t="shared" si="0"/>
        <v>0</v>
      </c>
    </row>
    <row r="11" spans="1:19">
      <c r="A11" s="67">
        <v>4</v>
      </c>
      <c r="B11" s="1" t="s">
        <v>54</v>
      </c>
      <c r="C11" s="68">
        <v>0</v>
      </c>
      <c r="D11" s="68"/>
      <c r="E11" s="68">
        <v>0</v>
      </c>
      <c r="F11" s="68"/>
      <c r="G11" s="68">
        <v>0</v>
      </c>
      <c r="H11" s="68"/>
      <c r="I11" s="68">
        <v>0</v>
      </c>
      <c r="J11" s="68"/>
      <c r="K11" s="68">
        <v>0</v>
      </c>
      <c r="L11" s="68"/>
      <c r="M11" s="68">
        <v>0</v>
      </c>
      <c r="N11" s="68"/>
      <c r="O11" s="68">
        <v>0</v>
      </c>
      <c r="P11" s="68"/>
      <c r="Q11" s="68">
        <v>0</v>
      </c>
      <c r="R11" s="68"/>
      <c r="S11" s="185">
        <f t="shared" si="0"/>
        <v>0</v>
      </c>
    </row>
    <row r="12" spans="1:19">
      <c r="A12" s="67">
        <v>5</v>
      </c>
      <c r="B12" s="1" t="s">
        <v>55</v>
      </c>
      <c r="C12" s="68">
        <v>0</v>
      </c>
      <c r="D12" s="68"/>
      <c r="E12" s="68">
        <v>0</v>
      </c>
      <c r="F12" s="68"/>
      <c r="G12" s="68">
        <v>0</v>
      </c>
      <c r="H12" s="68"/>
      <c r="I12" s="68">
        <v>0</v>
      </c>
      <c r="J12" s="68"/>
      <c r="K12" s="68">
        <v>0</v>
      </c>
      <c r="L12" s="68"/>
      <c r="M12" s="68">
        <v>0</v>
      </c>
      <c r="N12" s="68"/>
      <c r="O12" s="68">
        <v>0</v>
      </c>
      <c r="P12" s="68"/>
      <c r="Q12" s="68">
        <v>0</v>
      </c>
      <c r="R12" s="68"/>
      <c r="S12" s="185">
        <f t="shared" si="0"/>
        <v>0</v>
      </c>
    </row>
    <row r="13" spans="1:19">
      <c r="A13" s="67">
        <v>6</v>
      </c>
      <c r="B13" s="1" t="s">
        <v>56</v>
      </c>
      <c r="C13" s="68">
        <v>0</v>
      </c>
      <c r="D13" s="68"/>
      <c r="E13" s="68">
        <v>40129674</v>
      </c>
      <c r="F13" s="68"/>
      <c r="G13" s="68">
        <v>0</v>
      </c>
      <c r="H13" s="68"/>
      <c r="I13" s="68">
        <v>27547473</v>
      </c>
      <c r="J13" s="68"/>
      <c r="K13" s="68">
        <v>0</v>
      </c>
      <c r="L13" s="68"/>
      <c r="M13" s="68">
        <v>0</v>
      </c>
      <c r="N13" s="68">
        <v>333297.04129999998</v>
      </c>
      <c r="O13" s="68">
        <v>0</v>
      </c>
      <c r="P13" s="68"/>
      <c r="Q13" s="68">
        <v>0</v>
      </c>
      <c r="R13" s="68"/>
      <c r="S13" s="185">
        <f t="shared" si="0"/>
        <v>22132968.3413</v>
      </c>
    </row>
    <row r="14" spans="1:19">
      <c r="A14" s="67">
        <v>7</v>
      </c>
      <c r="B14" s="1" t="s">
        <v>57</v>
      </c>
      <c r="C14" s="68">
        <v>0</v>
      </c>
      <c r="D14" s="68"/>
      <c r="E14" s="68">
        <v>0</v>
      </c>
      <c r="F14" s="68"/>
      <c r="G14" s="68">
        <v>0</v>
      </c>
      <c r="H14" s="68"/>
      <c r="I14" s="68">
        <v>0</v>
      </c>
      <c r="J14" s="68"/>
      <c r="K14" s="68">
        <v>0</v>
      </c>
      <c r="L14" s="68"/>
      <c r="M14" s="68">
        <v>295113475</v>
      </c>
      <c r="N14" s="68">
        <v>114423.1734</v>
      </c>
      <c r="O14" s="68">
        <v>0</v>
      </c>
      <c r="P14" s="68"/>
      <c r="Q14" s="68">
        <v>0</v>
      </c>
      <c r="R14" s="68"/>
      <c r="S14" s="185">
        <f t="shared" si="0"/>
        <v>295227898.17339998</v>
      </c>
    </row>
    <row r="15" spans="1:19">
      <c r="A15" s="67">
        <v>8</v>
      </c>
      <c r="B15" s="1" t="s">
        <v>58</v>
      </c>
      <c r="C15" s="68">
        <v>0</v>
      </c>
      <c r="D15" s="68"/>
      <c r="E15" s="68">
        <v>0</v>
      </c>
      <c r="F15" s="68"/>
      <c r="G15" s="68">
        <v>0</v>
      </c>
      <c r="H15" s="68"/>
      <c r="I15" s="68">
        <v>0</v>
      </c>
      <c r="J15" s="68"/>
      <c r="K15" s="68">
        <v>60678991</v>
      </c>
      <c r="L15" s="68"/>
      <c r="M15" s="68">
        <v>6559</v>
      </c>
      <c r="N15" s="68">
        <v>57396465.673299998</v>
      </c>
      <c r="O15" s="68">
        <v>0</v>
      </c>
      <c r="P15" s="68"/>
      <c r="Q15" s="68">
        <v>0</v>
      </c>
      <c r="R15" s="68"/>
      <c r="S15" s="185">
        <f t="shared" si="0"/>
        <v>102912267.9233</v>
      </c>
    </row>
    <row r="16" spans="1:19">
      <c r="A16" s="67">
        <v>9</v>
      </c>
      <c r="B16" s="1" t="s">
        <v>59</v>
      </c>
      <c r="C16" s="68">
        <v>0</v>
      </c>
      <c r="D16" s="68"/>
      <c r="E16" s="68">
        <v>0</v>
      </c>
      <c r="F16" s="68"/>
      <c r="G16" s="68">
        <v>0</v>
      </c>
      <c r="H16" s="68"/>
      <c r="I16" s="68">
        <v>0</v>
      </c>
      <c r="J16" s="68"/>
      <c r="K16" s="68">
        <v>0</v>
      </c>
      <c r="L16" s="68"/>
      <c r="M16" s="68">
        <v>0</v>
      </c>
      <c r="N16" s="68"/>
      <c r="O16" s="68">
        <v>0</v>
      </c>
      <c r="P16" s="68"/>
      <c r="Q16" s="68">
        <v>0</v>
      </c>
      <c r="R16" s="68"/>
      <c r="S16" s="185">
        <f t="shared" si="0"/>
        <v>0</v>
      </c>
    </row>
    <row r="17" spans="1:19">
      <c r="A17" s="67">
        <v>10</v>
      </c>
      <c r="B17" s="1" t="s">
        <v>60</v>
      </c>
      <c r="C17" s="68">
        <v>0</v>
      </c>
      <c r="D17" s="68"/>
      <c r="E17" s="68">
        <v>0</v>
      </c>
      <c r="F17" s="68"/>
      <c r="G17" s="68">
        <v>0</v>
      </c>
      <c r="H17" s="68"/>
      <c r="I17" s="68">
        <v>0</v>
      </c>
      <c r="J17" s="68"/>
      <c r="K17" s="68">
        <v>1968202</v>
      </c>
      <c r="L17" s="68"/>
      <c r="M17" s="68">
        <v>38218819</v>
      </c>
      <c r="N17" s="68"/>
      <c r="O17" s="68">
        <v>0</v>
      </c>
      <c r="P17" s="68"/>
      <c r="Q17" s="68">
        <v>0</v>
      </c>
      <c r="R17" s="68"/>
      <c r="S17" s="185">
        <f t="shared" si="0"/>
        <v>39694970.5</v>
      </c>
    </row>
    <row r="18" spans="1:19">
      <c r="A18" s="67">
        <v>11</v>
      </c>
      <c r="B18" s="1" t="s">
        <v>61</v>
      </c>
      <c r="C18" s="68">
        <v>0</v>
      </c>
      <c r="D18" s="68"/>
      <c r="E18" s="68">
        <v>0</v>
      </c>
      <c r="F18" s="68"/>
      <c r="G18" s="68">
        <v>0</v>
      </c>
      <c r="H18" s="68"/>
      <c r="I18" s="68">
        <v>0</v>
      </c>
      <c r="J18" s="68"/>
      <c r="K18" s="68">
        <v>0</v>
      </c>
      <c r="L18" s="68"/>
      <c r="M18" s="68">
        <v>0</v>
      </c>
      <c r="N18" s="68"/>
      <c r="O18" s="68">
        <v>0</v>
      </c>
      <c r="P18" s="68"/>
      <c r="Q18" s="68">
        <v>0</v>
      </c>
      <c r="R18" s="68"/>
      <c r="S18" s="185">
        <f t="shared" si="0"/>
        <v>0</v>
      </c>
    </row>
    <row r="19" spans="1:19">
      <c r="A19" s="67">
        <v>12</v>
      </c>
      <c r="B19" s="1" t="s">
        <v>62</v>
      </c>
      <c r="C19" s="68">
        <v>0</v>
      </c>
      <c r="D19" s="68"/>
      <c r="E19" s="68">
        <v>0</v>
      </c>
      <c r="F19" s="68"/>
      <c r="G19" s="68">
        <v>0</v>
      </c>
      <c r="H19" s="68"/>
      <c r="I19" s="68">
        <v>0</v>
      </c>
      <c r="J19" s="68"/>
      <c r="K19" s="68">
        <v>0</v>
      </c>
      <c r="L19" s="68"/>
      <c r="M19" s="68">
        <v>0</v>
      </c>
      <c r="N19" s="68"/>
      <c r="O19" s="68">
        <v>0</v>
      </c>
      <c r="P19" s="68"/>
      <c r="Q19" s="68">
        <v>0</v>
      </c>
      <c r="R19" s="68"/>
      <c r="S19" s="185">
        <f t="shared" si="0"/>
        <v>0</v>
      </c>
    </row>
    <row r="20" spans="1:19">
      <c r="A20" s="67">
        <v>13</v>
      </c>
      <c r="B20" s="1" t="s">
        <v>145</v>
      </c>
      <c r="C20" s="68">
        <v>0</v>
      </c>
      <c r="D20" s="68"/>
      <c r="E20" s="68">
        <v>0</v>
      </c>
      <c r="F20" s="68"/>
      <c r="G20" s="68">
        <v>0</v>
      </c>
      <c r="H20" s="68"/>
      <c r="I20" s="68">
        <v>0</v>
      </c>
      <c r="J20" s="68"/>
      <c r="K20" s="68">
        <v>0</v>
      </c>
      <c r="L20" s="68"/>
      <c r="M20" s="68">
        <v>0</v>
      </c>
      <c r="N20" s="68"/>
      <c r="O20" s="68">
        <v>0</v>
      </c>
      <c r="P20" s="68"/>
      <c r="Q20" s="68">
        <v>0</v>
      </c>
      <c r="R20" s="68"/>
      <c r="S20" s="185">
        <f t="shared" si="0"/>
        <v>0</v>
      </c>
    </row>
    <row r="21" spans="1:19">
      <c r="A21" s="67">
        <v>14</v>
      </c>
      <c r="B21" s="1" t="s">
        <v>64</v>
      </c>
      <c r="C21" s="68">
        <v>2919175</v>
      </c>
      <c r="D21" s="68"/>
      <c r="E21" s="68">
        <v>0</v>
      </c>
      <c r="F21" s="68"/>
      <c r="G21" s="68">
        <v>0</v>
      </c>
      <c r="H21" s="68"/>
      <c r="I21" s="68">
        <v>0</v>
      </c>
      <c r="J21" s="68"/>
      <c r="K21" s="68">
        <v>0</v>
      </c>
      <c r="L21" s="68"/>
      <c r="M21" s="68">
        <v>22457690</v>
      </c>
      <c r="N21" s="68"/>
      <c r="O21" s="68">
        <v>0</v>
      </c>
      <c r="P21" s="68"/>
      <c r="Q21" s="68">
        <v>4078397</v>
      </c>
      <c r="R21" s="68"/>
      <c r="S21" s="185">
        <f t="shared" si="0"/>
        <v>32653682.5</v>
      </c>
    </row>
    <row r="22" spans="1:19" ht="13.8" thickBot="1">
      <c r="A22" s="69"/>
      <c r="B22" s="70" t="s">
        <v>65</v>
      </c>
      <c r="C22" s="71">
        <f>SUM(C8:C21)</f>
        <v>11801239</v>
      </c>
      <c r="D22" s="71">
        <f t="shared" ref="D22:J22" si="1">SUM(D8:D21)</f>
        <v>0</v>
      </c>
      <c r="E22" s="71">
        <f t="shared" si="1"/>
        <v>40129674</v>
      </c>
      <c r="F22" s="71">
        <f t="shared" si="1"/>
        <v>0</v>
      </c>
      <c r="G22" s="71">
        <f t="shared" si="1"/>
        <v>0</v>
      </c>
      <c r="H22" s="71">
        <f t="shared" si="1"/>
        <v>0</v>
      </c>
      <c r="I22" s="71">
        <f t="shared" si="1"/>
        <v>27547473</v>
      </c>
      <c r="J22" s="71">
        <f t="shared" si="1"/>
        <v>0</v>
      </c>
      <c r="K22" s="71">
        <f t="shared" ref="K22:S22" si="2">SUM(K8:K21)</f>
        <v>62647193</v>
      </c>
      <c r="L22" s="71">
        <f t="shared" si="2"/>
        <v>0</v>
      </c>
      <c r="M22" s="71">
        <f t="shared" si="2"/>
        <v>383610192</v>
      </c>
      <c r="N22" s="71">
        <f t="shared" si="2"/>
        <v>57844185.887999997</v>
      </c>
      <c r="O22" s="71">
        <f t="shared" si="2"/>
        <v>0</v>
      </c>
      <c r="P22" s="71">
        <f t="shared" si="2"/>
        <v>0</v>
      </c>
      <c r="Q22" s="71">
        <f t="shared" si="2"/>
        <v>4078397</v>
      </c>
      <c r="R22" s="71">
        <f t="shared" si="2"/>
        <v>0</v>
      </c>
      <c r="S22" s="186">
        <f t="shared" si="2"/>
        <v>520435436.43799996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pane xSplit="2" ySplit="6" topLeftCell="C7" activePane="bottomRight" state="frozen"/>
      <selection pane="topRight"/>
      <selection pane="bottomLeft"/>
      <selection pane="bottomRight"/>
    </sheetView>
  </sheetViews>
  <sheetFormatPr defaultColWidth="9.21875" defaultRowHeight="13.2"/>
  <cols>
    <col min="1" max="1" width="10.5546875" style="4" bestFit="1" customWidth="1"/>
    <col min="2" max="2" width="63.77734375" style="4" bestFit="1" customWidth="1"/>
    <col min="3" max="3" width="19" style="4" customWidth="1"/>
    <col min="4" max="4" width="19.5546875" style="4" customWidth="1"/>
    <col min="5" max="5" width="31.21875" style="4" customWidth="1"/>
    <col min="6" max="6" width="29.21875" style="4" customWidth="1"/>
    <col min="7" max="7" width="28.5546875" style="4" customWidth="1"/>
    <col min="8" max="8" width="26.44140625" style="4" customWidth="1"/>
    <col min="9" max="9" width="23.77734375" style="4" customWidth="1"/>
    <col min="10" max="10" width="21.5546875" style="4" customWidth="1"/>
    <col min="11" max="11" width="15.77734375" style="4" customWidth="1"/>
    <col min="12" max="12" width="13.21875" style="4" customWidth="1"/>
    <col min="13" max="13" width="20.77734375" style="4" customWidth="1"/>
    <col min="14" max="14" width="19.21875" style="4" customWidth="1"/>
    <col min="15" max="15" width="18.44140625" style="4" customWidth="1"/>
    <col min="16" max="16" width="19" style="4" customWidth="1"/>
    <col min="17" max="17" width="20.21875" style="4" customWidth="1"/>
    <col min="18" max="18" width="18" style="4" customWidth="1"/>
    <col min="19" max="19" width="36" style="4" customWidth="1"/>
    <col min="20" max="20" width="26.21875" style="4" customWidth="1"/>
    <col min="21" max="21" width="24.77734375" style="4" customWidth="1"/>
    <col min="22" max="22" width="20" style="4" customWidth="1"/>
    <col min="23" max="16384" width="9.21875" style="13"/>
  </cols>
  <sheetData>
    <row r="1" spans="1:22">
      <c r="A1" s="2" t="s">
        <v>31</v>
      </c>
      <c r="B1" s="3" t="str">
        <f>'Info '!C2</f>
        <v>JSC PASHA Bank Georgia</v>
      </c>
    </row>
    <row r="2" spans="1:22">
      <c r="A2" s="2" t="s">
        <v>32</v>
      </c>
      <c r="B2" s="309">
        <f>'1. key ratios '!B2</f>
        <v>45291</v>
      </c>
    </row>
    <row r="4" spans="1:22" ht="13.8" thickBot="1">
      <c r="A4" s="4" t="s">
        <v>244</v>
      </c>
      <c r="B4" s="72" t="s">
        <v>51</v>
      </c>
      <c r="V4" s="14" t="s">
        <v>36</v>
      </c>
    </row>
    <row r="5" spans="1:22" ht="12.75" customHeight="1">
      <c r="A5" s="73"/>
      <c r="B5" s="74"/>
      <c r="C5" s="696" t="s">
        <v>170</v>
      </c>
      <c r="D5" s="697"/>
      <c r="E5" s="697"/>
      <c r="F5" s="697"/>
      <c r="G5" s="697"/>
      <c r="H5" s="697"/>
      <c r="I5" s="697"/>
      <c r="J5" s="697"/>
      <c r="K5" s="697"/>
      <c r="L5" s="698"/>
      <c r="M5" s="699" t="s">
        <v>171</v>
      </c>
      <c r="N5" s="700"/>
      <c r="O5" s="700"/>
      <c r="P5" s="700"/>
      <c r="Q5" s="700"/>
      <c r="R5" s="700"/>
      <c r="S5" s="701"/>
      <c r="T5" s="704" t="s">
        <v>242</v>
      </c>
      <c r="U5" s="704" t="s">
        <v>243</v>
      </c>
      <c r="V5" s="702" t="s">
        <v>77</v>
      </c>
    </row>
    <row r="6" spans="1:22" s="40" customFormat="1" ht="105.6">
      <c r="A6" s="38"/>
      <c r="B6" s="75"/>
      <c r="C6" s="76" t="s">
        <v>66</v>
      </c>
      <c r="D6" s="148" t="s">
        <v>67</v>
      </c>
      <c r="E6" s="102" t="s">
        <v>173</v>
      </c>
      <c r="F6" s="102" t="s">
        <v>174</v>
      </c>
      <c r="G6" s="148" t="s">
        <v>177</v>
      </c>
      <c r="H6" s="148" t="s">
        <v>172</v>
      </c>
      <c r="I6" s="148" t="s">
        <v>68</v>
      </c>
      <c r="J6" s="148" t="s">
        <v>69</v>
      </c>
      <c r="K6" s="77" t="s">
        <v>70</v>
      </c>
      <c r="L6" s="78" t="s">
        <v>71</v>
      </c>
      <c r="M6" s="76" t="s">
        <v>175</v>
      </c>
      <c r="N6" s="77" t="s">
        <v>72</v>
      </c>
      <c r="O6" s="77" t="s">
        <v>73</v>
      </c>
      <c r="P6" s="77" t="s">
        <v>74</v>
      </c>
      <c r="Q6" s="77" t="s">
        <v>75</v>
      </c>
      <c r="R6" s="77" t="s">
        <v>76</v>
      </c>
      <c r="S6" s="166" t="s">
        <v>176</v>
      </c>
      <c r="T6" s="705"/>
      <c r="U6" s="705"/>
      <c r="V6" s="703"/>
    </row>
    <row r="7" spans="1:22">
      <c r="A7" s="79">
        <v>1</v>
      </c>
      <c r="B7" s="1" t="s">
        <v>52</v>
      </c>
      <c r="C7" s="80"/>
      <c r="D7" s="68"/>
      <c r="E7" s="68"/>
      <c r="F7" s="68"/>
      <c r="G7" s="68"/>
      <c r="H7" s="68"/>
      <c r="I7" s="68"/>
      <c r="J7" s="68"/>
      <c r="K7" s="68"/>
      <c r="L7" s="81"/>
      <c r="M7" s="80"/>
      <c r="N7" s="68"/>
      <c r="O7" s="68"/>
      <c r="P7" s="68"/>
      <c r="Q7" s="68"/>
      <c r="R7" s="68"/>
      <c r="S7" s="81"/>
      <c r="T7" s="174"/>
      <c r="U7" s="174"/>
      <c r="V7" s="82">
        <f>SUM(C7:S7)</f>
        <v>0</v>
      </c>
    </row>
    <row r="8" spans="1:22">
      <c r="A8" s="79">
        <v>2</v>
      </c>
      <c r="B8" s="1" t="s">
        <v>53</v>
      </c>
      <c r="C8" s="80"/>
      <c r="D8" s="68"/>
      <c r="E8" s="68"/>
      <c r="F8" s="68"/>
      <c r="G8" s="68"/>
      <c r="H8" s="68"/>
      <c r="I8" s="68"/>
      <c r="J8" s="68"/>
      <c r="K8" s="68"/>
      <c r="L8" s="81"/>
      <c r="M8" s="80"/>
      <c r="N8" s="68"/>
      <c r="O8" s="68"/>
      <c r="P8" s="68"/>
      <c r="Q8" s="68"/>
      <c r="R8" s="68"/>
      <c r="S8" s="81"/>
      <c r="T8" s="174"/>
      <c r="U8" s="174"/>
      <c r="V8" s="82">
        <f t="shared" ref="V8:V20" si="0">SUM(C8:S8)</f>
        <v>0</v>
      </c>
    </row>
    <row r="9" spans="1:22">
      <c r="A9" s="79">
        <v>3</v>
      </c>
      <c r="B9" s="1" t="s">
        <v>166</v>
      </c>
      <c r="C9" s="80"/>
      <c r="D9" s="68"/>
      <c r="E9" s="68"/>
      <c r="F9" s="68"/>
      <c r="G9" s="68"/>
      <c r="H9" s="68"/>
      <c r="I9" s="68"/>
      <c r="J9" s="68"/>
      <c r="K9" s="68"/>
      <c r="L9" s="81"/>
      <c r="M9" s="80"/>
      <c r="N9" s="68"/>
      <c r="O9" s="68"/>
      <c r="P9" s="68"/>
      <c r="Q9" s="68"/>
      <c r="R9" s="68"/>
      <c r="S9" s="81"/>
      <c r="T9" s="174"/>
      <c r="U9" s="174"/>
      <c r="V9" s="82">
        <f t="shared" si="0"/>
        <v>0</v>
      </c>
    </row>
    <row r="10" spans="1:22">
      <c r="A10" s="79">
        <v>4</v>
      </c>
      <c r="B10" s="1" t="s">
        <v>54</v>
      </c>
      <c r="C10" s="80"/>
      <c r="D10" s="68"/>
      <c r="E10" s="68"/>
      <c r="F10" s="68"/>
      <c r="G10" s="68"/>
      <c r="H10" s="68"/>
      <c r="I10" s="68"/>
      <c r="J10" s="68"/>
      <c r="K10" s="68"/>
      <c r="L10" s="81"/>
      <c r="M10" s="80"/>
      <c r="N10" s="68"/>
      <c r="O10" s="68"/>
      <c r="P10" s="68"/>
      <c r="Q10" s="68"/>
      <c r="R10" s="68"/>
      <c r="S10" s="81"/>
      <c r="T10" s="174"/>
      <c r="U10" s="174"/>
      <c r="V10" s="82">
        <f t="shared" si="0"/>
        <v>0</v>
      </c>
    </row>
    <row r="11" spans="1:22">
      <c r="A11" s="79">
        <v>5</v>
      </c>
      <c r="B11" s="1" t="s">
        <v>55</v>
      </c>
      <c r="C11" s="80"/>
      <c r="D11" s="68"/>
      <c r="E11" s="68"/>
      <c r="F11" s="68"/>
      <c r="G11" s="68"/>
      <c r="H11" s="68"/>
      <c r="I11" s="68"/>
      <c r="J11" s="68"/>
      <c r="K11" s="68"/>
      <c r="L11" s="81"/>
      <c r="M11" s="80"/>
      <c r="N11" s="68"/>
      <c r="O11" s="68"/>
      <c r="P11" s="68"/>
      <c r="Q11" s="68"/>
      <c r="R11" s="68"/>
      <c r="S11" s="81"/>
      <c r="T11" s="174"/>
      <c r="U11" s="174"/>
      <c r="V11" s="82">
        <f t="shared" si="0"/>
        <v>0</v>
      </c>
    </row>
    <row r="12" spans="1:22">
      <c r="A12" s="79">
        <v>6</v>
      </c>
      <c r="B12" s="1" t="s">
        <v>56</v>
      </c>
      <c r="C12" s="80"/>
      <c r="D12" s="68"/>
      <c r="E12" s="68"/>
      <c r="F12" s="68"/>
      <c r="G12" s="68"/>
      <c r="H12" s="68"/>
      <c r="I12" s="68"/>
      <c r="J12" s="68"/>
      <c r="K12" s="68"/>
      <c r="L12" s="81"/>
      <c r="M12" s="80"/>
      <c r="N12" s="68"/>
      <c r="O12" s="68"/>
      <c r="P12" s="68"/>
      <c r="Q12" s="68"/>
      <c r="R12" s="68"/>
      <c r="S12" s="81"/>
      <c r="T12" s="174"/>
      <c r="U12" s="174"/>
      <c r="V12" s="82">
        <f t="shared" si="0"/>
        <v>0</v>
      </c>
    </row>
    <row r="13" spans="1:22">
      <c r="A13" s="79">
        <v>7</v>
      </c>
      <c r="B13" s="1" t="s">
        <v>57</v>
      </c>
      <c r="C13" s="80"/>
      <c r="D13" s="68">
        <v>3228793</v>
      </c>
      <c r="E13" s="68"/>
      <c r="F13" s="68"/>
      <c r="G13" s="68"/>
      <c r="H13" s="68"/>
      <c r="I13" s="68"/>
      <c r="J13" s="68"/>
      <c r="K13" s="68"/>
      <c r="L13" s="81"/>
      <c r="M13" s="80"/>
      <c r="N13" s="68"/>
      <c r="O13" s="68"/>
      <c r="P13" s="68"/>
      <c r="Q13" s="68"/>
      <c r="R13" s="68"/>
      <c r="S13" s="81"/>
      <c r="T13" s="174"/>
      <c r="U13" s="174"/>
      <c r="V13" s="82">
        <f t="shared" si="0"/>
        <v>3228793</v>
      </c>
    </row>
    <row r="14" spans="1:22">
      <c r="A14" s="79">
        <v>8</v>
      </c>
      <c r="B14" s="1" t="s">
        <v>58</v>
      </c>
      <c r="C14" s="80"/>
      <c r="D14" s="68">
        <v>107788</v>
      </c>
      <c r="E14" s="68"/>
      <c r="F14" s="68"/>
      <c r="G14" s="68"/>
      <c r="H14" s="68"/>
      <c r="I14" s="68"/>
      <c r="J14" s="68"/>
      <c r="K14" s="68"/>
      <c r="L14" s="81"/>
      <c r="M14" s="80"/>
      <c r="N14" s="68"/>
      <c r="O14" s="68"/>
      <c r="P14" s="68"/>
      <c r="Q14" s="68"/>
      <c r="R14" s="68"/>
      <c r="S14" s="81"/>
      <c r="T14" s="174"/>
      <c r="U14" s="174"/>
      <c r="V14" s="82">
        <f t="shared" si="0"/>
        <v>107788</v>
      </c>
    </row>
    <row r="15" spans="1:22">
      <c r="A15" s="79">
        <v>9</v>
      </c>
      <c r="B15" s="1" t="s">
        <v>59</v>
      </c>
      <c r="C15" s="80"/>
      <c r="D15" s="68"/>
      <c r="E15" s="68"/>
      <c r="F15" s="68"/>
      <c r="G15" s="68"/>
      <c r="H15" s="68"/>
      <c r="I15" s="68"/>
      <c r="J15" s="68"/>
      <c r="K15" s="68"/>
      <c r="L15" s="81"/>
      <c r="M15" s="80"/>
      <c r="N15" s="68"/>
      <c r="O15" s="68"/>
      <c r="P15" s="68"/>
      <c r="Q15" s="68"/>
      <c r="R15" s="68"/>
      <c r="S15" s="81"/>
      <c r="T15" s="174"/>
      <c r="U15" s="174"/>
      <c r="V15" s="82">
        <f t="shared" si="0"/>
        <v>0</v>
      </c>
    </row>
    <row r="16" spans="1:22">
      <c r="A16" s="79">
        <v>10</v>
      </c>
      <c r="B16" s="1" t="s">
        <v>60</v>
      </c>
      <c r="C16" s="80"/>
      <c r="D16" s="68"/>
      <c r="E16" s="68"/>
      <c r="F16" s="68"/>
      <c r="G16" s="68"/>
      <c r="H16" s="68"/>
      <c r="I16" s="68"/>
      <c r="J16" s="68"/>
      <c r="K16" s="68"/>
      <c r="L16" s="81"/>
      <c r="M16" s="80"/>
      <c r="N16" s="68"/>
      <c r="O16" s="68"/>
      <c r="P16" s="68"/>
      <c r="Q16" s="68"/>
      <c r="R16" s="68"/>
      <c r="S16" s="81"/>
      <c r="T16" s="174"/>
      <c r="U16" s="174"/>
      <c r="V16" s="82">
        <f t="shared" si="0"/>
        <v>0</v>
      </c>
    </row>
    <row r="17" spans="1:22">
      <c r="A17" s="79">
        <v>11</v>
      </c>
      <c r="B17" s="1" t="s">
        <v>61</v>
      </c>
      <c r="C17" s="80"/>
      <c r="D17" s="68"/>
      <c r="E17" s="68"/>
      <c r="F17" s="68"/>
      <c r="G17" s="68"/>
      <c r="H17" s="68"/>
      <c r="I17" s="68"/>
      <c r="J17" s="68"/>
      <c r="K17" s="68"/>
      <c r="L17" s="81"/>
      <c r="M17" s="80"/>
      <c r="N17" s="68"/>
      <c r="O17" s="68"/>
      <c r="P17" s="68"/>
      <c r="Q17" s="68"/>
      <c r="R17" s="68"/>
      <c r="S17" s="81"/>
      <c r="T17" s="174"/>
      <c r="U17" s="174"/>
      <c r="V17" s="82">
        <f t="shared" si="0"/>
        <v>0</v>
      </c>
    </row>
    <row r="18" spans="1:22">
      <c r="A18" s="79">
        <v>12</v>
      </c>
      <c r="B18" s="1" t="s">
        <v>62</v>
      </c>
      <c r="C18" s="80"/>
      <c r="D18" s="68"/>
      <c r="E18" s="68"/>
      <c r="F18" s="68"/>
      <c r="G18" s="68"/>
      <c r="H18" s="68"/>
      <c r="I18" s="68"/>
      <c r="J18" s="68"/>
      <c r="K18" s="68"/>
      <c r="L18" s="81"/>
      <c r="M18" s="80"/>
      <c r="N18" s="68"/>
      <c r="O18" s="68"/>
      <c r="P18" s="68"/>
      <c r="Q18" s="68"/>
      <c r="R18" s="68"/>
      <c r="S18" s="81"/>
      <c r="T18" s="174"/>
      <c r="U18" s="174"/>
      <c r="V18" s="82">
        <f t="shared" si="0"/>
        <v>0</v>
      </c>
    </row>
    <row r="19" spans="1:22">
      <c r="A19" s="79">
        <v>13</v>
      </c>
      <c r="B19" s="1" t="s">
        <v>63</v>
      </c>
      <c r="C19" s="80"/>
      <c r="D19" s="68"/>
      <c r="E19" s="68"/>
      <c r="F19" s="68"/>
      <c r="G19" s="68"/>
      <c r="H19" s="68"/>
      <c r="I19" s="68"/>
      <c r="J19" s="68"/>
      <c r="K19" s="68"/>
      <c r="L19" s="81"/>
      <c r="M19" s="80"/>
      <c r="N19" s="68"/>
      <c r="O19" s="68"/>
      <c r="P19" s="68"/>
      <c r="Q19" s="68"/>
      <c r="R19" s="68"/>
      <c r="S19" s="81"/>
      <c r="T19" s="174"/>
      <c r="U19" s="174"/>
      <c r="V19" s="82">
        <f t="shared" si="0"/>
        <v>0</v>
      </c>
    </row>
    <row r="20" spans="1:22">
      <c r="A20" s="79">
        <v>14</v>
      </c>
      <c r="B20" s="1" t="s">
        <v>64</v>
      </c>
      <c r="C20" s="80"/>
      <c r="D20" s="68"/>
      <c r="E20" s="68"/>
      <c r="F20" s="68"/>
      <c r="G20" s="68"/>
      <c r="H20" s="68"/>
      <c r="I20" s="68"/>
      <c r="J20" s="68"/>
      <c r="K20" s="68"/>
      <c r="L20" s="81"/>
      <c r="M20" s="80"/>
      <c r="N20" s="68"/>
      <c r="O20" s="68"/>
      <c r="P20" s="68"/>
      <c r="Q20" s="68"/>
      <c r="R20" s="68"/>
      <c r="S20" s="81"/>
      <c r="T20" s="174"/>
      <c r="U20" s="174"/>
      <c r="V20" s="82">
        <f t="shared" si="0"/>
        <v>0</v>
      </c>
    </row>
    <row r="21" spans="1:22" ht="13.8" thickBot="1">
      <c r="A21" s="69"/>
      <c r="B21" s="83" t="s">
        <v>65</v>
      </c>
      <c r="C21" s="84">
        <f>SUM(C7:C20)</f>
        <v>0</v>
      </c>
      <c r="D21" s="71">
        <f t="shared" ref="D21:V21" si="1">SUM(D7:D20)</f>
        <v>3336581</v>
      </c>
      <c r="E21" s="71">
        <f t="shared" si="1"/>
        <v>0</v>
      </c>
      <c r="F21" s="71">
        <f t="shared" si="1"/>
        <v>0</v>
      </c>
      <c r="G21" s="71">
        <f t="shared" si="1"/>
        <v>0</v>
      </c>
      <c r="H21" s="71">
        <f t="shared" si="1"/>
        <v>0</v>
      </c>
      <c r="I21" s="71">
        <f t="shared" si="1"/>
        <v>0</v>
      </c>
      <c r="J21" s="71">
        <f t="shared" si="1"/>
        <v>0</v>
      </c>
      <c r="K21" s="71">
        <f t="shared" si="1"/>
        <v>0</v>
      </c>
      <c r="L21" s="85">
        <f t="shared" si="1"/>
        <v>0</v>
      </c>
      <c r="M21" s="84">
        <f t="shared" si="1"/>
        <v>0</v>
      </c>
      <c r="N21" s="71">
        <f t="shared" si="1"/>
        <v>0</v>
      </c>
      <c r="O21" s="71">
        <f t="shared" si="1"/>
        <v>0</v>
      </c>
      <c r="P21" s="71">
        <f t="shared" si="1"/>
        <v>0</v>
      </c>
      <c r="Q21" s="71">
        <f t="shared" si="1"/>
        <v>0</v>
      </c>
      <c r="R21" s="71">
        <f t="shared" si="1"/>
        <v>0</v>
      </c>
      <c r="S21" s="85">
        <f>SUM(S7:S20)</f>
        <v>0</v>
      </c>
      <c r="T21" s="85">
        <f>SUM(T7:T20)</f>
        <v>0</v>
      </c>
      <c r="U21" s="85">
        <f t="shared" ref="U21" si="2">SUM(U7:U20)</f>
        <v>0</v>
      </c>
      <c r="V21" s="86">
        <f t="shared" si="1"/>
        <v>3336581</v>
      </c>
    </row>
    <row r="24" spans="1:22">
      <c r="C24" s="21"/>
      <c r="D24" s="21"/>
      <c r="E24" s="21"/>
    </row>
    <row r="25" spans="1:22">
      <c r="A25" s="37"/>
      <c r="B25" s="37"/>
      <c r="D25" s="21"/>
      <c r="E25" s="21"/>
    </row>
    <row r="26" spans="1:22">
      <c r="A26" s="37"/>
      <c r="B26" s="22"/>
      <c r="D26" s="21"/>
      <c r="E26" s="21"/>
    </row>
    <row r="27" spans="1:22">
      <c r="A27" s="37"/>
      <c r="B27" s="37"/>
      <c r="D27" s="21"/>
      <c r="E27" s="21"/>
    </row>
    <row r="28" spans="1:22">
      <c r="A28" s="37"/>
      <c r="B28" s="22"/>
      <c r="D28" s="21"/>
      <c r="E28" s="21"/>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pane="topRight"/>
      <selection pane="bottomLeft"/>
      <selection pane="bottomRight"/>
    </sheetView>
  </sheetViews>
  <sheetFormatPr defaultColWidth="9.21875" defaultRowHeight="13.8"/>
  <cols>
    <col min="1" max="1" width="10.5546875" style="4" bestFit="1" customWidth="1"/>
    <col min="2" max="2" width="101.77734375" style="4" customWidth="1"/>
    <col min="3" max="3" width="13.77734375" style="153" customWidth="1"/>
    <col min="4" max="4" width="14.77734375" style="153" bestFit="1" customWidth="1"/>
    <col min="5" max="5" width="17.77734375" style="153" customWidth="1"/>
    <col min="6" max="6" width="15.77734375" style="153" customWidth="1"/>
    <col min="7" max="7" width="17.44140625" style="153" customWidth="1"/>
    <col min="8" max="8" width="15.21875" style="153" customWidth="1"/>
    <col min="9" max="16384" width="9.21875" style="13"/>
  </cols>
  <sheetData>
    <row r="1" spans="1:9">
      <c r="A1" s="2" t="s">
        <v>31</v>
      </c>
      <c r="B1" s="4" t="str">
        <f>'Info '!C2</f>
        <v>JSC PASHA Bank Georgia</v>
      </c>
      <c r="C1" s="3"/>
    </row>
    <row r="2" spans="1:9">
      <c r="A2" s="2" t="s">
        <v>32</v>
      </c>
      <c r="B2" s="309">
        <f>'1. key ratios '!B2</f>
        <v>45291</v>
      </c>
      <c r="C2" s="309"/>
    </row>
    <row r="4" spans="1:9" ht="14.4" thickBot="1">
      <c r="A4" s="2" t="s">
        <v>151</v>
      </c>
      <c r="B4" s="72" t="s">
        <v>253</v>
      </c>
    </row>
    <row r="5" spans="1:9">
      <c r="A5" s="73"/>
      <c r="B5" s="87"/>
      <c r="C5" s="175" t="s">
        <v>0</v>
      </c>
      <c r="D5" s="175" t="s">
        <v>1</v>
      </c>
      <c r="E5" s="175" t="s">
        <v>2</v>
      </c>
      <c r="F5" s="175" t="s">
        <v>3</v>
      </c>
      <c r="G5" s="176" t="s">
        <v>4</v>
      </c>
      <c r="H5" s="177" t="s">
        <v>6</v>
      </c>
      <c r="I5" s="88"/>
    </row>
    <row r="6" spans="1:9" s="88" customFormat="1" ht="12.75" customHeight="1">
      <c r="A6" s="89"/>
      <c r="B6" s="708" t="s">
        <v>150</v>
      </c>
      <c r="C6" s="694" t="s">
        <v>246</v>
      </c>
      <c r="D6" s="710" t="s">
        <v>245</v>
      </c>
      <c r="E6" s="711"/>
      <c r="F6" s="694" t="s">
        <v>250</v>
      </c>
      <c r="G6" s="694" t="s">
        <v>251</v>
      </c>
      <c r="H6" s="706" t="s">
        <v>249</v>
      </c>
    </row>
    <row r="7" spans="1:9" ht="41.4">
      <c r="A7" s="91"/>
      <c r="B7" s="709"/>
      <c r="C7" s="695"/>
      <c r="D7" s="178" t="s">
        <v>248</v>
      </c>
      <c r="E7" s="178" t="s">
        <v>247</v>
      </c>
      <c r="F7" s="695"/>
      <c r="G7" s="695"/>
      <c r="H7" s="707"/>
      <c r="I7" s="88"/>
    </row>
    <row r="8" spans="1:9">
      <c r="A8" s="89">
        <v>1</v>
      </c>
      <c r="B8" s="1" t="s">
        <v>52</v>
      </c>
      <c r="C8" s="179">
        <v>36695713</v>
      </c>
      <c r="D8" s="179"/>
      <c r="E8" s="179"/>
      <c r="F8" s="179">
        <v>27813649</v>
      </c>
      <c r="G8" s="180">
        <v>27813649</v>
      </c>
      <c r="H8" s="182">
        <f>G8/(C8+E8)</f>
        <v>0.75795363343941569</v>
      </c>
    </row>
    <row r="9" spans="1:9" ht="15" customHeight="1">
      <c r="A9" s="89">
        <v>2</v>
      </c>
      <c r="B9" s="1" t="s">
        <v>53</v>
      </c>
      <c r="C9" s="179">
        <v>0</v>
      </c>
      <c r="D9" s="179"/>
      <c r="E9" s="179"/>
      <c r="F9" s="179">
        <v>0</v>
      </c>
      <c r="G9" s="180">
        <v>0</v>
      </c>
      <c r="H9" s="182" t="e">
        <f t="shared" ref="H9:H21" si="0">G9/(C9+E9)</f>
        <v>#DIV/0!</v>
      </c>
    </row>
    <row r="10" spans="1:9">
      <c r="A10" s="89">
        <v>3</v>
      </c>
      <c r="B10" s="1" t="s">
        <v>166</v>
      </c>
      <c r="C10" s="179">
        <v>0</v>
      </c>
      <c r="D10" s="179"/>
      <c r="E10" s="179"/>
      <c r="F10" s="179">
        <v>0</v>
      </c>
      <c r="G10" s="180">
        <v>0</v>
      </c>
      <c r="H10" s="182" t="e">
        <f t="shared" si="0"/>
        <v>#DIV/0!</v>
      </c>
    </row>
    <row r="11" spans="1:9">
      <c r="A11" s="89">
        <v>4</v>
      </c>
      <c r="B11" s="1" t="s">
        <v>54</v>
      </c>
      <c r="C11" s="179">
        <v>0</v>
      </c>
      <c r="D11" s="179"/>
      <c r="E11" s="179"/>
      <c r="F11" s="179">
        <v>0</v>
      </c>
      <c r="G11" s="180">
        <v>0</v>
      </c>
      <c r="H11" s="182" t="e">
        <f t="shared" si="0"/>
        <v>#DIV/0!</v>
      </c>
    </row>
    <row r="12" spans="1:9">
      <c r="A12" s="89">
        <v>5</v>
      </c>
      <c r="B12" s="1" t="s">
        <v>55</v>
      </c>
      <c r="C12" s="179">
        <v>0</v>
      </c>
      <c r="D12" s="179"/>
      <c r="E12" s="179"/>
      <c r="F12" s="179">
        <v>0</v>
      </c>
      <c r="G12" s="180">
        <v>0</v>
      </c>
      <c r="H12" s="182" t="e">
        <f t="shared" si="0"/>
        <v>#DIV/0!</v>
      </c>
    </row>
    <row r="13" spans="1:9">
      <c r="A13" s="89">
        <v>6</v>
      </c>
      <c r="B13" s="1" t="s">
        <v>56</v>
      </c>
      <c r="C13" s="179">
        <v>67677148</v>
      </c>
      <c r="D13" s="179">
        <v>666594.08279999997</v>
      </c>
      <c r="E13" s="179">
        <v>333297.04129999998</v>
      </c>
      <c r="F13" s="179">
        <v>22132969.041299999</v>
      </c>
      <c r="G13" s="180">
        <v>22132969.041299999</v>
      </c>
      <c r="H13" s="182">
        <f t="shared" si="0"/>
        <v>0.32543485089473445</v>
      </c>
    </row>
    <row r="14" spans="1:9">
      <c r="A14" s="89">
        <v>7</v>
      </c>
      <c r="B14" s="1" t="s">
        <v>57</v>
      </c>
      <c r="C14" s="179">
        <v>295113475</v>
      </c>
      <c r="D14" s="179">
        <v>71467722.802300006</v>
      </c>
      <c r="E14" s="179">
        <v>114423.1734</v>
      </c>
      <c r="F14" s="179">
        <v>295227898.17339998</v>
      </c>
      <c r="G14" s="180">
        <v>291999105.17339998</v>
      </c>
      <c r="H14" s="182">
        <f t="shared" si="0"/>
        <v>0.98906338791158688</v>
      </c>
    </row>
    <row r="15" spans="1:9">
      <c r="A15" s="89">
        <v>8</v>
      </c>
      <c r="B15" s="1" t="s">
        <v>58</v>
      </c>
      <c r="C15" s="179">
        <v>60685550</v>
      </c>
      <c r="D15" s="179">
        <v>111417802.11570001</v>
      </c>
      <c r="E15" s="179">
        <v>57396465.673299998</v>
      </c>
      <c r="F15" s="179">
        <v>102912267.6733</v>
      </c>
      <c r="G15" s="180">
        <v>102804479.6733</v>
      </c>
      <c r="H15" s="182">
        <f t="shared" si="0"/>
        <v>0.87061928175185732</v>
      </c>
    </row>
    <row r="16" spans="1:9">
      <c r="A16" s="89">
        <v>9</v>
      </c>
      <c r="B16" s="1" t="s">
        <v>59</v>
      </c>
      <c r="C16" s="179">
        <v>0</v>
      </c>
      <c r="D16" s="179">
        <v>0</v>
      </c>
      <c r="E16" s="179">
        <v>0</v>
      </c>
      <c r="F16" s="179">
        <v>0</v>
      </c>
      <c r="G16" s="180">
        <v>0</v>
      </c>
      <c r="H16" s="182" t="e">
        <f t="shared" si="0"/>
        <v>#DIV/0!</v>
      </c>
    </row>
    <row r="17" spans="1:8">
      <c r="A17" s="89">
        <v>10</v>
      </c>
      <c r="B17" s="1" t="s">
        <v>60</v>
      </c>
      <c r="C17" s="179">
        <v>40187022</v>
      </c>
      <c r="D17" s="179"/>
      <c r="E17" s="179"/>
      <c r="F17" s="179">
        <v>39694971</v>
      </c>
      <c r="G17" s="180">
        <v>39694971</v>
      </c>
      <c r="H17" s="182">
        <f t="shared" si="0"/>
        <v>0.98775597256248548</v>
      </c>
    </row>
    <row r="18" spans="1:8">
      <c r="A18" s="89">
        <v>11</v>
      </c>
      <c r="B18" s="1" t="s">
        <v>61</v>
      </c>
      <c r="C18" s="179">
        <v>0</v>
      </c>
      <c r="D18" s="179"/>
      <c r="E18" s="179"/>
      <c r="F18" s="179">
        <v>0</v>
      </c>
      <c r="G18" s="180">
        <v>0</v>
      </c>
      <c r="H18" s="182" t="e">
        <f t="shared" si="0"/>
        <v>#DIV/0!</v>
      </c>
    </row>
    <row r="19" spans="1:8">
      <c r="A19" s="89">
        <v>12</v>
      </c>
      <c r="B19" s="1" t="s">
        <v>62</v>
      </c>
      <c r="C19" s="179">
        <v>0</v>
      </c>
      <c r="D19" s="179"/>
      <c r="E19" s="179"/>
      <c r="F19" s="179">
        <v>0</v>
      </c>
      <c r="G19" s="180">
        <v>0</v>
      </c>
      <c r="H19" s="182" t="e">
        <f t="shared" si="0"/>
        <v>#DIV/0!</v>
      </c>
    </row>
    <row r="20" spans="1:8">
      <c r="A20" s="89">
        <v>13</v>
      </c>
      <c r="B20" s="1" t="s">
        <v>145</v>
      </c>
      <c r="C20" s="179">
        <v>0</v>
      </c>
      <c r="D20" s="179"/>
      <c r="E20" s="179"/>
      <c r="F20" s="179">
        <v>0</v>
      </c>
      <c r="G20" s="180">
        <v>0</v>
      </c>
      <c r="H20" s="182" t="e">
        <f t="shared" si="0"/>
        <v>#DIV/0!</v>
      </c>
    </row>
    <row r="21" spans="1:8">
      <c r="A21" s="89">
        <v>14</v>
      </c>
      <c r="B21" s="1" t="s">
        <v>64</v>
      </c>
      <c r="C21" s="179">
        <v>29455262</v>
      </c>
      <c r="D21" s="179"/>
      <c r="E21" s="179"/>
      <c r="F21" s="179">
        <v>32653683</v>
      </c>
      <c r="G21" s="180">
        <v>32653683</v>
      </c>
      <c r="H21" s="182">
        <f t="shared" si="0"/>
        <v>1.1085857257015741</v>
      </c>
    </row>
    <row r="22" spans="1:8" ht="14.4" thickBot="1">
      <c r="A22" s="92"/>
      <c r="B22" s="93" t="s">
        <v>65</v>
      </c>
      <c r="C22" s="181">
        <f>SUM(C8:C21)</f>
        <v>529814170</v>
      </c>
      <c r="D22" s="181">
        <f>SUM(D8:D21)</f>
        <v>183552119.00080001</v>
      </c>
      <c r="E22" s="181">
        <f>SUM(E8:E21)</f>
        <v>57844185.887999997</v>
      </c>
      <c r="F22" s="181">
        <f>SUM(F8:F21)</f>
        <v>520435437.88800001</v>
      </c>
      <c r="G22" s="181">
        <f>SUM(G8:G21)</f>
        <v>517098856.88800001</v>
      </c>
      <c r="H22" s="183">
        <f>G22/(C22+E22)</f>
        <v>0.87993108871330727</v>
      </c>
    </row>
  </sheetData>
  <mergeCells count="6">
    <mergeCell ref="H6:H7"/>
    <mergeCell ref="B6:B7"/>
    <mergeCell ref="C6:C7"/>
    <mergeCell ref="D6:E6"/>
    <mergeCell ref="F6:F7"/>
    <mergeCell ref="G6:G7"/>
  </mergeCells>
  <pageMargins left="0.7" right="0.7" top="0.75" bottom="0.75" header="0.3" footer="0.3"/>
  <pageSetup paperSize="9" scale="4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D7" activePane="bottomRight" state="frozen"/>
      <selection pane="topRight"/>
      <selection pane="bottomLeft"/>
      <selection pane="bottomRight"/>
    </sheetView>
  </sheetViews>
  <sheetFormatPr defaultColWidth="9.21875" defaultRowHeight="13.8"/>
  <cols>
    <col min="1" max="1" width="10.5546875" style="153" bestFit="1" customWidth="1"/>
    <col min="2" max="2" width="104.21875" style="153" customWidth="1"/>
    <col min="3" max="11" width="12.77734375" style="153" customWidth="1"/>
    <col min="12" max="16384" width="9.21875" style="153"/>
  </cols>
  <sheetData>
    <row r="1" spans="1:11">
      <c r="A1" s="153" t="s">
        <v>31</v>
      </c>
      <c r="B1" s="3" t="str">
        <f>'Info '!C2</f>
        <v>JSC PASHA Bank Georgia</v>
      </c>
    </row>
    <row r="2" spans="1:11">
      <c r="A2" s="153" t="s">
        <v>32</v>
      </c>
      <c r="B2" s="309">
        <f>'1. key ratios '!B2</f>
        <v>45291</v>
      </c>
    </row>
    <row r="4" spans="1:11" ht="14.4" thickBot="1">
      <c r="A4" s="153" t="s">
        <v>147</v>
      </c>
      <c r="B4" s="220" t="s">
        <v>254</v>
      </c>
    </row>
    <row r="5" spans="1:11" ht="30" customHeight="1">
      <c r="A5" s="712"/>
      <c r="B5" s="713"/>
      <c r="C5" s="714" t="s">
        <v>306</v>
      </c>
      <c r="D5" s="714"/>
      <c r="E5" s="714"/>
      <c r="F5" s="714" t="s">
        <v>307</v>
      </c>
      <c r="G5" s="714"/>
      <c r="H5" s="714"/>
      <c r="I5" s="714" t="s">
        <v>308</v>
      </c>
      <c r="J5" s="714"/>
      <c r="K5" s="715"/>
    </row>
    <row r="6" spans="1:11">
      <c r="A6" s="193"/>
      <c r="B6" s="194"/>
      <c r="C6" s="15" t="s">
        <v>33</v>
      </c>
      <c r="D6" s="15" t="s">
        <v>34</v>
      </c>
      <c r="E6" s="15" t="s">
        <v>35</v>
      </c>
      <c r="F6" s="15" t="s">
        <v>33</v>
      </c>
      <c r="G6" s="15" t="s">
        <v>34</v>
      </c>
      <c r="H6" s="15" t="s">
        <v>35</v>
      </c>
      <c r="I6" s="15" t="s">
        <v>33</v>
      </c>
      <c r="J6" s="15" t="s">
        <v>34</v>
      </c>
      <c r="K6" s="15" t="s">
        <v>35</v>
      </c>
    </row>
    <row r="7" spans="1:11">
      <c r="A7" s="195" t="s">
        <v>257</v>
      </c>
      <c r="B7" s="196"/>
      <c r="C7" s="196"/>
      <c r="D7" s="196"/>
      <c r="E7" s="196"/>
      <c r="F7" s="196"/>
      <c r="G7" s="196"/>
      <c r="H7" s="196"/>
      <c r="I7" s="196"/>
      <c r="J7" s="196"/>
      <c r="K7" s="197"/>
    </row>
    <row r="8" spans="1:11">
      <c r="A8" s="198">
        <v>1</v>
      </c>
      <c r="B8" s="199" t="s">
        <v>255</v>
      </c>
      <c r="C8" s="200"/>
      <c r="D8" s="200"/>
      <c r="E8" s="200"/>
      <c r="F8" s="564">
        <v>66099278.68257501</v>
      </c>
      <c r="G8" s="564">
        <v>74417582.07927607</v>
      </c>
      <c r="H8" s="565">
        <v>140516860.76185107</v>
      </c>
      <c r="I8" s="564">
        <v>44003263.604456536</v>
      </c>
      <c r="J8" s="564">
        <v>38346679.442760848</v>
      </c>
      <c r="K8" s="566">
        <v>82349943.047217369</v>
      </c>
    </row>
    <row r="9" spans="1:11">
      <c r="A9" s="195" t="s">
        <v>258</v>
      </c>
      <c r="B9" s="196"/>
      <c r="C9" s="567"/>
      <c r="D9" s="567"/>
      <c r="E9" s="567"/>
      <c r="F9" s="568"/>
      <c r="G9" s="568"/>
      <c r="H9" s="568"/>
      <c r="I9" s="568"/>
      <c r="J9" s="568"/>
      <c r="K9" s="197"/>
    </row>
    <row r="10" spans="1:11">
      <c r="A10" s="201">
        <v>2</v>
      </c>
      <c r="B10" s="202" t="s">
        <v>266</v>
      </c>
      <c r="C10" s="569">
        <v>16190158.799826093</v>
      </c>
      <c r="D10" s="565">
        <v>36751699.059673913</v>
      </c>
      <c r="E10" s="565">
        <v>52941857.859500006</v>
      </c>
      <c r="F10" s="565">
        <v>1804045.6667065208</v>
      </c>
      <c r="G10" s="565">
        <v>9848845.4594050124</v>
      </c>
      <c r="H10" s="565">
        <v>11652891.126111533</v>
      </c>
      <c r="I10" s="565">
        <v>480711.58497282612</v>
      </c>
      <c r="J10" s="565">
        <v>2371644.1829255982</v>
      </c>
      <c r="K10" s="570">
        <v>2852355.767898425</v>
      </c>
    </row>
    <row r="11" spans="1:11">
      <c r="A11" s="201">
        <v>3</v>
      </c>
      <c r="B11" s="202" t="s">
        <v>260</v>
      </c>
      <c r="C11" s="569">
        <v>93653968.91845654</v>
      </c>
      <c r="D11" s="565">
        <v>227976069.89703372</v>
      </c>
      <c r="E11" s="565">
        <v>321630038.81549025</v>
      </c>
      <c r="F11" s="565">
        <v>28953882.651891295</v>
      </c>
      <c r="G11" s="565">
        <v>27059225.523658209</v>
      </c>
      <c r="H11" s="565">
        <v>56013108.175549515</v>
      </c>
      <c r="I11" s="565">
        <v>23435147.877338048</v>
      </c>
      <c r="J11" s="565">
        <v>20766173.172907073</v>
      </c>
      <c r="K11" s="570">
        <v>44201321.050245121</v>
      </c>
    </row>
    <row r="12" spans="1:11">
      <c r="A12" s="201">
        <v>4</v>
      </c>
      <c r="B12" s="202" t="s">
        <v>261</v>
      </c>
      <c r="C12" s="569">
        <v>760869.56521739135</v>
      </c>
      <c r="D12" s="565">
        <v>0</v>
      </c>
      <c r="E12" s="565">
        <v>760869.56521739135</v>
      </c>
      <c r="F12" s="565">
        <v>0</v>
      </c>
      <c r="G12" s="565">
        <v>0</v>
      </c>
      <c r="H12" s="565">
        <v>0</v>
      </c>
      <c r="I12" s="565">
        <v>0</v>
      </c>
      <c r="J12" s="565">
        <v>0</v>
      </c>
      <c r="K12" s="203">
        <v>0</v>
      </c>
    </row>
    <row r="13" spans="1:11">
      <c r="A13" s="201">
        <v>5</v>
      </c>
      <c r="B13" s="202" t="s">
        <v>269</v>
      </c>
      <c r="C13" s="569">
        <v>117904921.41597831</v>
      </c>
      <c r="D13" s="565">
        <v>46926765.634854347</v>
      </c>
      <c r="E13" s="565">
        <v>164831687.0508326</v>
      </c>
      <c r="F13" s="565">
        <v>21394432.093632605</v>
      </c>
      <c r="G13" s="565">
        <v>6869359.8066335022</v>
      </c>
      <c r="H13" s="565">
        <v>28263791.900266103</v>
      </c>
      <c r="I13" s="565">
        <v>6801645.7463641306</v>
      </c>
      <c r="J13" s="565">
        <v>3288605.4056328265</v>
      </c>
      <c r="K13" s="570">
        <v>10090251.151996957</v>
      </c>
    </row>
    <row r="14" spans="1:11">
      <c r="A14" s="201">
        <v>6</v>
      </c>
      <c r="B14" s="202" t="s">
        <v>301</v>
      </c>
      <c r="C14" s="569">
        <v>0</v>
      </c>
      <c r="D14" s="565">
        <v>0</v>
      </c>
      <c r="E14" s="565">
        <v>0</v>
      </c>
      <c r="F14" s="565">
        <v>0</v>
      </c>
      <c r="G14" s="565">
        <v>0</v>
      </c>
      <c r="H14" s="565">
        <v>0</v>
      </c>
      <c r="I14" s="565">
        <v>0</v>
      </c>
      <c r="J14" s="565">
        <v>0</v>
      </c>
      <c r="K14" s="203">
        <v>0</v>
      </c>
    </row>
    <row r="15" spans="1:11">
      <c r="A15" s="201">
        <v>7</v>
      </c>
      <c r="B15" s="202" t="s">
        <v>302</v>
      </c>
      <c r="C15" s="569">
        <v>5346500.9744565245</v>
      </c>
      <c r="D15" s="565">
        <v>10350401.857989134</v>
      </c>
      <c r="E15" s="565">
        <v>15696902.83244564</v>
      </c>
      <c r="F15" s="565">
        <v>334014.69239130442</v>
      </c>
      <c r="G15" s="565">
        <v>1959269.8518434777</v>
      </c>
      <c r="H15" s="565">
        <v>2293284.5442347829</v>
      </c>
      <c r="I15" s="565">
        <v>326666.99750000006</v>
      </c>
      <c r="J15" s="565">
        <v>1837908.0473978254</v>
      </c>
      <c r="K15" s="570">
        <v>2164575.0448978264</v>
      </c>
    </row>
    <row r="16" spans="1:11">
      <c r="A16" s="201">
        <v>8</v>
      </c>
      <c r="B16" s="204" t="s">
        <v>262</v>
      </c>
      <c r="C16" s="571">
        <f t="shared" ref="C16:K16" si="0">SUM(C10:C15)</f>
        <v>233856419.67393485</v>
      </c>
      <c r="D16" s="572">
        <f t="shared" si="0"/>
        <v>322004936.44955111</v>
      </c>
      <c r="E16" s="572">
        <f t="shared" si="0"/>
        <v>555861356.1234858</v>
      </c>
      <c r="F16" s="571">
        <f t="shared" si="0"/>
        <v>52486375.104621723</v>
      </c>
      <c r="G16" s="572">
        <f t="shared" si="0"/>
        <v>45736700.6415402</v>
      </c>
      <c r="H16" s="572">
        <f t="shared" si="0"/>
        <v>98223075.746161938</v>
      </c>
      <c r="I16" s="571">
        <f t="shared" si="0"/>
        <v>31044172.206175003</v>
      </c>
      <c r="J16" s="572">
        <f t="shared" si="0"/>
        <v>28264330.808863323</v>
      </c>
      <c r="K16" s="570">
        <f t="shared" si="0"/>
        <v>59308503.015038326</v>
      </c>
    </row>
    <row r="17" spans="1:11">
      <c r="A17" s="195" t="s">
        <v>259</v>
      </c>
      <c r="B17" s="196"/>
      <c r="C17" s="567"/>
      <c r="D17" s="567"/>
      <c r="E17" s="567"/>
      <c r="F17" s="568"/>
      <c r="G17" s="568"/>
      <c r="H17" s="568"/>
      <c r="I17" s="567"/>
      <c r="J17" s="567"/>
      <c r="K17" s="197"/>
    </row>
    <row r="18" spans="1:11">
      <c r="A18" s="201">
        <v>9</v>
      </c>
      <c r="B18" s="202" t="s">
        <v>265</v>
      </c>
      <c r="C18" s="573">
        <v>0</v>
      </c>
      <c r="D18" s="574">
        <v>0</v>
      </c>
      <c r="E18" s="574">
        <v>0</v>
      </c>
      <c r="F18" s="565">
        <v>0</v>
      </c>
      <c r="G18" s="565">
        <v>0</v>
      </c>
      <c r="H18" s="565">
        <v>0</v>
      </c>
      <c r="I18" s="574">
        <v>0</v>
      </c>
      <c r="J18" s="574">
        <v>0</v>
      </c>
      <c r="K18" s="203">
        <v>0</v>
      </c>
    </row>
    <row r="19" spans="1:11">
      <c r="A19" s="201">
        <v>10</v>
      </c>
      <c r="B19" s="202" t="s">
        <v>303</v>
      </c>
      <c r="C19" s="571">
        <v>152423093.84296775</v>
      </c>
      <c r="D19" s="571">
        <v>201535191.80096486</v>
      </c>
      <c r="E19" s="565">
        <v>353958285.64393294</v>
      </c>
      <c r="F19" s="572">
        <v>19255835.329219237</v>
      </c>
      <c r="G19" s="572">
        <v>2520396.6374172117</v>
      </c>
      <c r="H19" s="565">
        <v>21776231.966636457</v>
      </c>
      <c r="I19" s="565">
        <v>41755834.100885026</v>
      </c>
      <c r="J19" s="565">
        <v>45190183.221001975</v>
      </c>
      <c r="K19" s="570">
        <v>86946017.321887001</v>
      </c>
    </row>
    <row r="20" spans="1:11">
      <c r="A20" s="201">
        <v>11</v>
      </c>
      <c r="B20" s="202" t="s">
        <v>264</v>
      </c>
      <c r="C20" s="571">
        <v>19033873.444694567</v>
      </c>
      <c r="D20" s="571">
        <v>9754248.8651978225</v>
      </c>
      <c r="E20" s="565">
        <v>28788122.309892379</v>
      </c>
      <c r="F20" s="572">
        <v>157052.30934782609</v>
      </c>
      <c r="G20" s="572">
        <v>615513.75343152171</v>
      </c>
      <c r="H20" s="565">
        <v>772566.06277934753</v>
      </c>
      <c r="I20" s="565">
        <v>158253.80934782609</v>
      </c>
      <c r="J20" s="565">
        <v>627326.33709239122</v>
      </c>
      <c r="K20" s="570">
        <v>785580.14644021704</v>
      </c>
    </row>
    <row r="21" spans="1:11" ht="14.4" thickBot="1">
      <c r="A21" s="205">
        <v>12</v>
      </c>
      <c r="B21" s="206" t="s">
        <v>263</v>
      </c>
      <c r="C21" s="575">
        <f t="shared" ref="C21:K21" si="1">SUM(C18:C20)</f>
        <v>171456967.28766233</v>
      </c>
      <c r="D21" s="576">
        <f t="shared" si="1"/>
        <v>211289440.66616267</v>
      </c>
      <c r="E21" s="576">
        <f t="shared" si="1"/>
        <v>382746407.95382529</v>
      </c>
      <c r="F21" s="575">
        <f t="shared" si="1"/>
        <v>19412887.638567064</v>
      </c>
      <c r="G21" s="576">
        <f t="shared" si="1"/>
        <v>3135910.3908487335</v>
      </c>
      <c r="H21" s="577">
        <f t="shared" si="1"/>
        <v>22548798.029415805</v>
      </c>
      <c r="I21" s="578">
        <f t="shared" si="1"/>
        <v>41914087.910232849</v>
      </c>
      <c r="J21" s="578">
        <f t="shared" si="1"/>
        <v>45817509.558094367</v>
      </c>
      <c r="K21" s="579">
        <f t="shared" si="1"/>
        <v>87731597.468327224</v>
      </c>
    </row>
    <row r="22" spans="1:11" ht="38.25" customHeight="1" thickBot="1">
      <c r="A22" s="207"/>
      <c r="B22" s="208"/>
      <c r="C22" s="208"/>
      <c r="D22" s="208"/>
      <c r="E22" s="208"/>
      <c r="F22" s="716" t="s">
        <v>305</v>
      </c>
      <c r="G22" s="714"/>
      <c r="H22" s="714"/>
      <c r="I22" s="716" t="s">
        <v>270</v>
      </c>
      <c r="J22" s="714"/>
      <c r="K22" s="715"/>
    </row>
    <row r="23" spans="1:11">
      <c r="A23" s="209">
        <v>13</v>
      </c>
      <c r="B23" s="210" t="s">
        <v>255</v>
      </c>
      <c r="C23" s="211"/>
      <c r="D23" s="211"/>
      <c r="E23" s="211"/>
      <c r="F23" s="580">
        <f>F8</f>
        <v>66099278.68257501</v>
      </c>
      <c r="G23" s="580">
        <f>G8</f>
        <v>74417582.07927607</v>
      </c>
      <c r="H23" s="580">
        <f>F23+G23</f>
        <v>140516860.76185107</v>
      </c>
      <c r="I23" s="581">
        <f>I8</f>
        <v>44003263.604456536</v>
      </c>
      <c r="J23" s="581">
        <f>J8</f>
        <v>38346679.442760848</v>
      </c>
      <c r="K23" s="582">
        <f>K8</f>
        <v>82349943.047217369</v>
      </c>
    </row>
    <row r="24" spans="1:11" ht="14.4" thickBot="1">
      <c r="A24" s="212">
        <v>14</v>
      </c>
      <c r="B24" s="213" t="s">
        <v>267</v>
      </c>
      <c r="C24" s="214"/>
      <c r="D24" s="215"/>
      <c r="E24" s="216"/>
      <c r="F24" s="583">
        <f t="shared" ref="F24:G24" si="2">MAX(F16-F21,F16*0.25)</f>
        <v>33073487.466054659</v>
      </c>
      <c r="G24" s="583">
        <f t="shared" si="2"/>
        <v>42600790.250691466</v>
      </c>
      <c r="H24" s="564">
        <f>F24+G24</f>
        <v>75674277.716746122</v>
      </c>
      <c r="I24" s="584">
        <f t="shared" ref="I24:K24" si="3">MAX(I16-I21,I16*0.25)</f>
        <v>7761043.0515437508</v>
      </c>
      <c r="J24" s="584">
        <f t="shared" si="3"/>
        <v>7066082.7022158308</v>
      </c>
      <c r="K24" s="585">
        <f t="shared" si="3"/>
        <v>14827125.753759582</v>
      </c>
    </row>
    <row r="25" spans="1:11" ht="14.4" thickBot="1">
      <c r="A25" s="217">
        <v>15</v>
      </c>
      <c r="B25" s="218" t="s">
        <v>268</v>
      </c>
      <c r="C25" s="219"/>
      <c r="D25" s="219"/>
      <c r="E25" s="219"/>
      <c r="F25" s="586">
        <f t="shared" ref="F25:K25" si="4">F23/F24</f>
        <v>1.9985578705728186</v>
      </c>
      <c r="G25" s="586">
        <f t="shared" si="4"/>
        <v>1.7468591930185655</v>
      </c>
      <c r="H25" s="586">
        <f t="shared" si="4"/>
        <v>1.8568642476881652</v>
      </c>
      <c r="I25" s="587">
        <f t="shared" si="4"/>
        <v>5.6697615658379625</v>
      </c>
      <c r="J25" s="587">
        <f t="shared" si="4"/>
        <v>5.4268653593221927</v>
      </c>
      <c r="K25" s="588">
        <f t="shared" si="4"/>
        <v>5.5540058413773572</v>
      </c>
    </row>
    <row r="27" spans="1:11" ht="27">
      <c r="B27" s="192" t="s">
        <v>304</v>
      </c>
    </row>
  </sheetData>
  <mergeCells count="6">
    <mergeCell ref="A5:B5"/>
    <mergeCell ref="C5:E5"/>
    <mergeCell ref="F5:H5"/>
    <mergeCell ref="I5:K5"/>
    <mergeCell ref="F22:H22"/>
    <mergeCell ref="I22:K22"/>
  </mergeCells>
  <pageMargins left="0.7" right="0.7" top="0.75" bottom="0.75" header="0.3" footer="0.3"/>
  <pageSetup paperSize="9" scale="3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Normal="100" workbookViewId="0">
      <pane xSplit="1" ySplit="5" topLeftCell="B6" activePane="bottomRight" state="frozen"/>
      <selection pane="topRight"/>
      <selection pane="bottomLeft"/>
      <selection pane="bottomRight"/>
    </sheetView>
  </sheetViews>
  <sheetFormatPr defaultColWidth="9.21875" defaultRowHeight="13.2"/>
  <cols>
    <col min="1" max="1" width="10.5546875" style="4" bestFit="1" customWidth="1"/>
    <col min="2" max="2" width="95" style="4" customWidth="1"/>
    <col min="3" max="3" width="12.5546875" style="4" bestFit="1" customWidth="1"/>
    <col min="4" max="4" width="11.44140625" style="4" customWidth="1"/>
    <col min="5" max="5" width="18.21875" style="4" bestFit="1" customWidth="1"/>
    <col min="6" max="13" width="12.77734375" style="4" customWidth="1"/>
    <col min="14" max="14" width="31" style="4" bestFit="1" customWidth="1"/>
    <col min="15" max="16384" width="9.21875" style="13"/>
  </cols>
  <sheetData>
    <row r="1" spans="1:14">
      <c r="A1" s="4" t="s">
        <v>31</v>
      </c>
      <c r="B1" s="3" t="str">
        <f>'Info '!C2</f>
        <v>JSC PASHA Bank Georgia</v>
      </c>
    </row>
    <row r="2" spans="1:14" ht="14.25" customHeight="1">
      <c r="A2" s="4" t="s">
        <v>32</v>
      </c>
      <c r="B2" s="309">
        <f>'1. key ratios '!B2</f>
        <v>45291</v>
      </c>
    </row>
    <row r="3" spans="1:14" ht="14.25" customHeight="1"/>
    <row r="4" spans="1:14" ht="13.8" thickBot="1">
      <c r="A4" s="4" t="s">
        <v>163</v>
      </c>
      <c r="B4" s="147" t="s">
        <v>29</v>
      </c>
    </row>
    <row r="5" spans="1:14" s="99" customFormat="1">
      <c r="A5" s="95"/>
      <c r="B5" s="96"/>
      <c r="C5" s="97" t="s">
        <v>0</v>
      </c>
      <c r="D5" s="97" t="s">
        <v>1</v>
      </c>
      <c r="E5" s="97" t="s">
        <v>2</v>
      </c>
      <c r="F5" s="97" t="s">
        <v>3</v>
      </c>
      <c r="G5" s="97" t="s">
        <v>4</v>
      </c>
      <c r="H5" s="97" t="s">
        <v>6</v>
      </c>
      <c r="I5" s="97" t="s">
        <v>9</v>
      </c>
      <c r="J5" s="97" t="s">
        <v>10</v>
      </c>
      <c r="K5" s="97" t="s">
        <v>11</v>
      </c>
      <c r="L5" s="97" t="s">
        <v>12</v>
      </c>
      <c r="M5" s="97" t="s">
        <v>13</v>
      </c>
      <c r="N5" s="98" t="s">
        <v>14</v>
      </c>
    </row>
    <row r="6" spans="1:14" ht="26.4">
      <c r="A6" s="100"/>
      <c r="B6" s="101"/>
      <c r="C6" s="102" t="s">
        <v>162</v>
      </c>
      <c r="D6" s="103" t="s">
        <v>161</v>
      </c>
      <c r="E6" s="104" t="s">
        <v>160</v>
      </c>
      <c r="F6" s="105">
        <v>0</v>
      </c>
      <c r="G6" s="105">
        <v>0.2</v>
      </c>
      <c r="H6" s="105">
        <v>0.35</v>
      </c>
      <c r="I6" s="105">
        <v>0.5</v>
      </c>
      <c r="J6" s="105">
        <v>0.75</v>
      </c>
      <c r="K6" s="105">
        <v>1</v>
      </c>
      <c r="L6" s="105">
        <v>1.5</v>
      </c>
      <c r="M6" s="105">
        <v>2.5</v>
      </c>
      <c r="N6" s="146" t="s">
        <v>169</v>
      </c>
    </row>
    <row r="7" spans="1:14" ht="13.8">
      <c r="A7" s="106">
        <v>1</v>
      </c>
      <c r="B7" s="107" t="s">
        <v>159</v>
      </c>
      <c r="C7" s="108">
        <f>SUM(C8:C13)</f>
        <v>106534568</v>
      </c>
      <c r="D7" s="101"/>
      <c r="E7" s="109">
        <f t="shared" ref="E7:M7" si="0">SUM(E8:E13)</f>
        <v>2130691.36</v>
      </c>
      <c r="F7" s="110">
        <f>SUM(F8:F13)</f>
        <v>0</v>
      </c>
      <c r="G7" s="110">
        <f t="shared" si="0"/>
        <v>0</v>
      </c>
      <c r="H7" s="110">
        <f t="shared" si="0"/>
        <v>0</v>
      </c>
      <c r="I7" s="110">
        <f t="shared" si="0"/>
        <v>0</v>
      </c>
      <c r="J7" s="110">
        <f t="shared" si="0"/>
        <v>0</v>
      </c>
      <c r="K7" s="110">
        <f t="shared" si="0"/>
        <v>2130691.3509999998</v>
      </c>
      <c r="L7" s="110">
        <f t="shared" si="0"/>
        <v>0</v>
      </c>
      <c r="M7" s="110">
        <f t="shared" si="0"/>
        <v>0</v>
      </c>
      <c r="N7" s="111">
        <f>SUM(N8:N13)</f>
        <v>2130691.3509999998</v>
      </c>
    </row>
    <row r="8" spans="1:14" ht="13.8">
      <c r="A8" s="106">
        <v>1.1000000000000001</v>
      </c>
      <c r="B8" s="112" t="s">
        <v>157</v>
      </c>
      <c r="C8" s="110">
        <v>106534568</v>
      </c>
      <c r="D8" s="113">
        <v>0.02</v>
      </c>
      <c r="E8" s="109">
        <f>C8*D8</f>
        <v>2130691.36</v>
      </c>
      <c r="F8" s="110"/>
      <c r="G8" s="110"/>
      <c r="H8" s="110"/>
      <c r="I8" s="110"/>
      <c r="J8" s="110"/>
      <c r="K8" s="110">
        <v>2130691.3509999998</v>
      </c>
      <c r="L8" s="110"/>
      <c r="M8" s="110"/>
      <c r="N8" s="111">
        <f>SUMPRODUCT($F$6:$M$6,F8:M8)</f>
        <v>2130691.3509999998</v>
      </c>
    </row>
    <row r="9" spans="1:14" ht="13.8">
      <c r="A9" s="106">
        <v>1.2</v>
      </c>
      <c r="B9" s="112" t="s">
        <v>156</v>
      </c>
      <c r="C9" s="110">
        <v>0</v>
      </c>
      <c r="D9" s="113">
        <v>0.05</v>
      </c>
      <c r="E9" s="109">
        <f>C9*D9</f>
        <v>0</v>
      </c>
      <c r="F9" s="110"/>
      <c r="G9" s="110"/>
      <c r="H9" s="110"/>
      <c r="I9" s="110"/>
      <c r="J9" s="110"/>
      <c r="K9" s="110"/>
      <c r="L9" s="110"/>
      <c r="M9" s="110"/>
      <c r="N9" s="111">
        <f t="shared" ref="N9:N12" si="1">SUMPRODUCT($F$6:$M$6,F9:M9)</f>
        <v>0</v>
      </c>
    </row>
    <row r="10" spans="1:14" ht="13.8">
      <c r="A10" s="106">
        <v>1.3</v>
      </c>
      <c r="B10" s="112" t="s">
        <v>155</v>
      </c>
      <c r="C10" s="110">
        <v>0</v>
      </c>
      <c r="D10" s="113">
        <v>0.08</v>
      </c>
      <c r="E10" s="109">
        <f>C10*D10</f>
        <v>0</v>
      </c>
      <c r="F10" s="110"/>
      <c r="G10" s="110"/>
      <c r="H10" s="110"/>
      <c r="I10" s="110"/>
      <c r="J10" s="110"/>
      <c r="K10" s="110"/>
      <c r="L10" s="110"/>
      <c r="M10" s="110"/>
      <c r="N10" s="111">
        <f>SUMPRODUCT($F$6:$M$6,F10:M10)</f>
        <v>0</v>
      </c>
    </row>
    <row r="11" spans="1:14" ht="13.8">
      <c r="A11" s="106">
        <v>1.4</v>
      </c>
      <c r="B11" s="112" t="s">
        <v>154</v>
      </c>
      <c r="C11" s="110">
        <v>0</v>
      </c>
      <c r="D11" s="113">
        <v>0.11</v>
      </c>
      <c r="E11" s="109">
        <f>C11*D11</f>
        <v>0</v>
      </c>
      <c r="F11" s="110"/>
      <c r="G11" s="110"/>
      <c r="H11" s="110"/>
      <c r="I11" s="110"/>
      <c r="J11" s="110"/>
      <c r="K11" s="110"/>
      <c r="L11" s="110"/>
      <c r="M11" s="110"/>
      <c r="N11" s="111">
        <f t="shared" si="1"/>
        <v>0</v>
      </c>
    </row>
    <row r="12" spans="1:14" ht="13.8">
      <c r="A12" s="106">
        <v>1.5</v>
      </c>
      <c r="B12" s="112" t="s">
        <v>153</v>
      </c>
      <c r="C12" s="110">
        <v>0</v>
      </c>
      <c r="D12" s="113">
        <v>0.14000000000000001</v>
      </c>
      <c r="E12" s="109">
        <f>C12*D12</f>
        <v>0</v>
      </c>
      <c r="F12" s="110"/>
      <c r="G12" s="110"/>
      <c r="H12" s="110"/>
      <c r="I12" s="110"/>
      <c r="J12" s="110"/>
      <c r="K12" s="110"/>
      <c r="L12" s="110"/>
      <c r="M12" s="110"/>
      <c r="N12" s="111">
        <f t="shared" si="1"/>
        <v>0</v>
      </c>
    </row>
    <row r="13" spans="1:14" ht="13.8">
      <c r="A13" s="106">
        <v>1.6</v>
      </c>
      <c r="B13" s="114" t="s">
        <v>152</v>
      </c>
      <c r="C13" s="110">
        <v>0</v>
      </c>
      <c r="D13" s="115"/>
      <c r="E13" s="110"/>
      <c r="F13" s="110"/>
      <c r="G13" s="110"/>
      <c r="H13" s="110"/>
      <c r="I13" s="110"/>
      <c r="J13" s="110"/>
      <c r="K13" s="110"/>
      <c r="L13" s="110"/>
      <c r="M13" s="110"/>
      <c r="N13" s="111">
        <f>SUMPRODUCT($F$6:$M$6,F13:M13)</f>
        <v>0</v>
      </c>
    </row>
    <row r="14" spans="1:14" ht="13.8">
      <c r="A14" s="106">
        <v>2</v>
      </c>
      <c r="B14" s="116" t="s">
        <v>158</v>
      </c>
      <c r="C14" s="108">
        <f>SUM(C15:C20)</f>
        <v>0</v>
      </c>
      <c r="D14" s="101"/>
      <c r="E14" s="109">
        <f t="shared" ref="E14:M14" si="2">SUM(E15:E20)</f>
        <v>0</v>
      </c>
      <c r="F14" s="110">
        <f t="shared" si="2"/>
        <v>0</v>
      </c>
      <c r="G14" s="110">
        <f t="shared" si="2"/>
        <v>0</v>
      </c>
      <c r="H14" s="110">
        <f t="shared" si="2"/>
        <v>0</v>
      </c>
      <c r="I14" s="110">
        <f t="shared" si="2"/>
        <v>0</v>
      </c>
      <c r="J14" s="110">
        <f t="shared" si="2"/>
        <v>0</v>
      </c>
      <c r="K14" s="110">
        <f t="shared" si="2"/>
        <v>0</v>
      </c>
      <c r="L14" s="110">
        <f t="shared" si="2"/>
        <v>0</v>
      </c>
      <c r="M14" s="110">
        <f t="shared" si="2"/>
        <v>0</v>
      </c>
      <c r="N14" s="111">
        <f>SUM(N15:N20)</f>
        <v>0</v>
      </c>
    </row>
    <row r="15" spans="1:14" ht="13.8">
      <c r="A15" s="106">
        <v>2.1</v>
      </c>
      <c r="B15" s="114" t="s">
        <v>157</v>
      </c>
      <c r="C15" s="110"/>
      <c r="D15" s="113">
        <v>5.0000000000000001E-3</v>
      </c>
      <c r="E15" s="109">
        <f>C15*D15</f>
        <v>0</v>
      </c>
      <c r="F15" s="110"/>
      <c r="G15" s="110"/>
      <c r="H15" s="110"/>
      <c r="I15" s="110"/>
      <c r="J15" s="110"/>
      <c r="K15" s="110"/>
      <c r="L15" s="110"/>
      <c r="M15" s="110"/>
      <c r="N15" s="111">
        <f>SUMPRODUCT($F$6:$M$6,F15:M15)</f>
        <v>0</v>
      </c>
    </row>
    <row r="16" spans="1:14" ht="13.8">
      <c r="A16" s="106">
        <v>2.2000000000000002</v>
      </c>
      <c r="B16" s="114" t="s">
        <v>156</v>
      </c>
      <c r="C16" s="110"/>
      <c r="D16" s="113">
        <v>0.01</v>
      </c>
      <c r="E16" s="109">
        <f>C16*D16</f>
        <v>0</v>
      </c>
      <c r="F16" s="110"/>
      <c r="G16" s="110"/>
      <c r="H16" s="110"/>
      <c r="I16" s="110"/>
      <c r="J16" s="110"/>
      <c r="K16" s="110"/>
      <c r="L16" s="110"/>
      <c r="M16" s="110"/>
      <c r="N16" s="111">
        <f t="shared" ref="N16:N20" si="3">SUMPRODUCT($F$6:$M$6,F16:M16)</f>
        <v>0</v>
      </c>
    </row>
    <row r="17" spans="1:14" ht="13.8">
      <c r="A17" s="106">
        <v>2.2999999999999998</v>
      </c>
      <c r="B17" s="114" t="s">
        <v>155</v>
      </c>
      <c r="C17" s="110"/>
      <c r="D17" s="113">
        <v>0.02</v>
      </c>
      <c r="E17" s="109">
        <f>C17*D17</f>
        <v>0</v>
      </c>
      <c r="F17" s="110"/>
      <c r="G17" s="110"/>
      <c r="H17" s="110"/>
      <c r="I17" s="110"/>
      <c r="J17" s="110"/>
      <c r="K17" s="110"/>
      <c r="L17" s="110"/>
      <c r="M17" s="110"/>
      <c r="N17" s="111">
        <f t="shared" si="3"/>
        <v>0</v>
      </c>
    </row>
    <row r="18" spans="1:14" ht="13.8">
      <c r="A18" s="106">
        <v>2.4</v>
      </c>
      <c r="B18" s="114" t="s">
        <v>154</v>
      </c>
      <c r="C18" s="110"/>
      <c r="D18" s="113">
        <v>0.03</v>
      </c>
      <c r="E18" s="109">
        <f>C18*D18</f>
        <v>0</v>
      </c>
      <c r="F18" s="110"/>
      <c r="G18" s="110"/>
      <c r="H18" s="110"/>
      <c r="I18" s="110"/>
      <c r="J18" s="110"/>
      <c r="K18" s="110"/>
      <c r="L18" s="110"/>
      <c r="M18" s="110"/>
      <c r="N18" s="111">
        <f t="shared" si="3"/>
        <v>0</v>
      </c>
    </row>
    <row r="19" spans="1:14" ht="13.8">
      <c r="A19" s="106">
        <v>2.5</v>
      </c>
      <c r="B19" s="114" t="s">
        <v>153</v>
      </c>
      <c r="C19" s="110"/>
      <c r="D19" s="113">
        <v>0.04</v>
      </c>
      <c r="E19" s="109">
        <f>C19*D19</f>
        <v>0</v>
      </c>
      <c r="F19" s="110"/>
      <c r="G19" s="110"/>
      <c r="H19" s="110"/>
      <c r="I19" s="110"/>
      <c r="J19" s="110"/>
      <c r="K19" s="110"/>
      <c r="L19" s="110"/>
      <c r="M19" s="110"/>
      <c r="N19" s="111">
        <f t="shared" si="3"/>
        <v>0</v>
      </c>
    </row>
    <row r="20" spans="1:14" ht="13.8">
      <c r="A20" s="106">
        <v>2.6</v>
      </c>
      <c r="B20" s="114" t="s">
        <v>152</v>
      </c>
      <c r="C20" s="110"/>
      <c r="D20" s="115"/>
      <c r="E20" s="117"/>
      <c r="F20" s="110"/>
      <c r="G20" s="110"/>
      <c r="H20" s="110"/>
      <c r="I20" s="110"/>
      <c r="J20" s="110"/>
      <c r="K20" s="110"/>
      <c r="L20" s="110"/>
      <c r="M20" s="110"/>
      <c r="N20" s="111">
        <f t="shared" si="3"/>
        <v>0</v>
      </c>
    </row>
    <row r="21" spans="1:14" ht="14.4" thickBot="1">
      <c r="A21" s="118"/>
      <c r="B21" s="119" t="s">
        <v>65</v>
      </c>
      <c r="C21" s="94">
        <f>C14+C7</f>
        <v>106534568</v>
      </c>
      <c r="D21" s="120"/>
      <c r="E21" s="121">
        <f>E14+E7</f>
        <v>2130691.36</v>
      </c>
      <c r="F21" s="122">
        <f>F7+F14</f>
        <v>0</v>
      </c>
      <c r="G21" s="122">
        <f t="shared" ref="G21:L21" si="4">G7+G14</f>
        <v>0</v>
      </c>
      <c r="H21" s="122">
        <f t="shared" si="4"/>
        <v>0</v>
      </c>
      <c r="I21" s="122">
        <f t="shared" si="4"/>
        <v>0</v>
      </c>
      <c r="J21" s="122">
        <f t="shared" si="4"/>
        <v>0</v>
      </c>
      <c r="K21" s="122">
        <f t="shared" si="4"/>
        <v>2130691.3509999998</v>
      </c>
      <c r="L21" s="122">
        <f t="shared" si="4"/>
        <v>0</v>
      </c>
      <c r="M21" s="122">
        <f>M7+M14</f>
        <v>0</v>
      </c>
      <c r="N21" s="123">
        <f>N14+N7</f>
        <v>2130691.3509999998</v>
      </c>
    </row>
    <row r="22" spans="1:14">
      <c r="E22" s="124"/>
      <c r="F22" s="124"/>
      <c r="G22" s="124"/>
      <c r="H22" s="124"/>
      <c r="I22" s="124"/>
      <c r="J22" s="124"/>
      <c r="K22" s="124"/>
      <c r="L22" s="124"/>
      <c r="M22" s="124"/>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pageSetup paperSize="9" scale="3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2" zoomScale="90" zoomScaleNormal="90" workbookViewId="0"/>
  </sheetViews>
  <sheetFormatPr defaultRowHeight="14.4"/>
  <cols>
    <col min="1" max="1" width="11.44140625" customWidth="1"/>
    <col min="2" max="2" width="76.77734375" style="245" customWidth="1"/>
    <col min="3" max="3" width="22.77734375" customWidth="1"/>
  </cols>
  <sheetData>
    <row r="1" spans="1:3">
      <c r="A1" s="2" t="s">
        <v>31</v>
      </c>
      <c r="B1" s="3" t="str">
        <f>'Info '!C2</f>
        <v>JSC PASHA Bank Georgia</v>
      </c>
    </row>
    <row r="2" spans="1:3">
      <c r="A2" s="2" t="s">
        <v>32</v>
      </c>
      <c r="B2" s="309">
        <f>'1. key ratios '!B2</f>
        <v>45291</v>
      </c>
    </row>
    <row r="3" spans="1:3">
      <c r="A3" s="4"/>
      <c r="B3"/>
    </row>
    <row r="4" spans="1:3">
      <c r="A4" s="4" t="s">
        <v>309</v>
      </c>
      <c r="B4" t="s">
        <v>310</v>
      </c>
    </row>
    <row r="5" spans="1:3">
      <c r="A5" s="246" t="s">
        <v>311</v>
      </c>
      <c r="B5" s="247"/>
      <c r="C5" s="248"/>
    </row>
    <row r="6" spans="1:3">
      <c r="A6" s="249">
        <v>1</v>
      </c>
      <c r="B6" s="250" t="s">
        <v>362</v>
      </c>
      <c r="C6" s="251">
        <v>534709011</v>
      </c>
    </row>
    <row r="7" spans="1:3">
      <c r="A7" s="249">
        <v>2</v>
      </c>
      <c r="B7" s="250" t="s">
        <v>312</v>
      </c>
      <c r="C7" s="251">
        <v>-4894842</v>
      </c>
    </row>
    <row r="8" spans="1:3" ht="24">
      <c r="A8" s="252">
        <v>3</v>
      </c>
      <c r="B8" s="253" t="s">
        <v>313</v>
      </c>
      <c r="C8" s="251">
        <f>C6+C7</f>
        <v>529814169</v>
      </c>
    </row>
    <row r="9" spans="1:3">
      <c r="A9" s="246" t="s">
        <v>314</v>
      </c>
      <c r="B9" s="247"/>
      <c r="C9" s="254"/>
    </row>
    <row r="10" spans="1:3">
      <c r="A10" s="255">
        <v>4</v>
      </c>
      <c r="B10" s="256" t="s">
        <v>315</v>
      </c>
      <c r="C10" s="251"/>
    </row>
    <row r="11" spans="1:3">
      <c r="A11" s="255">
        <v>5</v>
      </c>
      <c r="B11" s="257" t="s">
        <v>316</v>
      </c>
      <c r="C11" s="251"/>
    </row>
    <row r="12" spans="1:3">
      <c r="A12" s="255" t="s">
        <v>317</v>
      </c>
      <c r="B12" s="257" t="s">
        <v>318</v>
      </c>
      <c r="C12" s="656">
        <f>'15. CCR '!E21</f>
        <v>2130691.36</v>
      </c>
    </row>
    <row r="13" spans="1:3" ht="22.8">
      <c r="A13" s="258">
        <v>6</v>
      </c>
      <c r="B13" s="256" t="s">
        <v>319</v>
      </c>
      <c r="C13" s="251"/>
    </row>
    <row r="14" spans="1:3">
      <c r="A14" s="258">
        <v>7</v>
      </c>
      <c r="B14" s="259" t="s">
        <v>320</v>
      </c>
      <c r="C14" s="251"/>
    </row>
    <row r="15" spans="1:3">
      <c r="A15" s="260">
        <v>8</v>
      </c>
      <c r="B15" s="261" t="s">
        <v>321</v>
      </c>
      <c r="C15" s="251"/>
    </row>
    <row r="16" spans="1:3">
      <c r="A16" s="258">
        <v>9</v>
      </c>
      <c r="B16" s="259" t="s">
        <v>322</v>
      </c>
      <c r="C16" s="251"/>
    </row>
    <row r="17" spans="1:3">
      <c r="A17" s="258">
        <v>10</v>
      </c>
      <c r="B17" s="259" t="s">
        <v>323</v>
      </c>
      <c r="C17" s="251"/>
    </row>
    <row r="18" spans="1:3">
      <c r="A18" s="262">
        <v>11</v>
      </c>
      <c r="B18" s="263" t="s">
        <v>324</v>
      </c>
      <c r="C18" s="264">
        <f>SUM(C10:C17)</f>
        <v>2130691.36</v>
      </c>
    </row>
    <row r="19" spans="1:3">
      <c r="A19" s="265" t="s">
        <v>325</v>
      </c>
      <c r="B19" s="266"/>
      <c r="C19" s="267"/>
    </row>
    <row r="20" spans="1:3">
      <c r="A20" s="268">
        <v>12</v>
      </c>
      <c r="B20" s="256" t="s">
        <v>326</v>
      </c>
      <c r="C20" s="251"/>
    </row>
    <row r="21" spans="1:3">
      <c r="A21" s="268">
        <v>13</v>
      </c>
      <c r="B21" s="256" t="s">
        <v>327</v>
      </c>
      <c r="C21" s="251"/>
    </row>
    <row r="22" spans="1:3">
      <c r="A22" s="268">
        <v>14</v>
      </c>
      <c r="B22" s="256" t="s">
        <v>328</v>
      </c>
      <c r="C22" s="251"/>
    </row>
    <row r="23" spans="1:3" ht="22.8">
      <c r="A23" s="268" t="s">
        <v>329</v>
      </c>
      <c r="B23" s="256" t="s">
        <v>330</v>
      </c>
      <c r="C23" s="251"/>
    </row>
    <row r="24" spans="1:3">
      <c r="A24" s="268">
        <v>15</v>
      </c>
      <c r="B24" s="256" t="s">
        <v>331</v>
      </c>
      <c r="C24" s="251"/>
    </row>
    <row r="25" spans="1:3">
      <c r="A25" s="268" t="s">
        <v>332</v>
      </c>
      <c r="B25" s="256" t="s">
        <v>333</v>
      </c>
      <c r="C25" s="251"/>
    </row>
    <row r="26" spans="1:3">
      <c r="A26" s="269">
        <v>16</v>
      </c>
      <c r="B26" s="270" t="s">
        <v>334</v>
      </c>
      <c r="C26" s="264">
        <f>SUM(C20:C25)</f>
        <v>0</v>
      </c>
    </row>
    <row r="27" spans="1:3">
      <c r="A27" s="246" t="s">
        <v>335</v>
      </c>
      <c r="B27" s="247"/>
      <c r="C27" s="254"/>
    </row>
    <row r="28" spans="1:3">
      <c r="A28" s="271">
        <v>17</v>
      </c>
      <c r="B28" s="257" t="s">
        <v>336</v>
      </c>
      <c r="C28" s="251">
        <v>183552119</v>
      </c>
    </row>
    <row r="29" spans="1:3">
      <c r="A29" s="271">
        <v>18</v>
      </c>
      <c r="B29" s="257" t="s">
        <v>337</v>
      </c>
      <c r="C29" s="251">
        <v>-118584045.35499999</v>
      </c>
    </row>
    <row r="30" spans="1:3">
      <c r="A30" s="269">
        <v>19</v>
      </c>
      <c r="B30" s="270" t="s">
        <v>338</v>
      </c>
      <c r="C30" s="264">
        <f>C28+C29</f>
        <v>64968073.645000011</v>
      </c>
    </row>
    <row r="31" spans="1:3">
      <c r="A31" s="246" t="s">
        <v>339</v>
      </c>
      <c r="B31" s="247"/>
      <c r="C31" s="254"/>
    </row>
    <row r="32" spans="1:3" ht="22.8">
      <c r="A32" s="271" t="s">
        <v>340</v>
      </c>
      <c r="B32" s="256" t="s">
        <v>341</v>
      </c>
      <c r="C32" s="272"/>
    </row>
    <row r="33" spans="1:3">
      <c r="A33" s="271" t="s">
        <v>342</v>
      </c>
      <c r="B33" s="257" t="s">
        <v>343</v>
      </c>
      <c r="C33" s="272"/>
    </row>
    <row r="34" spans="1:3">
      <c r="A34" s="246" t="s">
        <v>344</v>
      </c>
      <c r="B34" s="247"/>
      <c r="C34" s="254"/>
    </row>
    <row r="35" spans="1:3">
      <c r="A35" s="273">
        <v>20</v>
      </c>
      <c r="B35" s="274" t="s">
        <v>345</v>
      </c>
      <c r="C35" s="264">
        <f>'1. key ratios '!C9</f>
        <v>106263156.75</v>
      </c>
    </row>
    <row r="36" spans="1:3">
      <c r="A36" s="269">
        <v>21</v>
      </c>
      <c r="B36" s="270" t="s">
        <v>346</v>
      </c>
      <c r="C36" s="264">
        <f>C8+C18+C26+C30</f>
        <v>596912934.005</v>
      </c>
    </row>
    <row r="37" spans="1:3">
      <c r="A37" s="246" t="s">
        <v>347</v>
      </c>
      <c r="B37" s="247"/>
      <c r="C37" s="254"/>
    </row>
    <row r="38" spans="1:3">
      <c r="A38" s="269">
        <v>22</v>
      </c>
      <c r="B38" s="270" t="s">
        <v>347</v>
      </c>
      <c r="C38" s="589">
        <f t="shared" ref="C38" si="0">C35/C36</f>
        <v>0.17802119990435639</v>
      </c>
    </row>
    <row r="39" spans="1:3">
      <c r="A39" s="246" t="s">
        <v>348</v>
      </c>
      <c r="B39" s="247"/>
      <c r="C39" s="254"/>
    </row>
    <row r="40" spans="1:3">
      <c r="A40" s="275" t="s">
        <v>349</v>
      </c>
      <c r="B40" s="256" t="s">
        <v>350</v>
      </c>
      <c r="C40" s="272"/>
    </row>
    <row r="41" spans="1:3" ht="22.8">
      <c r="A41" s="276" t="s">
        <v>351</v>
      </c>
      <c r="B41" s="250" t="s">
        <v>352</v>
      </c>
      <c r="C41" s="272"/>
    </row>
    <row r="43" spans="1:3">
      <c r="B43" s="245" t="s">
        <v>363</v>
      </c>
    </row>
  </sheetData>
  <pageMargins left="0.7" right="0.7" top="0.75" bottom="0.75" header="0.3" footer="0.3"/>
  <pageSetup paperSize="9" scale="4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18" activePane="bottomRight" state="frozen"/>
      <selection pane="topRight"/>
      <selection pane="bottomLeft"/>
      <selection pane="bottomRight"/>
    </sheetView>
  </sheetViews>
  <sheetFormatPr defaultRowHeight="14.4"/>
  <cols>
    <col min="1" max="1" width="8.77734375" style="153"/>
    <col min="2" max="2" width="82.6640625" style="160" customWidth="1"/>
    <col min="3" max="7" width="17.5546875" style="153" customWidth="1"/>
  </cols>
  <sheetData>
    <row r="1" spans="1:7">
      <c r="A1" s="153" t="s">
        <v>31</v>
      </c>
      <c r="B1" s="3" t="str">
        <f>'Info '!C2</f>
        <v>JSC PASHA Bank Georgia</v>
      </c>
    </row>
    <row r="2" spans="1:7">
      <c r="A2" s="153" t="s">
        <v>32</v>
      </c>
      <c r="B2" s="309">
        <f>'1. key ratios '!B2</f>
        <v>45291</v>
      </c>
    </row>
    <row r="4" spans="1:7" ht="15" thickBot="1">
      <c r="A4" s="153" t="s">
        <v>413</v>
      </c>
      <c r="B4" s="315" t="s">
        <v>374</v>
      </c>
    </row>
    <row r="5" spans="1:7">
      <c r="A5" s="316"/>
      <c r="B5" s="317"/>
      <c r="C5" s="717" t="s">
        <v>375</v>
      </c>
      <c r="D5" s="717"/>
      <c r="E5" s="717"/>
      <c r="F5" s="717"/>
      <c r="G5" s="718" t="s">
        <v>376</v>
      </c>
    </row>
    <row r="6" spans="1:7">
      <c r="A6" s="318"/>
      <c r="B6" s="319"/>
      <c r="C6" s="320" t="s">
        <v>377</v>
      </c>
      <c r="D6" s="320" t="s">
        <v>378</v>
      </c>
      <c r="E6" s="320" t="s">
        <v>379</v>
      </c>
      <c r="F6" s="320" t="s">
        <v>380</v>
      </c>
      <c r="G6" s="719"/>
    </row>
    <row r="7" spans="1:7">
      <c r="A7" s="321"/>
      <c r="B7" s="322" t="s">
        <v>381</v>
      </c>
      <c r="C7" s="323"/>
      <c r="D7" s="323"/>
      <c r="E7" s="323"/>
      <c r="F7" s="323"/>
      <c r="G7" s="324"/>
    </row>
    <row r="8" spans="1:7">
      <c r="A8" s="325">
        <v>1</v>
      </c>
      <c r="B8" s="326" t="s">
        <v>382</v>
      </c>
      <c r="C8" s="643">
        <f>SUM(C9:C10)</f>
        <v>122398083.96600001</v>
      </c>
      <c r="D8" s="643">
        <f>SUM(D9:D10)</f>
        <v>0</v>
      </c>
      <c r="E8" s="643">
        <f>SUM(E9:E10)</f>
        <v>0</v>
      </c>
      <c r="F8" s="643">
        <f>SUM(F9:F10)</f>
        <v>174468674.43589997</v>
      </c>
      <c r="G8" s="644">
        <f>SUM(G9:G10)</f>
        <v>296866758.40189999</v>
      </c>
    </row>
    <row r="9" spans="1:7">
      <c r="A9" s="325">
        <v>2</v>
      </c>
      <c r="B9" s="327" t="s">
        <v>383</v>
      </c>
      <c r="C9" s="643">
        <v>122398083.96600001</v>
      </c>
      <c r="D9" s="643"/>
      <c r="E9" s="643"/>
      <c r="F9" s="643"/>
      <c r="G9" s="644">
        <v>122398083.96600001</v>
      </c>
    </row>
    <row r="10" spans="1:7" ht="27.6">
      <c r="A10" s="325">
        <v>3</v>
      </c>
      <c r="B10" s="327" t="s">
        <v>384</v>
      </c>
      <c r="C10" s="645"/>
      <c r="D10" s="645"/>
      <c r="E10" s="645"/>
      <c r="F10" s="643">
        <v>174468674.43589997</v>
      </c>
      <c r="G10" s="644">
        <v>174468674.43589997</v>
      </c>
    </row>
    <row r="11" spans="1:7" ht="14.55" customHeight="1">
      <c r="A11" s="325">
        <v>4</v>
      </c>
      <c r="B11" s="326" t="s">
        <v>385</v>
      </c>
      <c r="C11" s="643">
        <f t="shared" ref="C11:F11" si="0">SUM(C12:C13)</f>
        <v>16387156</v>
      </c>
      <c r="D11" s="643">
        <f t="shared" si="0"/>
        <v>21378696.735300001</v>
      </c>
      <c r="E11" s="643">
        <f t="shared" si="0"/>
        <v>10907787.477</v>
      </c>
      <c r="F11" s="643">
        <f t="shared" si="0"/>
        <v>1747203.144700001</v>
      </c>
      <c r="G11" s="644">
        <f>SUM(G12:G13)</f>
        <v>36415624.722819999</v>
      </c>
    </row>
    <row r="12" spans="1:7">
      <c r="A12" s="325">
        <v>5</v>
      </c>
      <c r="B12" s="327" t="s">
        <v>386</v>
      </c>
      <c r="C12" s="643">
        <v>4333470</v>
      </c>
      <c r="D12" s="646">
        <v>11142429.125399999</v>
      </c>
      <c r="E12" s="643">
        <v>7691854.7471000003</v>
      </c>
      <c r="F12" s="643">
        <v>1732697.3371000011</v>
      </c>
      <c r="G12" s="644">
        <v>23655428.649119999</v>
      </c>
    </row>
    <row r="13" spans="1:7">
      <c r="A13" s="325">
        <v>6</v>
      </c>
      <c r="B13" s="327" t="s">
        <v>387</v>
      </c>
      <c r="C13" s="643">
        <v>12053686</v>
      </c>
      <c r="D13" s="646">
        <v>10236267.609900001</v>
      </c>
      <c r="E13" s="643">
        <v>3215932.7298999997</v>
      </c>
      <c r="F13" s="643">
        <v>14505.807599999942</v>
      </c>
      <c r="G13" s="644">
        <v>12760196.0737</v>
      </c>
    </row>
    <row r="14" spans="1:7">
      <c r="A14" s="325">
        <v>7</v>
      </c>
      <c r="B14" s="326" t="s">
        <v>388</v>
      </c>
      <c r="C14" s="643">
        <f t="shared" ref="C14:F14" si="1">SUM(C15:C16)</f>
        <v>94020499.893299997</v>
      </c>
      <c r="D14" s="643">
        <f t="shared" si="1"/>
        <v>31982101.060000017</v>
      </c>
      <c r="E14" s="643">
        <f t="shared" si="1"/>
        <v>32582273.230999999</v>
      </c>
      <c r="F14" s="643">
        <f t="shared" si="1"/>
        <v>13446.615799993277</v>
      </c>
      <c r="G14" s="644">
        <f>SUM(G15:G16)</f>
        <v>63658783.453400001</v>
      </c>
    </row>
    <row r="15" spans="1:7" ht="41.4">
      <c r="A15" s="325">
        <v>8</v>
      </c>
      <c r="B15" s="327" t="s">
        <v>389</v>
      </c>
      <c r="C15" s="643">
        <v>79243568</v>
      </c>
      <c r="D15" s="646">
        <v>15478279.060000017</v>
      </c>
      <c r="E15" s="643">
        <v>26134645.230999999</v>
      </c>
      <c r="F15" s="643">
        <v>13446.615799993277</v>
      </c>
      <c r="G15" s="644">
        <v>60434969.453400001</v>
      </c>
    </row>
    <row r="16" spans="1:7" ht="27.6">
      <c r="A16" s="325">
        <v>9</v>
      </c>
      <c r="B16" s="327" t="s">
        <v>390</v>
      </c>
      <c r="C16" s="643">
        <v>14776931.893300001</v>
      </c>
      <c r="D16" s="646">
        <v>16503822</v>
      </c>
      <c r="E16" s="643">
        <v>6447628</v>
      </c>
      <c r="F16" s="643">
        <v>0</v>
      </c>
      <c r="G16" s="644">
        <v>3223814</v>
      </c>
    </row>
    <row r="17" spans="1:7">
      <c r="A17" s="325">
        <v>10</v>
      </c>
      <c r="B17" s="326" t="s">
        <v>391</v>
      </c>
      <c r="C17" s="643"/>
      <c r="D17" s="646"/>
      <c r="E17" s="643"/>
      <c r="F17" s="643"/>
      <c r="G17" s="644"/>
    </row>
    <row r="18" spans="1:7">
      <c r="A18" s="325">
        <v>11</v>
      </c>
      <c r="B18" s="326" t="s">
        <v>392</v>
      </c>
      <c r="C18" s="643">
        <f>SUM(C19:C20)</f>
        <v>0</v>
      </c>
      <c r="D18" s="646">
        <f t="shared" ref="D18:G18" si="2">SUM(D19:D20)</f>
        <v>21015159.438400015</v>
      </c>
      <c r="E18" s="643">
        <f t="shared" si="2"/>
        <v>0</v>
      </c>
      <c r="F18" s="643">
        <f t="shared" si="2"/>
        <v>0</v>
      </c>
      <c r="G18" s="644">
        <f t="shared" si="2"/>
        <v>0</v>
      </c>
    </row>
    <row r="19" spans="1:7">
      <c r="A19" s="325">
        <v>12</v>
      </c>
      <c r="B19" s="327" t="s">
        <v>393</v>
      </c>
      <c r="C19" s="645"/>
      <c r="D19" s="646">
        <v>785819.86</v>
      </c>
      <c r="E19" s="643"/>
      <c r="F19" s="643"/>
      <c r="G19" s="644"/>
    </row>
    <row r="20" spans="1:7">
      <c r="A20" s="325">
        <v>13</v>
      </c>
      <c r="B20" s="327" t="s">
        <v>394</v>
      </c>
      <c r="C20" s="643"/>
      <c r="D20" s="643">
        <v>20229339.578400016</v>
      </c>
      <c r="E20" s="643"/>
      <c r="F20" s="643"/>
      <c r="G20" s="644"/>
    </row>
    <row r="21" spans="1:7">
      <c r="A21" s="328">
        <v>14</v>
      </c>
      <c r="B21" s="329" t="s">
        <v>395</v>
      </c>
      <c r="C21" s="645"/>
      <c r="D21" s="645"/>
      <c r="E21" s="645"/>
      <c r="F21" s="645"/>
      <c r="G21" s="647">
        <f>SUM(G8,G11,G14,G17,G18)</f>
        <v>396941166.57811999</v>
      </c>
    </row>
    <row r="22" spans="1:7">
      <c r="A22" s="330"/>
      <c r="B22" s="331" t="s">
        <v>396</v>
      </c>
      <c r="C22" s="332"/>
      <c r="D22" s="333"/>
      <c r="E22" s="332"/>
      <c r="F22" s="332"/>
      <c r="G22" s="334"/>
    </row>
    <row r="23" spans="1:7">
      <c r="A23" s="325">
        <v>15</v>
      </c>
      <c r="B23" s="326" t="s">
        <v>397</v>
      </c>
      <c r="C23" s="648">
        <v>81113421.855401874</v>
      </c>
      <c r="D23" s="649">
        <v>38570600</v>
      </c>
      <c r="E23" s="648"/>
      <c r="F23" s="648"/>
      <c r="G23" s="644">
        <v>4276926.6830650931</v>
      </c>
    </row>
    <row r="24" spans="1:7">
      <c r="A24" s="325">
        <v>16</v>
      </c>
      <c r="B24" s="326" t="s">
        <v>398</v>
      </c>
      <c r="C24" s="643">
        <f>SUM(C25:C27,C29,C31)</f>
        <v>3316515.5668350193</v>
      </c>
      <c r="D24" s="646">
        <f t="shared" ref="D24:G24" si="3">SUM(D25:D27,D29,D31)</f>
        <v>62081198.542916998</v>
      </c>
      <c r="E24" s="643">
        <f t="shared" si="3"/>
        <v>40470389.051034868</v>
      </c>
      <c r="F24" s="643">
        <f t="shared" si="3"/>
        <v>240358029.17553008</v>
      </c>
      <c r="G24" s="644">
        <f t="shared" si="3"/>
        <v>248213841.32922488</v>
      </c>
    </row>
    <row r="25" spans="1:7">
      <c r="A25" s="325">
        <v>17</v>
      </c>
      <c r="B25" s="327" t="s">
        <v>399</v>
      </c>
      <c r="C25" s="643"/>
      <c r="D25" s="646"/>
      <c r="E25" s="643"/>
      <c r="F25" s="643"/>
      <c r="G25" s="644"/>
    </row>
    <row r="26" spans="1:7" ht="27.6">
      <c r="A26" s="325">
        <v>18</v>
      </c>
      <c r="B26" s="327" t="s">
        <v>400</v>
      </c>
      <c r="C26" s="643">
        <v>3316515.5668350193</v>
      </c>
      <c r="D26" s="646">
        <v>29411534.442916997</v>
      </c>
      <c r="E26" s="643">
        <v>26847234.241034869</v>
      </c>
      <c r="F26" s="643">
        <v>16201883.020294122</v>
      </c>
      <c r="G26" s="644">
        <v>34534707.642274357</v>
      </c>
    </row>
    <row r="27" spans="1:7">
      <c r="A27" s="325">
        <v>19</v>
      </c>
      <c r="B27" s="327" t="s">
        <v>401</v>
      </c>
      <c r="C27" s="643">
        <v>0</v>
      </c>
      <c r="D27" s="646">
        <v>29248226.719999999</v>
      </c>
      <c r="E27" s="643">
        <v>9628272.6899999995</v>
      </c>
      <c r="F27" s="643">
        <v>205795148.13383466</v>
      </c>
      <c r="G27" s="644">
        <v>194364125.61875945</v>
      </c>
    </row>
    <row r="28" spans="1:7">
      <c r="A28" s="325">
        <v>20</v>
      </c>
      <c r="B28" s="335" t="s">
        <v>402</v>
      </c>
      <c r="C28" s="643"/>
      <c r="D28" s="646"/>
      <c r="E28" s="643"/>
      <c r="F28" s="643"/>
      <c r="G28" s="644"/>
    </row>
    <row r="29" spans="1:7">
      <c r="A29" s="325">
        <v>21</v>
      </c>
      <c r="B29" s="327" t="s">
        <v>403</v>
      </c>
      <c r="C29" s="643"/>
      <c r="D29" s="646"/>
      <c r="E29" s="643"/>
      <c r="F29" s="643"/>
      <c r="G29" s="644"/>
    </row>
    <row r="30" spans="1:7">
      <c r="A30" s="325">
        <v>22</v>
      </c>
      <c r="B30" s="335" t="s">
        <v>402</v>
      </c>
      <c r="C30" s="643"/>
      <c r="D30" s="646"/>
      <c r="E30" s="643"/>
      <c r="F30" s="643"/>
      <c r="G30" s="644"/>
    </row>
    <row r="31" spans="1:7">
      <c r="A31" s="325">
        <v>23</v>
      </c>
      <c r="B31" s="327" t="s">
        <v>404</v>
      </c>
      <c r="C31" s="643">
        <v>0</v>
      </c>
      <c r="D31" s="646">
        <v>3421437.38</v>
      </c>
      <c r="E31" s="643">
        <v>3994882.12</v>
      </c>
      <c r="F31" s="643">
        <v>18360998.02140129</v>
      </c>
      <c r="G31" s="644">
        <v>19315008.068191096</v>
      </c>
    </row>
    <row r="32" spans="1:7">
      <c r="A32" s="325">
        <v>24</v>
      </c>
      <c r="B32" s="326" t="s">
        <v>405</v>
      </c>
      <c r="C32" s="643"/>
      <c r="D32" s="646"/>
      <c r="E32" s="643"/>
      <c r="F32" s="643"/>
      <c r="G32" s="644"/>
    </row>
    <row r="33" spans="1:7">
      <c r="A33" s="325">
        <v>25</v>
      </c>
      <c r="B33" s="326" t="s">
        <v>406</v>
      </c>
      <c r="C33" s="643">
        <v>4969672.7799999993</v>
      </c>
      <c r="D33" s="643">
        <v>22462402.220559001</v>
      </c>
      <c r="E33" s="643">
        <v>350554.6876</v>
      </c>
      <c r="F33" s="643">
        <v>35869130.313160211</v>
      </c>
      <c r="G33" s="644">
        <v>52570749.117239714</v>
      </c>
    </row>
    <row r="34" spans="1:7">
      <c r="A34" s="325">
        <v>26</v>
      </c>
      <c r="B34" s="327" t="s">
        <v>407</v>
      </c>
      <c r="C34" s="645"/>
      <c r="D34" s="646">
        <v>650935.14</v>
      </c>
      <c r="E34" s="643"/>
      <c r="F34" s="643"/>
      <c r="G34" s="644">
        <v>650935.14</v>
      </c>
    </row>
    <row r="35" spans="1:7">
      <c r="A35" s="325">
        <v>27</v>
      </c>
      <c r="B35" s="327" t="s">
        <v>408</v>
      </c>
      <c r="C35" s="643">
        <v>4969672.7799999993</v>
      </c>
      <c r="D35" s="646">
        <v>21811467.080559</v>
      </c>
      <c r="E35" s="643">
        <v>350554.6876</v>
      </c>
      <c r="F35" s="643">
        <v>35869130.313160211</v>
      </c>
      <c r="G35" s="644">
        <v>51919813.977239713</v>
      </c>
    </row>
    <row r="36" spans="1:7">
      <c r="A36" s="325">
        <v>28</v>
      </c>
      <c r="B36" s="326" t="s">
        <v>409</v>
      </c>
      <c r="C36" s="643">
        <v>0</v>
      </c>
      <c r="D36" s="646">
        <v>96941075.319999993</v>
      </c>
      <c r="E36" s="643">
        <v>39408575.789999999</v>
      </c>
      <c r="F36" s="643">
        <v>47173500.32</v>
      </c>
      <c r="G36" s="644">
        <v>15863936.392999999</v>
      </c>
    </row>
    <row r="37" spans="1:7">
      <c r="A37" s="328">
        <v>29</v>
      </c>
      <c r="B37" s="329" t="s">
        <v>410</v>
      </c>
      <c r="C37" s="645"/>
      <c r="D37" s="645"/>
      <c r="E37" s="645"/>
      <c r="F37" s="645"/>
      <c r="G37" s="647">
        <f>SUM(G23:G24,G32:G33,G36)</f>
        <v>320925453.52252972</v>
      </c>
    </row>
    <row r="38" spans="1:7">
      <c r="A38" s="321"/>
      <c r="B38" s="336"/>
      <c r="C38" s="337"/>
      <c r="D38" s="337"/>
      <c r="E38" s="337"/>
      <c r="F38" s="337"/>
      <c r="G38" s="338"/>
    </row>
    <row r="39" spans="1:7" ht="15" thickBot="1">
      <c r="A39" s="339">
        <v>30</v>
      </c>
      <c r="B39" s="340" t="s">
        <v>411</v>
      </c>
      <c r="C39" s="214"/>
      <c r="D39" s="215"/>
      <c r="E39" s="215"/>
      <c r="F39" s="216"/>
      <c r="G39" s="650">
        <f>IFERROR(G21/G37,0)</f>
        <v>1.2368640823631454</v>
      </c>
    </row>
    <row r="42" spans="1:7" ht="41.4">
      <c r="B42" s="160" t="s">
        <v>412</v>
      </c>
    </row>
  </sheetData>
  <mergeCells count="2">
    <mergeCell ref="C5:F5"/>
    <mergeCell ref="G5:G6"/>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6" zoomScaleNormal="76" workbookViewId="0">
      <pane xSplit="1" ySplit="5" topLeftCell="B6" activePane="bottomRight" state="frozen"/>
      <selection pane="topRight"/>
      <selection pane="bottomLeft"/>
      <selection pane="bottomRight"/>
    </sheetView>
  </sheetViews>
  <sheetFormatPr defaultColWidth="9.21875" defaultRowHeight="13.8"/>
  <cols>
    <col min="1" max="1" width="9.5546875" style="3" bestFit="1" customWidth="1"/>
    <col min="2" max="2" width="86" style="3" customWidth="1"/>
    <col min="3" max="3" width="12.77734375" style="3" customWidth="1"/>
    <col min="4" max="7" width="12.77734375" style="4" customWidth="1"/>
    <col min="8" max="8" width="6.77734375" style="5" customWidth="1"/>
    <col min="9" max="9" width="13.21875" style="5" customWidth="1"/>
    <col min="10" max="10" width="14.88671875" style="5" customWidth="1"/>
    <col min="11" max="11" width="13.6640625" style="5" customWidth="1"/>
    <col min="12" max="12" width="13.88671875" style="5" customWidth="1"/>
    <col min="13" max="13" width="6.77734375" style="5" customWidth="1"/>
    <col min="14" max="16384" width="9.21875" style="5"/>
  </cols>
  <sheetData>
    <row r="1" spans="1:12">
      <c r="A1" s="2" t="s">
        <v>31</v>
      </c>
      <c r="B1" s="3" t="str">
        <f>'Info '!C2</f>
        <v>JSC PASHA Bank Georgia</v>
      </c>
    </row>
    <row r="2" spans="1:12">
      <c r="A2" s="2" t="s">
        <v>32</v>
      </c>
      <c r="B2" s="309">
        <v>45291</v>
      </c>
    </row>
    <row r="3" spans="1:12" ht="14.4" thickBot="1">
      <c r="A3" s="2"/>
    </row>
    <row r="4" spans="1:12" ht="15" customHeight="1" thickBot="1">
      <c r="A4" s="6" t="s">
        <v>94</v>
      </c>
      <c r="B4" s="7" t="s">
        <v>93</v>
      </c>
      <c r="C4" s="7"/>
      <c r="D4" s="659" t="s">
        <v>701</v>
      </c>
      <c r="E4" s="660"/>
      <c r="F4" s="660"/>
      <c r="G4" s="661"/>
      <c r="I4" s="662" t="s">
        <v>702</v>
      </c>
      <c r="J4" s="663"/>
      <c r="K4" s="663"/>
      <c r="L4" s="664"/>
    </row>
    <row r="5" spans="1:12">
      <c r="A5" s="8" t="s">
        <v>7</v>
      </c>
      <c r="B5" s="9"/>
      <c r="C5" s="307" t="str">
        <f>INT((MONTH($B$2))/3)&amp;"Q"&amp;"-"&amp;YEAR($B$2)</f>
        <v>4Q-2023</v>
      </c>
      <c r="D5" s="307" t="str">
        <f>IF(INT(MONTH($B$2))=3, "4"&amp;"Q"&amp;"-"&amp;YEAR($B$2)-1, IF(INT(MONTH($B$2))=6, "1"&amp;"Q"&amp;"-"&amp;YEAR($B$2), IF(INT(MONTH($B$2))=9, "2"&amp;"Q"&amp;"-"&amp;YEAR($B$2),IF(INT(MONTH($B$2))=12, "3"&amp;"Q"&amp;"-"&amp;YEAR($B$2), 0))))</f>
        <v>3Q-2023</v>
      </c>
      <c r="E5" s="307" t="str">
        <f>IF(INT(MONTH($B$2))=3, "3"&amp;"Q"&amp;"-"&amp;YEAR($B$2)-1, IF(INT(MONTH($B$2))=6, "4"&amp;"Q"&amp;"-"&amp;YEAR($B$2)-1, IF(INT(MONTH($B$2))=9, "1"&amp;"Q"&amp;"-"&amp;YEAR($B$2),IF(INT(MONTH($B$2))=12, "2"&amp;"Q"&amp;"-"&amp;YEAR($B$2), 0))))</f>
        <v>2Q-2023</v>
      </c>
      <c r="F5" s="307" t="str">
        <f>IF(INT(MONTH($B$2))=3, "2"&amp;"Q"&amp;"-"&amp;YEAR($B$2)-1, IF(INT(MONTH($B$2))=6, "3"&amp;"Q"&amp;"-"&amp;YEAR($B$2)-1, IF(INT(MONTH($B$2))=9, "4"&amp;"Q"&amp;"-"&amp;YEAR($B$2)-1,IF(INT(MONTH($B$2))=12, "1"&amp;"Q"&amp;"-"&amp;YEAR($B$2), 0))))</f>
        <v>1Q-2023</v>
      </c>
      <c r="G5" s="308" t="str">
        <f>IF(INT(MONTH($B$2))=3, "1"&amp;"Q"&amp;"-"&amp;YEAR($B$2)-1, IF(INT(MONTH($B$2))=6, "2"&amp;"Q"&amp;"-"&amp;YEAR($B$2)-1, IF(INT(MONTH($B$2))=9, "3"&amp;"Q"&amp;"-"&amp;YEAR($B$2)-1,IF(INT(MONTH($B$2))=12, "4"&amp;"Q"&amp;"-"&amp;YEAR($B$2)-1, 0))))</f>
        <v>4Q-2022</v>
      </c>
      <c r="I5" s="461" t="s">
        <v>741</v>
      </c>
      <c r="J5" s="307" t="s">
        <v>742</v>
      </c>
      <c r="K5" s="307" t="s">
        <v>743</v>
      </c>
      <c r="L5" s="308" t="s">
        <v>744</v>
      </c>
    </row>
    <row r="6" spans="1:12">
      <c r="B6" s="131" t="s">
        <v>92</v>
      </c>
      <c r="C6" s="310"/>
      <c r="D6" s="310"/>
      <c r="E6" s="310"/>
      <c r="F6" s="310"/>
      <c r="G6" s="311"/>
      <c r="I6" s="608"/>
      <c r="J6" s="310"/>
      <c r="K6" s="310"/>
      <c r="L6" s="311"/>
    </row>
    <row r="7" spans="1:12">
      <c r="A7" s="10"/>
      <c r="B7" s="132" t="s">
        <v>90</v>
      </c>
      <c r="C7" s="310"/>
      <c r="D7" s="310"/>
      <c r="E7" s="310"/>
      <c r="F7" s="310"/>
      <c r="G7" s="311"/>
      <c r="I7" s="608"/>
      <c r="J7" s="310"/>
      <c r="K7" s="310"/>
      <c r="L7" s="311"/>
    </row>
    <row r="8" spans="1:12">
      <c r="A8" s="8">
        <v>1</v>
      </c>
      <c r="B8" s="11" t="s">
        <v>364</v>
      </c>
      <c r="C8" s="464">
        <v>106263156.75</v>
      </c>
      <c r="D8" s="465">
        <v>103075007</v>
      </c>
      <c r="E8" s="465">
        <v>95277301</v>
      </c>
      <c r="F8" s="465">
        <v>96566537</v>
      </c>
      <c r="G8" s="466">
        <v>96574008</v>
      </c>
      <c r="I8" s="609">
        <v>87824629</v>
      </c>
      <c r="J8" s="488">
        <v>88491639</v>
      </c>
      <c r="K8" s="488">
        <v>88477907</v>
      </c>
      <c r="L8" s="489">
        <v>87660852</v>
      </c>
    </row>
    <row r="9" spans="1:12">
      <c r="A9" s="8">
        <v>2</v>
      </c>
      <c r="B9" s="11" t="s">
        <v>365</v>
      </c>
      <c r="C9" s="464">
        <v>106263156.75</v>
      </c>
      <c r="D9" s="465">
        <v>103075007</v>
      </c>
      <c r="E9" s="465">
        <v>95277301</v>
      </c>
      <c r="F9" s="465">
        <v>96566537</v>
      </c>
      <c r="G9" s="466">
        <v>96574008</v>
      </c>
      <c r="I9" s="609">
        <v>87824629</v>
      </c>
      <c r="J9" s="488">
        <v>88491639</v>
      </c>
      <c r="K9" s="488">
        <v>88477907</v>
      </c>
      <c r="L9" s="489">
        <v>87660852</v>
      </c>
    </row>
    <row r="10" spans="1:12">
      <c r="A10" s="8">
        <v>3</v>
      </c>
      <c r="B10" s="11" t="s">
        <v>143</v>
      </c>
      <c r="C10" s="464">
        <v>122398083.75</v>
      </c>
      <c r="D10" s="465">
        <v>121827508</v>
      </c>
      <c r="E10" s="465">
        <v>113605502</v>
      </c>
      <c r="F10" s="465">
        <v>106816551</v>
      </c>
      <c r="G10" s="466">
        <v>107390887</v>
      </c>
      <c r="I10" s="609">
        <v>112222467</v>
      </c>
      <c r="J10" s="488">
        <v>104625415</v>
      </c>
      <c r="K10" s="488">
        <v>105517547</v>
      </c>
      <c r="L10" s="489">
        <v>110636092</v>
      </c>
    </row>
    <row r="11" spans="1:12">
      <c r="A11" s="8">
        <v>4</v>
      </c>
      <c r="B11" s="11" t="s">
        <v>367</v>
      </c>
      <c r="C11" s="464">
        <v>76073805.633599997</v>
      </c>
      <c r="D11" s="465">
        <v>66718155</v>
      </c>
      <c r="E11" s="465">
        <v>68009659</v>
      </c>
      <c r="F11" s="465">
        <v>66125948</v>
      </c>
      <c r="G11" s="466">
        <v>60156768</v>
      </c>
      <c r="I11" s="609">
        <v>61802243</v>
      </c>
      <c r="J11" s="488">
        <v>61033254</v>
      </c>
      <c r="K11" s="488">
        <v>60302979</v>
      </c>
      <c r="L11" s="489">
        <v>57248719</v>
      </c>
    </row>
    <row r="12" spans="1:12">
      <c r="A12" s="8">
        <v>5</v>
      </c>
      <c r="B12" s="11" t="s">
        <v>368</v>
      </c>
      <c r="C12" s="464">
        <v>93389988.243100002</v>
      </c>
      <c r="D12" s="465">
        <v>82763859</v>
      </c>
      <c r="E12" s="465">
        <v>84380756</v>
      </c>
      <c r="F12" s="465">
        <v>82313059</v>
      </c>
      <c r="G12" s="466">
        <v>74175773</v>
      </c>
      <c r="I12" s="609">
        <v>78040490</v>
      </c>
      <c r="J12" s="488">
        <v>77133569</v>
      </c>
      <c r="K12" s="488">
        <v>75808433</v>
      </c>
      <c r="L12" s="489">
        <v>71972490</v>
      </c>
    </row>
    <row r="13" spans="1:12">
      <c r="A13" s="8">
        <v>6</v>
      </c>
      <c r="B13" s="11" t="s">
        <v>366</v>
      </c>
      <c r="C13" s="464">
        <v>116341267.5662</v>
      </c>
      <c r="D13" s="465">
        <v>104015484</v>
      </c>
      <c r="E13" s="465">
        <v>106063565</v>
      </c>
      <c r="F13" s="465">
        <v>103750673</v>
      </c>
      <c r="G13" s="466">
        <v>99426473</v>
      </c>
      <c r="I13" s="609">
        <v>99548870</v>
      </c>
      <c r="J13" s="488">
        <v>98456762</v>
      </c>
      <c r="K13" s="488">
        <v>103025006</v>
      </c>
      <c r="L13" s="489">
        <v>97868984</v>
      </c>
    </row>
    <row r="14" spans="1:12">
      <c r="A14" s="10"/>
      <c r="B14" s="131" t="s">
        <v>370</v>
      </c>
      <c r="C14" s="200"/>
      <c r="D14" s="200"/>
      <c r="E14" s="200"/>
      <c r="F14" s="200"/>
      <c r="G14" s="467"/>
      <c r="I14" s="608"/>
      <c r="J14" s="200"/>
      <c r="K14" s="200"/>
      <c r="L14" s="467"/>
    </row>
    <row r="15" spans="1:12" ht="15" customHeight="1">
      <c r="A15" s="8">
        <v>7</v>
      </c>
      <c r="B15" s="11" t="s">
        <v>369</v>
      </c>
      <c r="C15" s="468">
        <v>586989241</v>
      </c>
      <c r="D15" s="465">
        <v>527653671</v>
      </c>
      <c r="E15" s="465">
        <v>539187233</v>
      </c>
      <c r="F15" s="465">
        <v>527378947</v>
      </c>
      <c r="G15" s="466">
        <v>555258146</v>
      </c>
      <c r="I15" s="609">
        <v>540613910</v>
      </c>
      <c r="J15" s="488">
        <v>526559582</v>
      </c>
      <c r="K15" s="488">
        <v>556152868</v>
      </c>
      <c r="L15" s="489">
        <v>527486562</v>
      </c>
    </row>
    <row r="16" spans="1:12">
      <c r="A16" s="10"/>
      <c r="B16" s="131" t="s">
        <v>371</v>
      </c>
      <c r="C16" s="200"/>
      <c r="D16" s="200"/>
      <c r="E16" s="200"/>
      <c r="F16" s="200"/>
      <c r="G16" s="467"/>
      <c r="I16" s="608"/>
      <c r="J16" s="200"/>
      <c r="K16" s="200"/>
      <c r="L16" s="467"/>
    </row>
    <row r="17" spans="1:12">
      <c r="A17" s="8"/>
      <c r="B17" s="132" t="s">
        <v>355</v>
      </c>
      <c r="C17" s="200"/>
      <c r="D17" s="200"/>
      <c r="E17" s="200"/>
      <c r="F17" s="200"/>
      <c r="G17" s="467"/>
      <c r="I17" s="608"/>
      <c r="J17" s="200"/>
      <c r="K17" s="200"/>
      <c r="L17" s="467"/>
    </row>
    <row r="18" spans="1:12">
      <c r="A18" s="8">
        <v>8</v>
      </c>
      <c r="B18" s="11" t="s">
        <v>364</v>
      </c>
      <c r="C18" s="469">
        <v>0.18103084235235584</v>
      </c>
      <c r="D18" s="470">
        <v>0.19500000000000001</v>
      </c>
      <c r="E18" s="470">
        <v>0.17699999999999999</v>
      </c>
      <c r="F18" s="470">
        <v>0.183</v>
      </c>
      <c r="G18" s="471">
        <v>0.17399999999999999</v>
      </c>
      <c r="I18" s="610">
        <v>0.16245351413372641</v>
      </c>
      <c r="J18" s="470">
        <v>0.16805626941280982</v>
      </c>
      <c r="K18" s="470">
        <v>0.15908918601725588</v>
      </c>
      <c r="L18" s="471">
        <v>0.16618594422038155</v>
      </c>
    </row>
    <row r="19" spans="1:12" ht="15" customHeight="1">
      <c r="A19" s="8">
        <v>9</v>
      </c>
      <c r="B19" s="11" t="s">
        <v>365</v>
      </c>
      <c r="C19" s="469">
        <v>0.18103084235235584</v>
      </c>
      <c r="D19" s="470">
        <v>0.19500000000000001</v>
      </c>
      <c r="E19" s="470">
        <v>0.17699999999999999</v>
      </c>
      <c r="F19" s="470">
        <v>0.183</v>
      </c>
      <c r="G19" s="471">
        <v>0.17399999999999999</v>
      </c>
      <c r="I19" s="610">
        <v>0.16245351413372641</v>
      </c>
      <c r="J19" s="470">
        <v>0.16805626941280982</v>
      </c>
      <c r="K19" s="470">
        <v>0.15908918601725588</v>
      </c>
      <c r="L19" s="471">
        <v>0.16618594422038155</v>
      </c>
    </row>
    <row r="20" spans="1:12">
      <c r="A20" s="8">
        <v>10</v>
      </c>
      <c r="B20" s="11" t="s">
        <v>143</v>
      </c>
      <c r="C20" s="469">
        <v>0.20851844497436028</v>
      </c>
      <c r="D20" s="470">
        <v>0.23100000000000001</v>
      </c>
      <c r="E20" s="470">
        <v>0.21099999999999999</v>
      </c>
      <c r="F20" s="470">
        <v>0.20300000000000001</v>
      </c>
      <c r="G20" s="471">
        <v>0.193</v>
      </c>
      <c r="I20" s="610">
        <v>0.20758338823705996</v>
      </c>
      <c r="J20" s="470">
        <v>0.19869625201350843</v>
      </c>
      <c r="K20" s="470">
        <v>0.18972759681665935</v>
      </c>
      <c r="L20" s="471">
        <v>0.20974201077539067</v>
      </c>
    </row>
    <row r="21" spans="1:12">
      <c r="A21" s="8">
        <v>11</v>
      </c>
      <c r="B21" s="11" t="s">
        <v>367</v>
      </c>
      <c r="C21" s="469">
        <v>0.12959999999999999</v>
      </c>
      <c r="D21" s="470">
        <v>0.126</v>
      </c>
      <c r="E21" s="470">
        <v>0.126</v>
      </c>
      <c r="F21" s="470">
        <v>0.125</v>
      </c>
      <c r="G21" s="471">
        <v>0.108</v>
      </c>
      <c r="I21" s="610">
        <v>0.11431863287110636</v>
      </c>
      <c r="J21" s="470">
        <v>0.1159094925449428</v>
      </c>
      <c r="K21" s="470">
        <v>0.10842878318166184</v>
      </c>
      <c r="L21" s="471">
        <v>0.10853114127765388</v>
      </c>
    </row>
    <row r="22" spans="1:12">
      <c r="A22" s="8">
        <v>12</v>
      </c>
      <c r="B22" s="11" t="s">
        <v>368</v>
      </c>
      <c r="C22" s="469">
        <v>0.15909999999999999</v>
      </c>
      <c r="D22" s="470">
        <v>0.157</v>
      </c>
      <c r="E22" s="470">
        <v>0.156</v>
      </c>
      <c r="F22" s="470">
        <v>0.156</v>
      </c>
      <c r="G22" s="471">
        <v>0.13400000000000001</v>
      </c>
      <c r="I22" s="610">
        <v>0.144355311880946</v>
      </c>
      <c r="J22" s="470">
        <v>0.14648592751554837</v>
      </c>
      <c r="K22" s="470">
        <v>0.13630862467418159</v>
      </c>
      <c r="L22" s="471">
        <v>0.13644421521871822</v>
      </c>
    </row>
    <row r="23" spans="1:12">
      <c r="A23" s="8">
        <v>13</v>
      </c>
      <c r="B23" s="11" t="s">
        <v>366</v>
      </c>
      <c r="C23" s="469">
        <v>0.19820000000000002</v>
      </c>
      <c r="D23" s="470">
        <v>0.19700000000000001</v>
      </c>
      <c r="E23" s="470">
        <v>0.19700000000000001</v>
      </c>
      <c r="F23" s="470">
        <v>0.19700000000000001</v>
      </c>
      <c r="G23" s="471">
        <v>0.17899999999999999</v>
      </c>
      <c r="I23" s="610">
        <v>0.18414041584126134</v>
      </c>
      <c r="J23" s="470">
        <v>0.18698123668739786</v>
      </c>
      <c r="K23" s="470">
        <v>0.18524584205953121</v>
      </c>
      <c r="L23" s="471">
        <v>0.18553834505938346</v>
      </c>
    </row>
    <row r="24" spans="1:12">
      <c r="A24" s="10"/>
      <c r="B24" s="131" t="s">
        <v>89</v>
      </c>
      <c r="C24" s="472"/>
      <c r="D24" s="472"/>
      <c r="E24" s="472"/>
      <c r="F24" s="472"/>
      <c r="G24" s="473"/>
      <c r="I24" s="611"/>
      <c r="J24" s="200"/>
      <c r="K24" s="200"/>
      <c r="L24" s="467"/>
    </row>
    <row r="25" spans="1:12" ht="15" customHeight="1">
      <c r="A25" s="312">
        <v>14</v>
      </c>
      <c r="B25" s="11" t="s">
        <v>88</v>
      </c>
      <c r="C25" s="474">
        <v>0.1029718580022862</v>
      </c>
      <c r="D25" s="475">
        <v>0.10100000000000001</v>
      </c>
      <c r="E25" s="475">
        <v>0.1026</v>
      </c>
      <c r="F25" s="475">
        <v>0.10100000000000001</v>
      </c>
      <c r="G25" s="476">
        <v>8.7999999999999995E-2</v>
      </c>
      <c r="I25" s="612">
        <v>0.10256357623822665</v>
      </c>
      <c r="J25" s="475">
        <v>0.10235494456687519</v>
      </c>
      <c r="K25" s="475">
        <v>8.6525638389761392E-2</v>
      </c>
      <c r="L25" s="476">
        <v>8.4228865429812796E-2</v>
      </c>
    </row>
    <row r="26" spans="1:12">
      <c r="A26" s="312">
        <v>15</v>
      </c>
      <c r="B26" s="11" t="s">
        <v>87</v>
      </c>
      <c r="C26" s="474">
        <v>3.6874556383449358E-2</v>
      </c>
      <c r="D26" s="475">
        <v>3.6999999999999998E-2</v>
      </c>
      <c r="E26" s="475">
        <v>3.7900000000000003E-2</v>
      </c>
      <c r="F26" s="475">
        <v>3.6999999999999998E-2</v>
      </c>
      <c r="G26" s="476">
        <v>3.4000000000000002E-2</v>
      </c>
      <c r="I26" s="612">
        <v>3.7994425979908028E-2</v>
      </c>
      <c r="J26" s="475">
        <v>3.7532018029406262E-2</v>
      </c>
      <c r="K26" s="475">
        <v>3.4099787960085531E-2</v>
      </c>
      <c r="L26" s="476">
        <v>3.4044179814285279E-2</v>
      </c>
    </row>
    <row r="27" spans="1:12">
      <c r="A27" s="312">
        <v>16</v>
      </c>
      <c r="B27" s="11" t="s">
        <v>86</v>
      </c>
      <c r="C27" s="474">
        <v>9.050897338271139E-3</v>
      </c>
      <c r="D27" s="475">
        <v>1.2999999999999999E-2</v>
      </c>
      <c r="E27" s="475">
        <v>6.8999999999999999E-3</v>
      </c>
      <c r="F27" s="475">
        <v>1E-3</v>
      </c>
      <c r="G27" s="476">
        <v>7.0000000000000001E-3</v>
      </c>
      <c r="I27" s="612">
        <v>4.2973653941530644E-3</v>
      </c>
      <c r="J27" s="475">
        <v>1.1643563805097738E-2</v>
      </c>
      <c r="K27" s="475">
        <v>4.8701276203161181E-3</v>
      </c>
      <c r="L27" s="476">
        <v>1.726384309507507E-2</v>
      </c>
    </row>
    <row r="28" spans="1:12">
      <c r="A28" s="312">
        <v>17</v>
      </c>
      <c r="B28" s="11" t="s">
        <v>85</v>
      </c>
      <c r="C28" s="474">
        <v>6.609730161883684E-2</v>
      </c>
      <c r="D28" s="475">
        <v>6.5000000000000002E-2</v>
      </c>
      <c r="E28" s="475">
        <v>6.4600000000000005E-2</v>
      </c>
      <c r="F28" s="475">
        <v>6.3E-2</v>
      </c>
      <c r="G28" s="476">
        <v>5.2999999999999999E-2</v>
      </c>
      <c r="I28" s="612">
        <v>6.4569150258318608E-2</v>
      </c>
      <c r="J28" s="475">
        <v>6.4822926537468933E-2</v>
      </c>
      <c r="K28" s="475">
        <v>5.242585042967586E-2</v>
      </c>
      <c r="L28" s="476">
        <v>5.0184685615527518E-2</v>
      </c>
    </row>
    <row r="29" spans="1:12">
      <c r="A29" s="312">
        <v>18</v>
      </c>
      <c r="B29" s="11" t="s">
        <v>167</v>
      </c>
      <c r="C29" s="474">
        <v>3.2821617664279441E-3</v>
      </c>
      <c r="D29" s="475">
        <v>-3.0000000000000001E-3</v>
      </c>
      <c r="E29" s="475">
        <v>-4.8999999999999998E-3</v>
      </c>
      <c r="F29" s="475">
        <v>3.0000000000000001E-3</v>
      </c>
      <c r="G29" s="476">
        <v>-4.0000000000000001E-3</v>
      </c>
      <c r="I29" s="612">
        <v>-3.0991610948939612E-3</v>
      </c>
      <c r="J29" s="475">
        <v>1.4569543027092987E-3</v>
      </c>
      <c r="K29" s="475">
        <v>-4.3597095235026672E-3</v>
      </c>
      <c r="L29" s="476">
        <v>-1.0007280987613719E-2</v>
      </c>
    </row>
    <row r="30" spans="1:12">
      <c r="A30" s="312">
        <v>19</v>
      </c>
      <c r="B30" s="11" t="s">
        <v>168</v>
      </c>
      <c r="C30" s="474">
        <v>1.6209342514036738E-2</v>
      </c>
      <c r="D30" s="475">
        <v>-1.4E-2</v>
      </c>
      <c r="E30" s="475">
        <v>-2.4799999999999999E-2</v>
      </c>
      <c r="F30" s="475">
        <v>1.2999999999999999E-2</v>
      </c>
      <c r="G30" s="476">
        <v>-2.1999999999999999E-2</v>
      </c>
      <c r="I30" s="612">
        <v>-1.7013167111241938E-2</v>
      </c>
      <c r="J30" s="475">
        <v>8.0226512484763892E-3</v>
      </c>
      <c r="K30" s="475">
        <v>-2.4343319967253793E-2</v>
      </c>
      <c r="L30" s="476">
        <v>-5.5421096838092446E-2</v>
      </c>
    </row>
    <row r="31" spans="1:12">
      <c r="A31" s="10"/>
      <c r="B31" s="131" t="s">
        <v>230</v>
      </c>
      <c r="C31" s="472"/>
      <c r="D31" s="472"/>
      <c r="E31" s="472"/>
      <c r="F31" s="472"/>
      <c r="G31" s="473"/>
      <c r="I31" s="611"/>
      <c r="J31" s="200"/>
      <c r="K31" s="200"/>
      <c r="L31" s="467"/>
    </row>
    <row r="32" spans="1:12">
      <c r="A32" s="312">
        <v>20</v>
      </c>
      <c r="B32" s="11" t="s">
        <v>84</v>
      </c>
      <c r="C32" s="474">
        <v>8.5460599254732636E-2</v>
      </c>
      <c r="D32" s="475">
        <v>0.113</v>
      </c>
      <c r="E32" s="475">
        <v>0.13900000000000001</v>
      </c>
      <c r="F32" s="475">
        <v>8.8999999999999996E-2</v>
      </c>
      <c r="G32" s="476">
        <v>8.8999999999999996E-2</v>
      </c>
      <c r="I32" s="612">
        <v>0.12305396058569186</v>
      </c>
      <c r="J32" s="475">
        <v>0.11109840219232105</v>
      </c>
      <c r="K32" s="475">
        <v>0.10365853663361817</v>
      </c>
      <c r="L32" s="476">
        <v>0.10850752803513937</v>
      </c>
    </row>
    <row r="33" spans="1:12" ht="15" customHeight="1">
      <c r="A33" s="312">
        <v>21</v>
      </c>
      <c r="B33" s="11" t="s">
        <v>712</v>
      </c>
      <c r="C33" s="474">
        <v>4.5988968937092173E-2</v>
      </c>
      <c r="D33" s="475">
        <v>5.6000000000000001E-2</v>
      </c>
      <c r="E33" s="475">
        <v>5.6000000000000001E-2</v>
      </c>
      <c r="F33" s="475">
        <v>5.0999999999999997E-2</v>
      </c>
      <c r="G33" s="476">
        <v>4.5999999999999999E-2</v>
      </c>
      <c r="I33" s="612">
        <v>6.3437418494149966E-2</v>
      </c>
      <c r="J33" s="475">
        <v>6.2130383296112694E-2</v>
      </c>
      <c r="K33" s="475">
        <v>5.8466722981379594E-2</v>
      </c>
      <c r="L33" s="476">
        <v>5.9119048073234912E-2</v>
      </c>
    </row>
    <row r="34" spans="1:12">
      <c r="A34" s="312">
        <v>22</v>
      </c>
      <c r="B34" s="11" t="s">
        <v>83</v>
      </c>
      <c r="C34" s="474">
        <v>0.55481183946518031</v>
      </c>
      <c r="D34" s="475">
        <v>0.54800000000000004</v>
      </c>
      <c r="E34" s="475">
        <v>0.58299999999999996</v>
      </c>
      <c r="F34" s="475">
        <v>0.59699999999999998</v>
      </c>
      <c r="G34" s="476">
        <v>0.58899999999999997</v>
      </c>
      <c r="I34" s="612">
        <v>0.5815302116058515</v>
      </c>
      <c r="J34" s="475">
        <v>0.5956343286826784</v>
      </c>
      <c r="K34" s="475">
        <v>0.5878351843956735</v>
      </c>
      <c r="L34" s="476">
        <v>0.56270379466958187</v>
      </c>
    </row>
    <row r="35" spans="1:12" ht="15" customHeight="1">
      <c r="A35" s="312">
        <v>23</v>
      </c>
      <c r="B35" s="11" t="s">
        <v>82</v>
      </c>
      <c r="C35" s="474">
        <v>0.53661231896875505</v>
      </c>
      <c r="D35" s="475">
        <v>0.52800000000000002</v>
      </c>
      <c r="E35" s="475">
        <v>0.58099999999999996</v>
      </c>
      <c r="F35" s="475">
        <v>0.56599999999999995</v>
      </c>
      <c r="G35" s="476">
        <v>0.57399999999999995</v>
      </c>
      <c r="I35" s="612">
        <v>0.57386967660879895</v>
      </c>
      <c r="J35" s="475">
        <v>0.55732940567797962</v>
      </c>
      <c r="K35" s="475">
        <v>0.56510842233374814</v>
      </c>
      <c r="L35" s="476">
        <v>0.61945797347649822</v>
      </c>
    </row>
    <row r="36" spans="1:12">
      <c r="A36" s="312">
        <v>24</v>
      </c>
      <c r="B36" s="11" t="s">
        <v>81</v>
      </c>
      <c r="C36" s="474">
        <v>-4.1541500515706931E-2</v>
      </c>
      <c r="D36" s="475">
        <v>-9.4E-2</v>
      </c>
      <c r="E36" s="475">
        <v>-7.0000000000000007E-2</v>
      </c>
      <c r="F36" s="475">
        <v>-0.08</v>
      </c>
      <c r="G36" s="476">
        <v>0.19800000000000001</v>
      </c>
      <c r="I36" s="612">
        <v>-7.2870157654799317E-2</v>
      </c>
      <c r="J36" s="475">
        <v>-8.0455559228649443E-2</v>
      </c>
      <c r="K36" s="475">
        <v>0.18940637248896119</v>
      </c>
      <c r="L36" s="476">
        <v>0.14896372612854281</v>
      </c>
    </row>
    <row r="37" spans="1:12" ht="15" customHeight="1">
      <c r="A37" s="10"/>
      <c r="B37" s="131" t="s">
        <v>231</v>
      </c>
      <c r="C37" s="472"/>
      <c r="D37" s="472"/>
      <c r="E37" s="472"/>
      <c r="F37" s="472"/>
      <c r="G37" s="473"/>
      <c r="I37" s="611"/>
      <c r="J37" s="200"/>
      <c r="K37" s="200"/>
      <c r="L37" s="467"/>
    </row>
    <row r="38" spans="1:12" ht="15" customHeight="1">
      <c r="A38" s="312">
        <v>25</v>
      </c>
      <c r="B38" s="11" t="s">
        <v>80</v>
      </c>
      <c r="C38" s="474">
        <v>0.16579206660802059</v>
      </c>
      <c r="D38" s="474">
        <v>0.17599999999999999</v>
      </c>
      <c r="E38" s="474">
        <v>0.184</v>
      </c>
      <c r="F38" s="474">
        <v>0.21199999999999999</v>
      </c>
      <c r="G38" s="477">
        <v>0.158</v>
      </c>
      <c r="I38" s="613">
        <v>0.18602988886019331</v>
      </c>
      <c r="J38" s="474">
        <v>0.23769833666678059</v>
      </c>
      <c r="K38" s="474">
        <v>0.1112326463510379</v>
      </c>
      <c r="L38" s="477">
        <v>9.092058512649806E-2</v>
      </c>
    </row>
    <row r="39" spans="1:12" ht="15" customHeight="1">
      <c r="A39" s="312">
        <v>26</v>
      </c>
      <c r="B39" s="11" t="s">
        <v>79</v>
      </c>
      <c r="C39" s="474">
        <v>0.65975765565942257</v>
      </c>
      <c r="D39" s="474">
        <v>0.72299999999999998</v>
      </c>
      <c r="E39" s="474">
        <v>0.77900000000000003</v>
      </c>
      <c r="F39" s="474">
        <v>0.71599999999999997</v>
      </c>
      <c r="G39" s="477">
        <v>0.69699999999999995</v>
      </c>
      <c r="I39" s="613">
        <v>0.77651731122601209</v>
      </c>
      <c r="J39" s="474">
        <v>0.71475708600979515</v>
      </c>
      <c r="K39" s="474">
        <v>0.69524091169435864</v>
      </c>
      <c r="L39" s="477">
        <v>0.78335659164733862</v>
      </c>
    </row>
    <row r="40" spans="1:12" ht="15" customHeight="1">
      <c r="A40" s="312">
        <v>27</v>
      </c>
      <c r="B40" s="11" t="s">
        <v>78</v>
      </c>
      <c r="C40" s="474">
        <v>0.20576556663922385</v>
      </c>
      <c r="D40" s="474">
        <v>0.185</v>
      </c>
      <c r="E40" s="474">
        <v>0.193</v>
      </c>
      <c r="F40" s="474">
        <v>0.217</v>
      </c>
      <c r="G40" s="477">
        <v>0.16500000000000001</v>
      </c>
      <c r="I40" s="613">
        <v>0.19486617093851705</v>
      </c>
      <c r="J40" s="474">
        <v>0.21945829950151949</v>
      </c>
      <c r="K40" s="474">
        <v>0.16729635666426002</v>
      </c>
      <c r="L40" s="477">
        <v>0.11871674513141937</v>
      </c>
    </row>
    <row r="41" spans="1:12" ht="15" customHeight="1">
      <c r="A41" s="313"/>
      <c r="B41" s="131" t="s">
        <v>272</v>
      </c>
      <c r="C41" s="200"/>
      <c r="D41" s="200"/>
      <c r="E41" s="200"/>
      <c r="F41" s="200"/>
      <c r="G41" s="467"/>
      <c r="I41" s="608"/>
      <c r="J41" s="200"/>
      <c r="K41" s="200"/>
      <c r="L41" s="467"/>
    </row>
    <row r="42" spans="1:12">
      <c r="A42" s="312">
        <v>28</v>
      </c>
      <c r="B42" s="11" t="s">
        <v>255</v>
      </c>
      <c r="C42" s="478">
        <v>140516860.76185107</v>
      </c>
      <c r="D42" s="478">
        <v>146365839</v>
      </c>
      <c r="E42" s="478">
        <v>145326888</v>
      </c>
      <c r="F42" s="478">
        <v>150913136</v>
      </c>
      <c r="G42" s="479">
        <v>117762904</v>
      </c>
      <c r="I42" s="651">
        <v>145340712.40333334</v>
      </c>
      <c r="J42" s="490">
        <v>146847569.38055551</v>
      </c>
      <c r="K42" s="490">
        <v>126443044.30847825</v>
      </c>
      <c r="L42" s="491">
        <v>92427257.627692327</v>
      </c>
    </row>
    <row r="43" spans="1:12" ht="15" customHeight="1">
      <c r="A43" s="312">
        <v>29</v>
      </c>
      <c r="B43" s="11" t="s">
        <v>267</v>
      </c>
      <c r="C43" s="478">
        <v>75674277.716746137</v>
      </c>
      <c r="D43" s="480">
        <v>72376479</v>
      </c>
      <c r="E43" s="480">
        <v>89904544</v>
      </c>
      <c r="F43" s="480">
        <v>68046298</v>
      </c>
      <c r="G43" s="481">
        <v>68427424</v>
      </c>
      <c r="I43" s="652">
        <v>88673995.942166686</v>
      </c>
      <c r="J43" s="492">
        <v>68883813.634269446</v>
      </c>
      <c r="K43" s="492">
        <v>79541168.508703813</v>
      </c>
      <c r="L43" s="493">
        <v>41989157.235059902</v>
      </c>
    </row>
    <row r="44" spans="1:12" ht="15" customHeight="1">
      <c r="A44" s="341">
        <v>30</v>
      </c>
      <c r="B44" s="342" t="s">
        <v>256</v>
      </c>
      <c r="C44" s="474">
        <v>1.8568642476881649</v>
      </c>
      <c r="D44" s="474">
        <v>2.0219999999999998</v>
      </c>
      <c r="E44" s="474">
        <v>1.6160000000000001</v>
      </c>
      <c r="F44" s="474">
        <v>2.218</v>
      </c>
      <c r="G44" s="477">
        <v>1.7210000000000001</v>
      </c>
      <c r="I44" s="653">
        <v>1.6416332641569344</v>
      </c>
      <c r="J44" s="474">
        <v>2.1318153225404375</v>
      </c>
      <c r="K44" s="474">
        <v>1.5896553530596196</v>
      </c>
      <c r="L44" s="477">
        <v>2.2012172597386135</v>
      </c>
    </row>
    <row r="45" spans="1:12" ht="15" customHeight="1">
      <c r="A45" s="341"/>
      <c r="B45" s="131" t="s">
        <v>374</v>
      </c>
      <c r="C45" s="200"/>
      <c r="D45" s="200"/>
      <c r="E45" s="200"/>
      <c r="F45" s="200"/>
      <c r="G45" s="467"/>
      <c r="I45" s="608"/>
      <c r="J45" s="200"/>
      <c r="K45" s="200"/>
      <c r="L45" s="467"/>
    </row>
    <row r="46" spans="1:12" ht="15" customHeight="1">
      <c r="A46" s="341">
        <v>31</v>
      </c>
      <c r="B46" s="342" t="s">
        <v>381</v>
      </c>
      <c r="C46" s="482">
        <v>396941166.57811999</v>
      </c>
      <c r="D46" s="483">
        <v>327923475</v>
      </c>
      <c r="E46" s="483">
        <v>353339315</v>
      </c>
      <c r="F46" s="483">
        <v>359791586</v>
      </c>
      <c r="G46" s="484">
        <v>382858081</v>
      </c>
      <c r="I46" s="614">
        <v>345886643.59276003</v>
      </c>
      <c r="J46" s="483">
        <v>351716687.55969501</v>
      </c>
      <c r="K46" s="483">
        <v>374610446.03832996</v>
      </c>
      <c r="L46" s="484">
        <v>357523300.59996003</v>
      </c>
    </row>
    <row r="47" spans="1:12" ht="15" customHeight="1">
      <c r="A47" s="341">
        <v>32</v>
      </c>
      <c r="B47" s="342" t="s">
        <v>396</v>
      </c>
      <c r="C47" s="482">
        <v>320925453.52252972</v>
      </c>
      <c r="D47" s="483">
        <v>293297718</v>
      </c>
      <c r="E47" s="483">
        <v>302708247</v>
      </c>
      <c r="F47" s="483">
        <v>282123107</v>
      </c>
      <c r="G47" s="484">
        <v>292723792</v>
      </c>
      <c r="I47" s="614">
        <v>297613683.15534997</v>
      </c>
      <c r="J47" s="483">
        <v>276394224.31469995</v>
      </c>
      <c r="K47" s="483">
        <v>287598577.30392998</v>
      </c>
      <c r="L47" s="484">
        <v>298230165.79697502</v>
      </c>
    </row>
    <row r="48" spans="1:12" ht="14.4" thickBot="1">
      <c r="A48" s="314">
        <v>33</v>
      </c>
      <c r="B48" s="133" t="s">
        <v>414</v>
      </c>
      <c r="C48" s="485">
        <v>1.2368640823631454</v>
      </c>
      <c r="D48" s="486">
        <v>1.1180000000000001</v>
      </c>
      <c r="E48" s="486">
        <v>1.167</v>
      </c>
      <c r="F48" s="486">
        <v>1.2749999999999999</v>
      </c>
      <c r="G48" s="487">
        <v>1.3080000000000001</v>
      </c>
      <c r="I48" s="615">
        <v>1.1622000706607709</v>
      </c>
      <c r="J48" s="486">
        <v>1.2725182244012219</v>
      </c>
      <c r="K48" s="486">
        <v>1.3025462418836902</v>
      </c>
      <c r="L48" s="487">
        <v>1.1988166912778024</v>
      </c>
    </row>
    <row r="49" spans="1:2">
      <c r="A49" s="12"/>
    </row>
    <row r="50" spans="1:2" ht="39.6">
      <c r="B50" s="192" t="s">
        <v>709</v>
      </c>
    </row>
    <row r="51" spans="1:2" ht="52.8">
      <c r="B51" s="192" t="s">
        <v>271</v>
      </c>
    </row>
    <row r="53" spans="1:2" ht="14.4">
      <c r="B53" s="191"/>
    </row>
  </sheetData>
  <mergeCells count="2">
    <mergeCell ref="D4:G4"/>
    <mergeCell ref="I4:L4"/>
  </mergeCells>
  <pageMargins left="0.7" right="0.7" top="0.75" bottom="0.75" header="0.3" footer="0.3"/>
  <pageSetup paperSize="9" scale="3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heetViews>
  <sheetFormatPr defaultColWidth="9.21875" defaultRowHeight="12"/>
  <cols>
    <col min="1" max="1" width="11.77734375" style="345" bestFit="1" customWidth="1"/>
    <col min="2" max="2" width="105.21875" style="345" bestFit="1" customWidth="1"/>
    <col min="3" max="4" width="14.109375" style="345" bestFit="1" customWidth="1"/>
    <col min="5" max="5" width="17.44140625" style="345" bestFit="1" customWidth="1"/>
    <col min="6" max="6" width="15.109375" style="345" bestFit="1" customWidth="1"/>
    <col min="7" max="7" width="19.6640625" style="345" customWidth="1"/>
    <col min="8" max="8" width="18.77734375" style="345" customWidth="1"/>
    <col min="9" max="16384" width="9.21875" style="345"/>
  </cols>
  <sheetData>
    <row r="1" spans="1:8" ht="13.8">
      <c r="A1" s="343" t="s">
        <v>31</v>
      </c>
      <c r="B1" s="386" t="str">
        <f>'Info '!C2</f>
        <v>JSC PASHA Bank Georgia</v>
      </c>
    </row>
    <row r="2" spans="1:8">
      <c r="A2" s="343" t="s">
        <v>32</v>
      </c>
      <c r="B2" s="385">
        <f>'1. key ratios '!B2</f>
        <v>45291</v>
      </c>
    </row>
    <row r="3" spans="1:8">
      <c r="A3" s="344" t="s">
        <v>417</v>
      </c>
    </row>
    <row r="5" spans="1:8" ht="12" customHeight="1">
      <c r="A5" s="720" t="s">
        <v>418</v>
      </c>
      <c r="B5" s="721"/>
      <c r="C5" s="726" t="s">
        <v>419</v>
      </c>
      <c r="D5" s="727"/>
      <c r="E5" s="727"/>
      <c r="F5" s="727"/>
      <c r="G5" s="727"/>
      <c r="H5" s="728"/>
    </row>
    <row r="6" spans="1:8">
      <c r="A6" s="722"/>
      <c r="B6" s="723"/>
      <c r="C6" s="729"/>
      <c r="D6" s="730"/>
      <c r="E6" s="730"/>
      <c r="F6" s="730"/>
      <c r="G6" s="730"/>
      <c r="H6" s="731"/>
    </row>
    <row r="7" spans="1:8">
      <c r="A7" s="724"/>
      <c r="B7" s="725"/>
      <c r="C7" s="384" t="s">
        <v>420</v>
      </c>
      <c r="D7" s="384" t="s">
        <v>421</v>
      </c>
      <c r="E7" s="384" t="s">
        <v>422</v>
      </c>
      <c r="F7" s="384" t="s">
        <v>423</v>
      </c>
      <c r="G7" s="384" t="s">
        <v>424</v>
      </c>
      <c r="H7" s="384" t="s">
        <v>65</v>
      </c>
    </row>
    <row r="8" spans="1:8">
      <c r="A8" s="380">
        <v>1</v>
      </c>
      <c r="B8" s="379" t="s">
        <v>52</v>
      </c>
      <c r="C8" s="591">
        <v>3439629.1376999998</v>
      </c>
      <c r="D8" s="591"/>
      <c r="E8" s="591">
        <v>5469399.9699999997</v>
      </c>
      <c r="F8" s="591"/>
      <c r="G8" s="591">
        <v>27786684.1833</v>
      </c>
      <c r="H8" s="590">
        <f t="shared" ref="H8:H21" si="0">SUM(C8:G8)</f>
        <v>36695713.291000001</v>
      </c>
    </row>
    <row r="9" spans="1:8">
      <c r="A9" s="380">
        <v>2</v>
      </c>
      <c r="B9" s="379" t="s">
        <v>53</v>
      </c>
      <c r="C9" s="591"/>
      <c r="D9" s="591"/>
      <c r="E9" s="591"/>
      <c r="F9" s="591"/>
      <c r="G9" s="591"/>
      <c r="H9" s="590">
        <f t="shared" si="0"/>
        <v>0</v>
      </c>
    </row>
    <row r="10" spans="1:8">
      <c r="A10" s="380">
        <v>3</v>
      </c>
      <c r="B10" s="379" t="s">
        <v>165</v>
      </c>
      <c r="C10" s="591"/>
      <c r="D10" s="591"/>
      <c r="E10" s="591"/>
      <c r="F10" s="591"/>
      <c r="G10" s="591"/>
      <c r="H10" s="590">
        <f t="shared" si="0"/>
        <v>0</v>
      </c>
    </row>
    <row r="11" spans="1:8">
      <c r="A11" s="380">
        <v>4</v>
      </c>
      <c r="B11" s="379" t="s">
        <v>54</v>
      </c>
      <c r="C11" s="591"/>
      <c r="D11" s="591"/>
      <c r="E11" s="591"/>
      <c r="F11" s="591"/>
      <c r="G11" s="591"/>
      <c r="H11" s="590">
        <f t="shared" si="0"/>
        <v>0</v>
      </c>
    </row>
    <row r="12" spans="1:8">
      <c r="A12" s="380">
        <v>5</v>
      </c>
      <c r="B12" s="379" t="s">
        <v>55</v>
      </c>
      <c r="C12" s="591"/>
      <c r="D12" s="591"/>
      <c r="E12" s="591"/>
      <c r="F12" s="591"/>
      <c r="G12" s="591"/>
      <c r="H12" s="590">
        <f t="shared" si="0"/>
        <v>0</v>
      </c>
    </row>
    <row r="13" spans="1:8">
      <c r="A13" s="380">
        <v>6</v>
      </c>
      <c r="B13" s="379" t="s">
        <v>56</v>
      </c>
      <c r="C13" s="591">
        <v>24073457.335500002</v>
      </c>
      <c r="D13" s="591">
        <v>43603690.377599999</v>
      </c>
      <c r="E13" s="591"/>
      <c r="F13" s="591"/>
      <c r="G13" s="591"/>
      <c r="H13" s="590">
        <f t="shared" si="0"/>
        <v>67677147.713100001</v>
      </c>
    </row>
    <row r="14" spans="1:8">
      <c r="A14" s="380">
        <v>7</v>
      </c>
      <c r="B14" s="379" t="s">
        <v>57</v>
      </c>
      <c r="C14" s="591"/>
      <c r="D14" s="591">
        <f>20091654.7742-234.95</f>
        <v>20091419.824200001</v>
      </c>
      <c r="E14" s="591">
        <v>178850851.81940001</v>
      </c>
      <c r="F14" s="591">
        <v>133632599.7502</v>
      </c>
      <c r="G14" s="591"/>
      <c r="H14" s="590">
        <f t="shared" si="0"/>
        <v>332574871.39380002</v>
      </c>
    </row>
    <row r="15" spans="1:8">
      <c r="A15" s="380">
        <v>8</v>
      </c>
      <c r="B15" s="381" t="s">
        <v>58</v>
      </c>
      <c r="C15" s="591"/>
      <c r="D15" s="591">
        <v>381262.2525</v>
      </c>
      <c r="E15" s="591">
        <v>17193241.954599999</v>
      </c>
      <c r="F15" s="591">
        <v>45836671.399999999</v>
      </c>
      <c r="G15" s="591"/>
      <c r="H15" s="590">
        <f t="shared" si="0"/>
        <v>63411175.607099995</v>
      </c>
    </row>
    <row r="16" spans="1:8">
      <c r="A16" s="380">
        <v>9</v>
      </c>
      <c r="B16" s="379" t="s">
        <v>59</v>
      </c>
      <c r="C16" s="591"/>
      <c r="D16" s="591"/>
      <c r="E16" s="591"/>
      <c r="F16" s="591"/>
      <c r="G16" s="591"/>
      <c r="H16" s="590">
        <f t="shared" si="0"/>
        <v>0</v>
      </c>
    </row>
    <row r="17" spans="1:8">
      <c r="A17" s="380">
        <v>10</v>
      </c>
      <c r="B17" s="383" t="s">
        <v>432</v>
      </c>
      <c r="C17" s="591"/>
      <c r="D17" s="591">
        <v>1668105.7901000001</v>
      </c>
      <c r="E17" s="591">
        <v>12343293.399499999</v>
      </c>
      <c r="F17" s="591">
        <v>26175622.445799999</v>
      </c>
      <c r="G17" s="591"/>
      <c r="H17" s="590">
        <f t="shared" si="0"/>
        <v>40187021.635399997</v>
      </c>
    </row>
    <row r="18" spans="1:8">
      <c r="A18" s="380">
        <v>11</v>
      </c>
      <c r="B18" s="379" t="s">
        <v>61</v>
      </c>
      <c r="C18" s="591"/>
      <c r="D18" s="591"/>
      <c r="E18" s="591"/>
      <c r="F18" s="591"/>
      <c r="G18" s="591"/>
      <c r="H18" s="590">
        <f t="shared" si="0"/>
        <v>0</v>
      </c>
    </row>
    <row r="19" spans="1:8">
      <c r="A19" s="380">
        <v>12</v>
      </c>
      <c r="B19" s="379" t="s">
        <v>62</v>
      </c>
      <c r="C19" s="591"/>
      <c r="D19" s="591"/>
      <c r="E19" s="591"/>
      <c r="F19" s="591"/>
      <c r="G19" s="591"/>
      <c r="H19" s="590">
        <f t="shared" si="0"/>
        <v>0</v>
      </c>
    </row>
    <row r="20" spans="1:8">
      <c r="A20" s="382">
        <v>13</v>
      </c>
      <c r="B20" s="381" t="s">
        <v>145</v>
      </c>
      <c r="C20" s="591"/>
      <c r="D20" s="591"/>
      <c r="E20" s="591"/>
      <c r="F20" s="591"/>
      <c r="G20" s="591"/>
      <c r="H20" s="590">
        <f t="shared" si="0"/>
        <v>0</v>
      </c>
    </row>
    <row r="21" spans="1:8">
      <c r="A21" s="380">
        <v>14</v>
      </c>
      <c r="B21" s="379" t="s">
        <v>64</v>
      </c>
      <c r="C21" s="591">
        <f>5368816.217+2919175</f>
        <v>8287991.2170000002</v>
      </c>
      <c r="D21" s="591">
        <f>15709917.7+487680.4</f>
        <v>16197598.1</v>
      </c>
      <c r="E21" s="591"/>
      <c r="F21" s="591"/>
      <c r="G21" s="591">
        <f>3047455.36+6817059</f>
        <v>9864514.3599999994</v>
      </c>
      <c r="H21" s="590">
        <f t="shared" si="0"/>
        <v>34350103.677000001</v>
      </c>
    </row>
    <row r="22" spans="1:8">
      <c r="A22" s="378">
        <v>15</v>
      </c>
      <c r="B22" s="377" t="s">
        <v>65</v>
      </c>
      <c r="C22" s="590">
        <f>SUM(C18:C21)+SUM(C8:C16)</f>
        <v>35801077.690200001</v>
      </c>
      <c r="D22" s="590">
        <f t="shared" ref="D22:H22" si="1">SUM(D18:D21)+SUM(D8:D16)</f>
        <v>80273970.554299995</v>
      </c>
      <c r="E22" s="590">
        <f t="shared" si="1"/>
        <v>201513493.74400002</v>
      </c>
      <c r="F22" s="590">
        <f t="shared" si="1"/>
        <v>179469271.15020001</v>
      </c>
      <c r="G22" s="590">
        <f t="shared" si="1"/>
        <v>37651198.543300003</v>
      </c>
      <c r="H22" s="590">
        <f t="shared" si="1"/>
        <v>534709011.68199998</v>
      </c>
    </row>
    <row r="26" spans="1:8" ht="24">
      <c r="B26" s="348" t="s">
        <v>519</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scale="3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zoomScaleNormal="100" workbookViewId="0"/>
  </sheetViews>
  <sheetFormatPr defaultColWidth="9.21875" defaultRowHeight="12"/>
  <cols>
    <col min="1" max="1" width="11.77734375" style="387" bestFit="1" customWidth="1"/>
    <col min="2" max="2" width="86.77734375" style="345" customWidth="1"/>
    <col min="3" max="4" width="31.5546875" style="345" customWidth="1"/>
    <col min="5" max="5" width="15.109375" style="345" bestFit="1" customWidth="1"/>
    <col min="6" max="6" width="11.77734375" style="345" bestFit="1" customWidth="1"/>
    <col min="7" max="7" width="21.5546875" style="345" bestFit="1" customWidth="1"/>
    <col min="8" max="8" width="41.44140625" style="345" customWidth="1"/>
    <col min="9" max="16384" width="9.21875" style="345"/>
  </cols>
  <sheetData>
    <row r="1" spans="1:8" ht="13.8">
      <c r="A1" s="343" t="s">
        <v>31</v>
      </c>
      <c r="B1" s="386" t="str">
        <f>'Info '!C2</f>
        <v>JSC PASHA Bank Georgia</v>
      </c>
      <c r="C1" s="399"/>
      <c r="D1" s="399"/>
      <c r="E1" s="399"/>
      <c r="F1" s="399"/>
      <c r="G1" s="399"/>
      <c r="H1" s="399"/>
    </row>
    <row r="2" spans="1:8">
      <c r="A2" s="343" t="s">
        <v>32</v>
      </c>
      <c r="B2" s="385">
        <f>'1. key ratios '!B2</f>
        <v>45291</v>
      </c>
      <c r="C2" s="399"/>
      <c r="D2" s="399"/>
      <c r="E2" s="399"/>
      <c r="F2" s="399"/>
      <c r="G2" s="399"/>
      <c r="H2" s="399"/>
    </row>
    <row r="3" spans="1:8">
      <c r="A3" s="344" t="s">
        <v>425</v>
      </c>
      <c r="B3" s="399"/>
      <c r="C3" s="399"/>
      <c r="D3" s="399"/>
      <c r="E3" s="399"/>
      <c r="F3" s="399"/>
      <c r="G3" s="399"/>
      <c r="H3" s="399"/>
    </row>
    <row r="4" spans="1:8">
      <c r="A4" s="400"/>
      <c r="B4" s="399"/>
      <c r="C4" s="398" t="s">
        <v>0</v>
      </c>
      <c r="D4" s="398" t="s">
        <v>1</v>
      </c>
      <c r="E4" s="398" t="s">
        <v>2</v>
      </c>
      <c r="F4" s="398" t="s">
        <v>3</v>
      </c>
      <c r="G4" s="398" t="s">
        <v>4</v>
      </c>
      <c r="H4" s="398" t="s">
        <v>6</v>
      </c>
    </row>
    <row r="5" spans="1:8" ht="34.049999999999997" customHeight="1">
      <c r="A5" s="720" t="s">
        <v>426</v>
      </c>
      <c r="B5" s="721"/>
      <c r="C5" s="734" t="s">
        <v>427</v>
      </c>
      <c r="D5" s="734"/>
      <c r="E5" s="734" t="s">
        <v>664</v>
      </c>
      <c r="F5" s="732" t="s">
        <v>428</v>
      </c>
      <c r="G5" s="732" t="s">
        <v>429</v>
      </c>
      <c r="H5" s="396" t="s">
        <v>663</v>
      </c>
    </row>
    <row r="6" spans="1:8" ht="24">
      <c r="A6" s="724"/>
      <c r="B6" s="725"/>
      <c r="C6" s="397" t="s">
        <v>430</v>
      </c>
      <c r="D6" s="397" t="s">
        <v>431</v>
      </c>
      <c r="E6" s="734"/>
      <c r="F6" s="733"/>
      <c r="G6" s="733"/>
      <c r="H6" s="396" t="s">
        <v>662</v>
      </c>
    </row>
    <row r="7" spans="1:8">
      <c r="A7" s="394">
        <v>1</v>
      </c>
      <c r="B7" s="379" t="s">
        <v>52</v>
      </c>
      <c r="C7" s="592"/>
      <c r="D7" s="592">
        <v>36695713</v>
      </c>
      <c r="E7" s="592"/>
      <c r="F7" s="592"/>
      <c r="G7" s="592"/>
      <c r="H7" s="594">
        <f>C7+D7-E7-F7</f>
        <v>36695713</v>
      </c>
    </row>
    <row r="8" spans="1:8">
      <c r="A8" s="394">
        <v>2</v>
      </c>
      <c r="B8" s="379" t="s">
        <v>53</v>
      </c>
      <c r="C8" s="592"/>
      <c r="D8" s="592"/>
      <c r="E8" s="592"/>
      <c r="F8" s="592"/>
      <c r="G8" s="592"/>
      <c r="H8" s="594">
        <f t="shared" ref="H8:H20" si="0">C8+D8-E8-F8</f>
        <v>0</v>
      </c>
    </row>
    <row r="9" spans="1:8">
      <c r="A9" s="394">
        <v>3</v>
      </c>
      <c r="B9" s="379" t="s">
        <v>165</v>
      </c>
      <c r="C9" s="592"/>
      <c r="D9" s="592"/>
      <c r="E9" s="592"/>
      <c r="F9" s="592"/>
      <c r="G9" s="592"/>
      <c r="H9" s="594">
        <f t="shared" si="0"/>
        <v>0</v>
      </c>
    </row>
    <row r="10" spans="1:8">
      <c r="A10" s="394">
        <v>4</v>
      </c>
      <c r="B10" s="379" t="s">
        <v>54</v>
      </c>
      <c r="C10" s="592"/>
      <c r="D10" s="592"/>
      <c r="E10" s="592"/>
      <c r="F10" s="592"/>
      <c r="G10" s="592"/>
      <c r="H10" s="594">
        <f t="shared" si="0"/>
        <v>0</v>
      </c>
    </row>
    <row r="11" spans="1:8">
      <c r="A11" s="394">
        <v>5</v>
      </c>
      <c r="B11" s="379" t="s">
        <v>55</v>
      </c>
      <c r="C11" s="592"/>
      <c r="D11" s="592"/>
      <c r="E11" s="592"/>
      <c r="F11" s="592"/>
      <c r="G11" s="592"/>
      <c r="H11" s="594">
        <f t="shared" si="0"/>
        <v>0</v>
      </c>
    </row>
    <row r="12" spans="1:8">
      <c r="A12" s="394">
        <v>6</v>
      </c>
      <c r="B12" s="379" t="s">
        <v>56</v>
      </c>
      <c r="C12" s="592"/>
      <c r="D12" s="592">
        <v>67677148</v>
      </c>
      <c r="E12" s="592"/>
      <c r="F12" s="592"/>
      <c r="G12" s="592"/>
      <c r="H12" s="594">
        <f t="shared" si="0"/>
        <v>67677148</v>
      </c>
    </row>
    <row r="13" spans="1:8">
      <c r="A13" s="394">
        <v>7</v>
      </c>
      <c r="B13" s="379" t="s">
        <v>57</v>
      </c>
      <c r="C13" s="592">
        <v>25811562.9439</v>
      </c>
      <c r="D13" s="592">
        <f>316510269.262-235.95</f>
        <v>316510033.31200004</v>
      </c>
      <c r="E13" s="592">
        <v>9746725.8621999994</v>
      </c>
      <c r="F13" s="592"/>
      <c r="G13" s="592"/>
      <c r="H13" s="594">
        <f t="shared" si="0"/>
        <v>332574870.3937</v>
      </c>
    </row>
    <row r="14" spans="1:8">
      <c r="A14" s="394">
        <v>8</v>
      </c>
      <c r="B14" s="381" t="s">
        <v>58</v>
      </c>
      <c r="C14" s="592">
        <v>4538656.4643000001</v>
      </c>
      <c r="D14" s="592">
        <v>65954616.203199998</v>
      </c>
      <c r="E14" s="592">
        <v>7082097.0603999998</v>
      </c>
      <c r="F14" s="592"/>
      <c r="G14" s="592">
        <v>1798027.48</v>
      </c>
      <c r="H14" s="594">
        <f t="shared" si="0"/>
        <v>63411175.607100002</v>
      </c>
    </row>
    <row r="15" spans="1:8">
      <c r="A15" s="394">
        <v>9</v>
      </c>
      <c r="B15" s="379" t="s">
        <v>59</v>
      </c>
      <c r="C15" s="592"/>
      <c r="D15" s="592"/>
      <c r="E15" s="592"/>
      <c r="F15" s="592"/>
      <c r="G15" s="592"/>
      <c r="H15" s="594">
        <f t="shared" si="0"/>
        <v>0</v>
      </c>
    </row>
    <row r="16" spans="1:8">
      <c r="A16" s="394">
        <v>10</v>
      </c>
      <c r="B16" s="383" t="s">
        <v>432</v>
      </c>
      <c r="C16" s="592">
        <v>29567123.0099</v>
      </c>
      <c r="D16" s="592">
        <v>21308843.092900001</v>
      </c>
      <c r="E16" s="592">
        <v>10688944.467399999</v>
      </c>
      <c r="F16" s="592"/>
      <c r="G16" s="592"/>
      <c r="H16" s="594">
        <f t="shared" si="0"/>
        <v>40187021.635399997</v>
      </c>
    </row>
    <row r="17" spans="1:8">
      <c r="A17" s="394">
        <v>11</v>
      </c>
      <c r="B17" s="379" t="s">
        <v>61</v>
      </c>
      <c r="C17" s="592"/>
      <c r="D17" s="592"/>
      <c r="E17" s="592"/>
      <c r="F17" s="592"/>
      <c r="G17" s="592"/>
      <c r="H17" s="594">
        <f t="shared" si="0"/>
        <v>0</v>
      </c>
    </row>
    <row r="18" spans="1:8">
      <c r="A18" s="394">
        <v>12</v>
      </c>
      <c r="B18" s="379" t="s">
        <v>62</v>
      </c>
      <c r="C18" s="592"/>
      <c r="D18" s="592"/>
      <c r="E18" s="592"/>
      <c r="F18" s="592"/>
      <c r="G18" s="592"/>
      <c r="H18" s="594">
        <f t="shared" si="0"/>
        <v>0</v>
      </c>
    </row>
    <row r="19" spans="1:8">
      <c r="A19" s="395">
        <v>13</v>
      </c>
      <c r="B19" s="381" t="s">
        <v>145</v>
      </c>
      <c r="C19" s="592"/>
      <c r="D19" s="592"/>
      <c r="E19" s="592"/>
      <c r="F19" s="592"/>
      <c r="G19" s="592"/>
      <c r="H19" s="594">
        <f t="shared" si="0"/>
        <v>0</v>
      </c>
    </row>
    <row r="20" spans="1:8">
      <c r="A20" s="394">
        <v>14</v>
      </c>
      <c r="B20" s="379" t="s">
        <v>64</v>
      </c>
      <c r="C20" s="592"/>
      <c r="D20" s="592">
        <v>34350104</v>
      </c>
      <c r="E20" s="592"/>
      <c r="F20" s="592"/>
      <c r="G20" s="592"/>
      <c r="H20" s="594">
        <f t="shared" si="0"/>
        <v>34350104</v>
      </c>
    </row>
    <row r="21" spans="1:8" s="391" customFormat="1">
      <c r="A21" s="393">
        <v>15</v>
      </c>
      <c r="B21" s="392" t="s">
        <v>65</v>
      </c>
      <c r="C21" s="593">
        <f t="shared" ref="C21:G21" si="1">SUM(C7:C15)+SUM(C17:C20)</f>
        <v>30350219.408199999</v>
      </c>
      <c r="D21" s="593">
        <f t="shared" si="1"/>
        <v>521187614.51520002</v>
      </c>
      <c r="E21" s="593">
        <f t="shared" si="1"/>
        <v>16828822.922600001</v>
      </c>
      <c r="F21" s="593">
        <f t="shared" si="1"/>
        <v>0</v>
      </c>
      <c r="G21" s="593">
        <f t="shared" si="1"/>
        <v>1798027.48</v>
      </c>
      <c r="H21" s="594">
        <f t="shared" ref="H21" si="2">SUM(H7:H15)+SUM(H17:H20)</f>
        <v>534709011.00080001</v>
      </c>
    </row>
    <row r="22" spans="1:8">
      <c r="A22" s="390">
        <v>16</v>
      </c>
      <c r="B22" s="389" t="s">
        <v>433</v>
      </c>
      <c r="C22" s="592">
        <v>30108553.148200002</v>
      </c>
      <c r="D22" s="592">
        <v>322200257.8423</v>
      </c>
      <c r="E22" s="592">
        <v>16202318.964</v>
      </c>
      <c r="F22" s="592"/>
      <c r="G22" s="592">
        <v>1798027.48</v>
      </c>
      <c r="H22" s="594">
        <f>C22+D22-E22-F22</f>
        <v>336106492.02649999</v>
      </c>
    </row>
    <row r="23" spans="1:8">
      <c r="A23" s="390">
        <v>17</v>
      </c>
      <c r="B23" s="389" t="s">
        <v>434</v>
      </c>
      <c r="C23" s="592"/>
      <c r="D23" s="592">
        <f>60178798.9481+5469399.97</f>
        <v>65648198.918099999</v>
      </c>
      <c r="E23" s="592">
        <v>418178.07520000002</v>
      </c>
      <c r="F23" s="592"/>
      <c r="G23" s="592"/>
      <c r="H23" s="594">
        <f>C23+D23-E23-F23</f>
        <v>65230020.842900001</v>
      </c>
    </row>
    <row r="26" spans="1:8" ht="42.45" customHeight="1">
      <c r="B26" s="348" t="s">
        <v>519</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paperSize="9" scale="3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6"/>
  <sheetViews>
    <sheetView showGridLines="0" zoomScaleNormal="100" workbookViewId="0"/>
  </sheetViews>
  <sheetFormatPr defaultColWidth="9.21875" defaultRowHeight="12"/>
  <cols>
    <col min="1" max="1" width="11" style="345" bestFit="1" customWidth="1"/>
    <col min="2" max="2" width="93.44140625" style="345" customWidth="1"/>
    <col min="3" max="4" width="35" style="345" customWidth="1"/>
    <col min="5" max="5" width="15.109375" style="345" bestFit="1" customWidth="1"/>
    <col min="6" max="6" width="11.77734375" style="345" bestFit="1" customWidth="1"/>
    <col min="7" max="7" width="22" style="345" customWidth="1"/>
    <col min="8" max="8" width="19.88671875" style="345" customWidth="1"/>
    <col min="9" max="16384" width="9.21875" style="345"/>
  </cols>
  <sheetData>
    <row r="1" spans="1:8" ht="13.8">
      <c r="A1" s="343" t="s">
        <v>31</v>
      </c>
      <c r="B1" s="386" t="str">
        <f>'Info '!C2</f>
        <v>JSC PASHA Bank Georgia</v>
      </c>
      <c r="C1" s="399"/>
      <c r="D1" s="399"/>
      <c r="E1" s="399"/>
      <c r="F1" s="399"/>
      <c r="G1" s="399"/>
      <c r="H1" s="399"/>
    </row>
    <row r="2" spans="1:8">
      <c r="A2" s="343" t="s">
        <v>32</v>
      </c>
      <c r="B2" s="385">
        <f>'1. key ratios '!B2</f>
        <v>45291</v>
      </c>
      <c r="C2" s="399"/>
      <c r="D2" s="399"/>
      <c r="E2" s="399"/>
      <c r="F2" s="399"/>
      <c r="G2" s="399"/>
      <c r="H2" s="399"/>
    </row>
    <row r="3" spans="1:8">
      <c r="A3" s="344" t="s">
        <v>435</v>
      </c>
      <c r="B3" s="399"/>
      <c r="C3" s="399"/>
      <c r="D3" s="399"/>
      <c r="E3" s="399"/>
      <c r="F3" s="399"/>
      <c r="G3" s="399"/>
      <c r="H3" s="399"/>
    </row>
    <row r="4" spans="1:8">
      <c r="A4" s="400"/>
      <c r="B4" s="399"/>
      <c r="C4" s="398" t="s">
        <v>0</v>
      </c>
      <c r="D4" s="398" t="s">
        <v>1</v>
      </c>
      <c r="E4" s="398" t="s">
        <v>2</v>
      </c>
      <c r="F4" s="398" t="s">
        <v>3</v>
      </c>
      <c r="G4" s="398" t="s">
        <v>4</v>
      </c>
      <c r="H4" s="398" t="s">
        <v>6</v>
      </c>
    </row>
    <row r="5" spans="1:8" ht="41.55" customHeight="1">
      <c r="A5" s="720" t="s">
        <v>426</v>
      </c>
      <c r="B5" s="721"/>
      <c r="C5" s="734" t="s">
        <v>427</v>
      </c>
      <c r="D5" s="734"/>
      <c r="E5" s="734" t="s">
        <v>664</v>
      </c>
      <c r="F5" s="732" t="s">
        <v>428</v>
      </c>
      <c r="G5" s="732" t="s">
        <v>429</v>
      </c>
      <c r="H5" s="396" t="s">
        <v>663</v>
      </c>
    </row>
    <row r="6" spans="1:8" ht="24">
      <c r="A6" s="724"/>
      <c r="B6" s="725"/>
      <c r="C6" s="397" t="s">
        <v>430</v>
      </c>
      <c r="D6" s="397" t="s">
        <v>431</v>
      </c>
      <c r="E6" s="734"/>
      <c r="F6" s="733"/>
      <c r="G6" s="733"/>
      <c r="H6" s="396" t="s">
        <v>662</v>
      </c>
    </row>
    <row r="7" spans="1:8">
      <c r="A7" s="388">
        <v>1</v>
      </c>
      <c r="B7" s="403" t="s">
        <v>523</v>
      </c>
      <c r="C7" s="592">
        <v>423897.20319999999</v>
      </c>
      <c r="D7" s="592">
        <v>44475366.549000002</v>
      </c>
      <c r="E7" s="592">
        <v>628241.2270999999</v>
      </c>
      <c r="F7" s="592"/>
      <c r="G7" s="592">
        <v>196982.65</v>
      </c>
      <c r="H7" s="594">
        <f t="shared" ref="H7:H34" si="0">C7+D7-E7-F7</f>
        <v>44271022.5251</v>
      </c>
    </row>
    <row r="8" spans="1:8">
      <c r="A8" s="388">
        <v>2</v>
      </c>
      <c r="B8" s="403" t="s">
        <v>436</v>
      </c>
      <c r="C8" s="592">
        <v>254761.82329999999</v>
      </c>
      <c r="D8" s="592">
        <v>161611878.81910002</v>
      </c>
      <c r="E8" s="592">
        <v>1416233.3524000002</v>
      </c>
      <c r="F8" s="592"/>
      <c r="G8" s="592">
        <v>54268.68</v>
      </c>
      <c r="H8" s="594">
        <f t="shared" si="0"/>
        <v>160450407.29000002</v>
      </c>
    </row>
    <row r="9" spans="1:8">
      <c r="A9" s="388">
        <v>3</v>
      </c>
      <c r="B9" s="403" t="s">
        <v>437</v>
      </c>
      <c r="C9" s="592">
        <v>0</v>
      </c>
      <c r="D9" s="592">
        <v>552259.18999999994</v>
      </c>
      <c r="E9" s="592">
        <v>5048.4211000000005</v>
      </c>
      <c r="F9" s="592"/>
      <c r="G9" s="592" t="s">
        <v>721</v>
      </c>
      <c r="H9" s="594">
        <f t="shared" si="0"/>
        <v>547210.76889999991</v>
      </c>
    </row>
    <row r="10" spans="1:8">
      <c r="A10" s="388">
        <v>4</v>
      </c>
      <c r="B10" s="403" t="s">
        <v>524</v>
      </c>
      <c r="C10" s="592">
        <v>6684197.6140000001</v>
      </c>
      <c r="D10" s="592">
        <v>17566245.9285</v>
      </c>
      <c r="E10" s="592">
        <v>2385327.9169999994</v>
      </c>
      <c r="F10" s="592"/>
      <c r="G10" s="592" t="s">
        <v>721</v>
      </c>
      <c r="H10" s="594">
        <f t="shared" si="0"/>
        <v>21865115.625500001</v>
      </c>
    </row>
    <row r="11" spans="1:8">
      <c r="A11" s="388">
        <v>5</v>
      </c>
      <c r="B11" s="403" t="s">
        <v>438</v>
      </c>
      <c r="C11" s="592">
        <v>0</v>
      </c>
      <c r="D11" s="592">
        <v>42561411.785300002</v>
      </c>
      <c r="E11" s="592">
        <v>65329.138400000011</v>
      </c>
      <c r="F11" s="592"/>
      <c r="G11" s="592">
        <v>0</v>
      </c>
      <c r="H11" s="594">
        <f t="shared" si="0"/>
        <v>42496082.646899998</v>
      </c>
    </row>
    <row r="12" spans="1:8">
      <c r="A12" s="388">
        <v>6</v>
      </c>
      <c r="B12" s="403" t="s">
        <v>439</v>
      </c>
      <c r="C12" s="592">
        <v>433419.89870000002</v>
      </c>
      <c r="D12" s="592">
        <v>1419310.9375</v>
      </c>
      <c r="E12" s="592">
        <v>228445.88080000004</v>
      </c>
      <c r="F12" s="592"/>
      <c r="G12" s="592">
        <v>16889.29</v>
      </c>
      <c r="H12" s="594">
        <f t="shared" si="0"/>
        <v>1624284.9553999999</v>
      </c>
    </row>
    <row r="13" spans="1:8">
      <c r="A13" s="388">
        <v>7</v>
      </c>
      <c r="B13" s="403" t="s">
        <v>440</v>
      </c>
      <c r="C13" s="592">
        <v>17246.416700000002</v>
      </c>
      <c r="D13" s="592">
        <v>782758.33900000004</v>
      </c>
      <c r="E13" s="592">
        <v>25714.5442</v>
      </c>
      <c r="F13" s="592"/>
      <c r="G13" s="592">
        <v>7946.98</v>
      </c>
      <c r="H13" s="594">
        <f t="shared" si="0"/>
        <v>774290.21150000009</v>
      </c>
    </row>
    <row r="14" spans="1:8">
      <c r="A14" s="388">
        <v>8</v>
      </c>
      <c r="B14" s="403" t="s">
        <v>441</v>
      </c>
      <c r="C14" s="592">
        <v>1808412.6592000001</v>
      </c>
      <c r="D14" s="592">
        <v>7081219.6403999999</v>
      </c>
      <c r="E14" s="592">
        <v>337627.02240000002</v>
      </c>
      <c r="F14" s="592"/>
      <c r="G14" s="592">
        <v>4742.74</v>
      </c>
      <c r="H14" s="594">
        <f t="shared" si="0"/>
        <v>8552005.2772000004</v>
      </c>
    </row>
    <row r="15" spans="1:8">
      <c r="A15" s="388">
        <v>9</v>
      </c>
      <c r="B15" s="403" t="s">
        <v>442</v>
      </c>
      <c r="C15" s="592">
        <v>0</v>
      </c>
      <c r="D15" s="592">
        <v>8927105.4503000006</v>
      </c>
      <c r="E15" s="592">
        <v>94244.338199999969</v>
      </c>
      <c r="F15" s="592"/>
      <c r="G15" s="592">
        <v>3257.35</v>
      </c>
      <c r="H15" s="594">
        <f t="shared" si="0"/>
        <v>8832861.1121000014</v>
      </c>
    </row>
    <row r="16" spans="1:8">
      <c r="A16" s="388">
        <v>10</v>
      </c>
      <c r="B16" s="403" t="s">
        <v>443</v>
      </c>
      <c r="C16" s="592">
        <v>0</v>
      </c>
      <c r="D16" s="592">
        <v>194606.43669999999</v>
      </c>
      <c r="E16" s="592">
        <v>6789.8062000000009</v>
      </c>
      <c r="F16" s="592"/>
      <c r="G16" s="592" t="s">
        <v>721</v>
      </c>
      <c r="H16" s="594">
        <f t="shared" si="0"/>
        <v>187816.6305</v>
      </c>
    </row>
    <row r="17" spans="1:8">
      <c r="A17" s="388">
        <v>11</v>
      </c>
      <c r="B17" s="403" t="s">
        <v>444</v>
      </c>
      <c r="C17" s="592">
        <v>6099.2515000000003</v>
      </c>
      <c r="D17" s="592">
        <v>15914380.624</v>
      </c>
      <c r="E17" s="592">
        <v>159534.89209999997</v>
      </c>
      <c r="F17" s="592"/>
      <c r="G17" s="592" t="s">
        <v>721</v>
      </c>
      <c r="H17" s="594">
        <f t="shared" si="0"/>
        <v>15760944.983399998</v>
      </c>
    </row>
    <row r="18" spans="1:8">
      <c r="A18" s="388">
        <v>12</v>
      </c>
      <c r="B18" s="403" t="s">
        <v>445</v>
      </c>
      <c r="C18" s="592">
        <v>609722.51939999999</v>
      </c>
      <c r="D18" s="592">
        <v>18725092.962000001</v>
      </c>
      <c r="E18" s="592">
        <v>712328.52039999887</v>
      </c>
      <c r="F18" s="592"/>
      <c r="G18" s="592">
        <v>139522.29999999999</v>
      </c>
      <c r="H18" s="594">
        <f t="shared" si="0"/>
        <v>18622486.961000003</v>
      </c>
    </row>
    <row r="19" spans="1:8">
      <c r="A19" s="388">
        <v>13</v>
      </c>
      <c r="B19" s="403" t="s">
        <v>446</v>
      </c>
      <c r="C19" s="592">
        <v>583385.27289999998</v>
      </c>
      <c r="D19" s="592">
        <v>966110.24849999999</v>
      </c>
      <c r="E19" s="592">
        <v>335921.57550000004</v>
      </c>
      <c r="F19" s="592"/>
      <c r="G19" s="592">
        <v>11316.49</v>
      </c>
      <c r="H19" s="594">
        <f t="shared" si="0"/>
        <v>1213573.9458999999</v>
      </c>
    </row>
    <row r="20" spans="1:8">
      <c r="A20" s="388">
        <v>14</v>
      </c>
      <c r="B20" s="403" t="s">
        <v>447</v>
      </c>
      <c r="C20" s="592">
        <v>2450030.8385999999</v>
      </c>
      <c r="D20" s="592">
        <v>22667983.552499998</v>
      </c>
      <c r="E20" s="592">
        <v>592121.96479999996</v>
      </c>
      <c r="F20" s="592"/>
      <c r="G20" s="592">
        <v>500.39</v>
      </c>
      <c r="H20" s="594">
        <f t="shared" si="0"/>
        <v>24525892.426299997</v>
      </c>
    </row>
    <row r="21" spans="1:8">
      <c r="A21" s="388">
        <v>15</v>
      </c>
      <c r="B21" s="403" t="s">
        <v>448</v>
      </c>
      <c r="C21" s="592">
        <v>8954307.6907000002</v>
      </c>
      <c r="D21" s="592">
        <v>2948922.3651999999</v>
      </c>
      <c r="E21" s="592">
        <v>1782795.5268999999</v>
      </c>
      <c r="F21" s="592"/>
      <c r="G21" s="592">
        <v>8804.52</v>
      </c>
      <c r="H21" s="594">
        <f t="shared" si="0"/>
        <v>10120434.528999999</v>
      </c>
    </row>
    <row r="22" spans="1:8">
      <c r="A22" s="388">
        <v>16</v>
      </c>
      <c r="B22" s="403" t="s">
        <v>449</v>
      </c>
      <c r="C22" s="592">
        <v>17601.296399999999</v>
      </c>
      <c r="D22" s="592">
        <v>2803799.6866000001</v>
      </c>
      <c r="E22" s="592">
        <v>61903.329700000002</v>
      </c>
      <c r="F22" s="592"/>
      <c r="G22" s="592">
        <v>11690.59</v>
      </c>
      <c r="H22" s="594">
        <f t="shared" si="0"/>
        <v>2759497.6532999999</v>
      </c>
    </row>
    <row r="23" spans="1:8">
      <c r="A23" s="388">
        <v>17</v>
      </c>
      <c r="B23" s="403" t="s">
        <v>527</v>
      </c>
      <c r="C23" s="592">
        <v>0</v>
      </c>
      <c r="D23" s="592">
        <v>8937862.7467</v>
      </c>
      <c r="E23" s="592">
        <v>43062.099400000006</v>
      </c>
      <c r="F23" s="592"/>
      <c r="G23" s="592">
        <v>1264.7</v>
      </c>
      <c r="H23" s="594">
        <f t="shared" si="0"/>
        <v>8894800.6472999994</v>
      </c>
    </row>
    <row r="24" spans="1:8">
      <c r="A24" s="388">
        <v>18</v>
      </c>
      <c r="B24" s="403" t="s">
        <v>450</v>
      </c>
      <c r="C24" s="592">
        <v>65972.864000000001</v>
      </c>
      <c r="D24" s="592">
        <v>60041338.760899998</v>
      </c>
      <c r="E24" s="592">
        <v>638871.47120000003</v>
      </c>
      <c r="F24" s="592"/>
      <c r="G24" s="592">
        <v>23168.76</v>
      </c>
      <c r="H24" s="594">
        <f t="shared" si="0"/>
        <v>59468440.153700002</v>
      </c>
    </row>
    <row r="25" spans="1:8">
      <c r="A25" s="388">
        <v>19</v>
      </c>
      <c r="B25" s="403" t="s">
        <v>451</v>
      </c>
      <c r="C25" s="592">
        <v>0</v>
      </c>
      <c r="D25" s="592">
        <v>5327809.3952000001</v>
      </c>
      <c r="E25" s="592">
        <v>19598.768500000009</v>
      </c>
      <c r="F25" s="592"/>
      <c r="G25" s="592">
        <v>4627.8599999999997</v>
      </c>
      <c r="H25" s="594">
        <f t="shared" si="0"/>
        <v>5308210.6266999999</v>
      </c>
    </row>
    <row r="26" spans="1:8">
      <c r="A26" s="388">
        <v>20</v>
      </c>
      <c r="B26" s="403" t="s">
        <v>526</v>
      </c>
      <c r="C26" s="592">
        <v>41164.451099999998</v>
      </c>
      <c r="D26" s="592">
        <v>1540276.01</v>
      </c>
      <c r="E26" s="592">
        <v>94460.889399999971</v>
      </c>
      <c r="F26" s="592"/>
      <c r="G26" s="592">
        <v>75972</v>
      </c>
      <c r="H26" s="594">
        <f t="shared" si="0"/>
        <v>1486979.5717</v>
      </c>
    </row>
    <row r="27" spans="1:8">
      <c r="A27" s="388">
        <v>21</v>
      </c>
      <c r="B27" s="403" t="s">
        <v>452</v>
      </c>
      <c r="C27" s="592">
        <v>2696.7838999999999</v>
      </c>
      <c r="D27" s="592">
        <v>446832.93</v>
      </c>
      <c r="E27" s="592">
        <v>19980.586100000008</v>
      </c>
      <c r="F27" s="592"/>
      <c r="G27" s="592">
        <v>1019.98</v>
      </c>
      <c r="H27" s="594">
        <f t="shared" si="0"/>
        <v>429549.12779999996</v>
      </c>
    </row>
    <row r="28" spans="1:8">
      <c r="A28" s="388">
        <v>22</v>
      </c>
      <c r="B28" s="403" t="s">
        <v>453</v>
      </c>
      <c r="C28" s="592">
        <v>1853.9449</v>
      </c>
      <c r="D28" s="592">
        <v>5307562.59</v>
      </c>
      <c r="E28" s="592">
        <v>61670.253100000002</v>
      </c>
      <c r="F28" s="592"/>
      <c r="G28" s="592">
        <v>50355.38</v>
      </c>
      <c r="H28" s="594">
        <f t="shared" si="0"/>
        <v>5247746.2817999991</v>
      </c>
    </row>
    <row r="29" spans="1:8">
      <c r="A29" s="388">
        <v>23</v>
      </c>
      <c r="B29" s="403" t="s">
        <v>454</v>
      </c>
      <c r="C29" s="592">
        <v>2824751.6606000001</v>
      </c>
      <c r="D29" s="592">
        <v>10497660.428300001</v>
      </c>
      <c r="E29" s="592">
        <v>923905.36219999974</v>
      </c>
      <c r="F29" s="592"/>
      <c r="G29" s="592">
        <v>108155.86</v>
      </c>
      <c r="H29" s="594">
        <f t="shared" si="0"/>
        <v>12398506.7267</v>
      </c>
    </row>
    <row r="30" spans="1:8">
      <c r="A30" s="388">
        <v>24</v>
      </c>
      <c r="B30" s="403" t="s">
        <v>525</v>
      </c>
      <c r="C30" s="592">
        <v>2402534.6896000002</v>
      </c>
      <c r="D30" s="592">
        <v>8310099.7988</v>
      </c>
      <c r="E30" s="592">
        <v>1801514.1623999998</v>
      </c>
      <c r="F30" s="592"/>
      <c r="G30" s="592" t="s">
        <v>721</v>
      </c>
      <c r="H30" s="594">
        <f t="shared" si="0"/>
        <v>8911120.3260000013</v>
      </c>
    </row>
    <row r="31" spans="1:8">
      <c r="A31" s="388">
        <v>25</v>
      </c>
      <c r="B31" s="403" t="s">
        <v>455</v>
      </c>
      <c r="C31" s="592">
        <v>915958.2402</v>
      </c>
      <c r="D31" s="592">
        <v>5938168.0346999997</v>
      </c>
      <c r="E31" s="592">
        <v>1054160.9035999998</v>
      </c>
      <c r="F31" s="592"/>
      <c r="G31" s="592">
        <v>254928.44</v>
      </c>
      <c r="H31" s="594">
        <f t="shared" si="0"/>
        <v>5799965.3712999998</v>
      </c>
    </row>
    <row r="32" spans="1:8">
      <c r="A32" s="388">
        <v>26</v>
      </c>
      <c r="B32" s="403" t="s">
        <v>522</v>
      </c>
      <c r="C32" s="592">
        <v>1852204.2895</v>
      </c>
      <c r="D32" s="592">
        <v>31291447.306299999</v>
      </c>
      <c r="E32" s="592">
        <v>3333990.9695000062</v>
      </c>
      <c r="F32" s="592"/>
      <c r="G32" s="592">
        <v>822612.52</v>
      </c>
      <c r="H32" s="594">
        <f t="shared" si="0"/>
        <v>29809660.626299992</v>
      </c>
    </row>
    <row r="33" spans="1:10">
      <c r="A33" s="388">
        <v>27</v>
      </c>
      <c r="B33" s="388" t="s">
        <v>456</v>
      </c>
      <c r="C33" s="592"/>
      <c r="D33" s="592">
        <v>34350104</v>
      </c>
      <c r="E33" s="592"/>
      <c r="F33" s="592"/>
      <c r="G33" s="592"/>
      <c r="H33" s="594">
        <f t="shared" si="0"/>
        <v>34350104</v>
      </c>
    </row>
    <row r="34" spans="1:10">
      <c r="A34" s="388">
        <v>28</v>
      </c>
      <c r="B34" s="392" t="s">
        <v>65</v>
      </c>
      <c r="C34" s="593">
        <f>SUM(C7:C33)</f>
        <v>30350219.408399999</v>
      </c>
      <c r="D34" s="593">
        <f>SUM(D7:D33)</f>
        <v>521187614.51549995</v>
      </c>
      <c r="E34" s="593">
        <f>SUM(E7:E33)</f>
        <v>16828822.922600009</v>
      </c>
      <c r="F34" s="593">
        <f>SUM(F7:F33)</f>
        <v>0</v>
      </c>
      <c r="G34" s="593">
        <f>SUM(G7:G33)</f>
        <v>1798027.48</v>
      </c>
      <c r="H34" s="595">
        <f t="shared" si="0"/>
        <v>534709011.00129986</v>
      </c>
      <c r="J34" s="596"/>
    </row>
    <row r="36" spans="1:10">
      <c r="B36" s="402"/>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paperSize="9" scale="3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Normal="100" workbookViewId="0"/>
  </sheetViews>
  <sheetFormatPr defaultColWidth="9.21875" defaultRowHeight="12"/>
  <cols>
    <col min="1" max="1" width="11.77734375" style="345" bestFit="1" customWidth="1"/>
    <col min="2" max="2" width="108" style="345" bestFit="1" customWidth="1"/>
    <col min="3" max="3" width="35.5546875" style="345" customWidth="1"/>
    <col min="4" max="4" width="38.44140625" style="345" customWidth="1"/>
    <col min="5" max="16384" width="9.21875" style="345"/>
  </cols>
  <sheetData>
    <row r="1" spans="1:4" ht="13.8">
      <c r="A1" s="343" t="s">
        <v>31</v>
      </c>
      <c r="B1" s="386" t="str">
        <f>'Info '!C2</f>
        <v>JSC PASHA Bank Georgia</v>
      </c>
    </row>
    <row r="2" spans="1:4">
      <c r="A2" s="343" t="s">
        <v>32</v>
      </c>
      <c r="B2" s="385">
        <f>'1. key ratios '!B2</f>
        <v>45291</v>
      </c>
    </row>
    <row r="3" spans="1:4">
      <c r="A3" s="344" t="s">
        <v>457</v>
      </c>
    </row>
    <row r="5" spans="1:4">
      <c r="A5" s="735" t="s">
        <v>671</v>
      </c>
      <c r="B5" s="735"/>
      <c r="C5" s="384" t="s">
        <v>474</v>
      </c>
      <c r="D5" s="384" t="s">
        <v>515</v>
      </c>
    </row>
    <row r="6" spans="1:4">
      <c r="A6" s="411">
        <v>1</v>
      </c>
      <c r="B6" s="404" t="s">
        <v>670</v>
      </c>
      <c r="C6" s="590">
        <v>18687244.970699999</v>
      </c>
      <c r="D6" s="590">
        <v>498526.39270000003</v>
      </c>
    </row>
    <row r="7" spans="1:4">
      <c r="A7" s="408">
        <v>2</v>
      </c>
      <c r="B7" s="404" t="s">
        <v>669</v>
      </c>
      <c r="C7" s="654">
        <f>SUM(C8:C9)</f>
        <v>6016030.1118999999</v>
      </c>
      <c r="D7" s="591">
        <f>SUM(D8:D9)</f>
        <v>87122.064400000003</v>
      </c>
    </row>
    <row r="8" spans="1:4">
      <c r="A8" s="410">
        <v>2.1</v>
      </c>
      <c r="B8" s="409" t="s">
        <v>530</v>
      </c>
      <c r="C8" s="654">
        <v>1906658.8404999999</v>
      </c>
      <c r="D8" s="591">
        <v>47456.742899999997</v>
      </c>
    </row>
    <row r="9" spans="1:4">
      <c r="A9" s="410">
        <v>2.2000000000000002</v>
      </c>
      <c r="B9" s="409" t="s">
        <v>528</v>
      </c>
      <c r="C9" s="654">
        <v>4109371.2714</v>
      </c>
      <c r="D9" s="591">
        <v>39665.321499999998</v>
      </c>
    </row>
    <row r="10" spans="1:4">
      <c r="A10" s="411">
        <v>3</v>
      </c>
      <c r="B10" s="404" t="s">
        <v>668</v>
      </c>
      <c r="C10" s="590">
        <f>SUM(C11:C13)</f>
        <v>8691757.3036000002</v>
      </c>
      <c r="D10" s="590">
        <f>SUM(D11:D13)</f>
        <v>167725.16440000001</v>
      </c>
    </row>
    <row r="11" spans="1:4">
      <c r="A11" s="410">
        <v>3.1</v>
      </c>
      <c r="B11" s="409" t="s">
        <v>459</v>
      </c>
      <c r="C11" s="654">
        <v>1783793.0399</v>
      </c>
      <c r="D11" s="591">
        <v>0</v>
      </c>
    </row>
    <row r="12" spans="1:4">
      <c r="A12" s="410">
        <v>3.2</v>
      </c>
      <c r="B12" s="409" t="s">
        <v>667</v>
      </c>
      <c r="C12" s="654">
        <v>5874309.0685000001</v>
      </c>
      <c r="D12" s="591">
        <v>0</v>
      </c>
    </row>
    <row r="13" spans="1:4">
      <c r="A13" s="410">
        <v>3.3</v>
      </c>
      <c r="B13" s="409" t="s">
        <v>529</v>
      </c>
      <c r="C13" s="654">
        <v>1033655.1952</v>
      </c>
      <c r="D13" s="591">
        <v>167725.16440000001</v>
      </c>
    </row>
    <row r="14" spans="1:4">
      <c r="A14" s="408">
        <v>4</v>
      </c>
      <c r="B14" s="407" t="s">
        <v>666</v>
      </c>
      <c r="C14" s="655">
        <v>190801.18379999997</v>
      </c>
      <c r="D14" s="591">
        <v>254.78</v>
      </c>
    </row>
    <row r="15" spans="1:4">
      <c r="A15" s="405">
        <v>5</v>
      </c>
      <c r="B15" s="404" t="s">
        <v>665</v>
      </c>
      <c r="C15" s="590">
        <f>C6+C7-C10+C14</f>
        <v>16202318.962799998</v>
      </c>
      <c r="D15" s="590">
        <f>D6+D7-D10+D14</f>
        <v>418178.07270000002</v>
      </c>
    </row>
  </sheetData>
  <mergeCells count="1">
    <mergeCell ref="A5:B5"/>
  </mergeCells>
  <pageMargins left="0.7" right="0.7" top="0.75" bottom="0.75" header="0.3" footer="0.3"/>
  <pageSetup paperSize="9" scale="4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Normal="100" workbookViewId="0"/>
  </sheetViews>
  <sheetFormatPr defaultColWidth="9.21875" defaultRowHeight="12"/>
  <cols>
    <col min="1" max="1" width="11.77734375" style="345" bestFit="1" customWidth="1"/>
    <col min="2" max="2" width="128.88671875" style="345" bestFit="1" customWidth="1"/>
    <col min="3" max="3" width="37" style="345" customWidth="1"/>
    <col min="4" max="4" width="50.5546875" style="345" customWidth="1"/>
    <col min="5" max="16384" width="9.21875" style="345"/>
  </cols>
  <sheetData>
    <row r="1" spans="1:4" ht="13.8">
      <c r="A1" s="343" t="s">
        <v>31</v>
      </c>
      <c r="B1" s="386" t="str">
        <f>'Info '!C2</f>
        <v>JSC PASHA Bank Georgia</v>
      </c>
    </row>
    <row r="2" spans="1:4">
      <c r="A2" s="343" t="s">
        <v>32</v>
      </c>
      <c r="B2" s="385">
        <f>'1. key ratios '!B2</f>
        <v>45291</v>
      </c>
    </row>
    <row r="3" spans="1:4">
      <c r="A3" s="344" t="s">
        <v>461</v>
      </c>
    </row>
    <row r="4" spans="1:4">
      <c r="A4" s="344"/>
    </row>
    <row r="5" spans="1:4" ht="15" customHeight="1">
      <c r="A5" s="736" t="s">
        <v>531</v>
      </c>
      <c r="B5" s="737"/>
      <c r="C5" s="740" t="s">
        <v>462</v>
      </c>
      <c r="D5" s="740" t="s">
        <v>463</v>
      </c>
    </row>
    <row r="6" spans="1:4">
      <c r="A6" s="738"/>
      <c r="B6" s="739"/>
      <c r="C6" s="740"/>
      <c r="D6" s="740"/>
    </row>
    <row r="7" spans="1:4">
      <c r="A7" s="377">
        <v>1</v>
      </c>
      <c r="B7" s="377" t="s">
        <v>458</v>
      </c>
      <c r="C7" s="616">
        <v>37612835.454499997</v>
      </c>
      <c r="D7" s="412"/>
    </row>
    <row r="8" spans="1:4">
      <c r="A8" s="406">
        <v>2</v>
      </c>
      <c r="B8" s="406" t="s">
        <v>464</v>
      </c>
      <c r="C8" s="618">
        <v>8460515.9153000005</v>
      </c>
      <c r="D8" s="412"/>
    </row>
    <row r="9" spans="1:4">
      <c r="A9" s="406">
        <v>3</v>
      </c>
      <c r="B9" s="415" t="s">
        <v>674</v>
      </c>
      <c r="C9" s="618">
        <v>486169.68910000002</v>
      </c>
      <c r="D9" s="412"/>
    </row>
    <row r="10" spans="1:4">
      <c r="A10" s="406">
        <v>4</v>
      </c>
      <c r="B10" s="406" t="s">
        <v>465</v>
      </c>
      <c r="C10" s="618">
        <f>SUM(C11:C17)</f>
        <v>16450967.907299999</v>
      </c>
      <c r="D10" s="412"/>
    </row>
    <row r="11" spans="1:4">
      <c r="A11" s="406">
        <v>5</v>
      </c>
      <c r="B11" s="414" t="s">
        <v>673</v>
      </c>
      <c r="C11" s="618">
        <v>267055.90000000002</v>
      </c>
      <c r="D11" s="412"/>
    </row>
    <row r="12" spans="1:4">
      <c r="A12" s="406">
        <v>6</v>
      </c>
      <c r="B12" s="414" t="s">
        <v>466</v>
      </c>
      <c r="C12" s="618">
        <v>1280401.0811899994</v>
      </c>
      <c r="D12" s="412"/>
    </row>
    <row r="13" spans="1:4">
      <c r="A13" s="406">
        <v>7</v>
      </c>
      <c r="B13" s="414" t="s">
        <v>469</v>
      </c>
      <c r="C13" s="618">
        <v>1787269.93</v>
      </c>
      <c r="D13" s="412"/>
    </row>
    <row r="14" spans="1:4">
      <c r="A14" s="406">
        <v>8</v>
      </c>
      <c r="B14" s="414" t="s">
        <v>467</v>
      </c>
      <c r="C14" s="618">
        <v>13116240.99611</v>
      </c>
      <c r="D14" s="406"/>
    </row>
    <row r="15" spans="1:4">
      <c r="A15" s="406">
        <v>9</v>
      </c>
      <c r="B15" s="414" t="s">
        <v>468</v>
      </c>
      <c r="C15" s="618"/>
      <c r="D15" s="406"/>
    </row>
    <row r="16" spans="1:4">
      <c r="A16" s="406">
        <v>10</v>
      </c>
      <c r="B16" s="414" t="s">
        <v>470</v>
      </c>
      <c r="C16" s="618"/>
      <c r="D16" s="406"/>
    </row>
    <row r="17" spans="1:4">
      <c r="A17" s="406">
        <v>11</v>
      </c>
      <c r="B17" s="414" t="s">
        <v>672</v>
      </c>
      <c r="C17" s="618"/>
      <c r="D17" s="412"/>
    </row>
    <row r="18" spans="1:4">
      <c r="A18" s="377">
        <v>12</v>
      </c>
      <c r="B18" s="413" t="s">
        <v>460</v>
      </c>
      <c r="C18" s="377">
        <f>C7+C8+C9-C10</f>
        <v>30108553.1516</v>
      </c>
      <c r="D18" s="412"/>
    </row>
    <row r="21" spans="1:4">
      <c r="B21" s="343"/>
    </row>
    <row r="22" spans="1:4">
      <c r="B22" s="343"/>
    </row>
    <row r="23" spans="1:4">
      <c r="B23" s="344"/>
    </row>
  </sheetData>
  <mergeCells count="3">
    <mergeCell ref="A5:B6"/>
    <mergeCell ref="C5:C6"/>
    <mergeCell ref="D5:D6"/>
  </mergeCells>
  <pageMargins left="0.7" right="0.7" top="0.75" bottom="0.75" header="0.3" footer="0.3"/>
  <pageSetup paperSize="9" scale="3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zoomScaleNormal="100" workbookViewId="0"/>
  </sheetViews>
  <sheetFormatPr defaultColWidth="9.21875" defaultRowHeight="12"/>
  <cols>
    <col min="1" max="1" width="11.77734375" style="399" bestFit="1" customWidth="1"/>
    <col min="2" max="2" width="63.88671875" style="399" customWidth="1"/>
    <col min="3" max="3" width="15.5546875" style="399" customWidth="1"/>
    <col min="4" max="18" width="22.21875" style="399" customWidth="1"/>
    <col min="19" max="19" width="23.21875" style="399" bestFit="1" customWidth="1"/>
    <col min="20" max="26" width="22.21875" style="399" customWidth="1"/>
    <col min="27" max="27" width="23.21875" style="399" bestFit="1" customWidth="1"/>
    <col min="28" max="28" width="20" style="399" customWidth="1"/>
    <col min="29" max="16384" width="9.21875" style="399"/>
  </cols>
  <sheetData>
    <row r="1" spans="1:28" ht="13.8">
      <c r="A1" s="343" t="s">
        <v>31</v>
      </c>
      <c r="B1" s="386" t="str">
        <f>'Info '!C2</f>
        <v>JSC PASHA Bank Georgia</v>
      </c>
    </row>
    <row r="2" spans="1:28">
      <c r="A2" s="343" t="s">
        <v>32</v>
      </c>
      <c r="B2" s="385">
        <f>'1. key ratios '!B2</f>
        <v>45291</v>
      </c>
      <c r="C2" s="400"/>
    </row>
    <row r="3" spans="1:28">
      <c r="A3" s="344" t="s">
        <v>471</v>
      </c>
    </row>
    <row r="5" spans="1:28" ht="15" customHeight="1">
      <c r="A5" s="742" t="s">
        <v>686</v>
      </c>
      <c r="B5" s="743"/>
      <c r="C5" s="748" t="s">
        <v>472</v>
      </c>
      <c r="D5" s="749"/>
      <c r="E5" s="749"/>
      <c r="F5" s="749"/>
      <c r="G5" s="749"/>
      <c r="H5" s="749"/>
      <c r="I5" s="749"/>
      <c r="J5" s="749"/>
      <c r="K5" s="749"/>
      <c r="L5" s="749"/>
      <c r="M5" s="749"/>
      <c r="N5" s="749"/>
      <c r="O5" s="749"/>
      <c r="P5" s="749"/>
      <c r="Q5" s="749"/>
      <c r="R5" s="749"/>
      <c r="S5" s="749"/>
      <c r="T5" s="423"/>
      <c r="U5" s="423"/>
      <c r="V5" s="423"/>
      <c r="W5" s="423"/>
      <c r="X5" s="423"/>
      <c r="Y5" s="423"/>
      <c r="Z5" s="423"/>
      <c r="AA5" s="422"/>
      <c r="AB5" s="417"/>
    </row>
    <row r="6" spans="1:28" ht="12" customHeight="1">
      <c r="A6" s="744"/>
      <c r="B6" s="745"/>
      <c r="C6" s="750" t="s">
        <v>65</v>
      </c>
      <c r="D6" s="752" t="s">
        <v>685</v>
      </c>
      <c r="E6" s="752"/>
      <c r="F6" s="752"/>
      <c r="G6" s="752"/>
      <c r="H6" s="752" t="s">
        <v>684</v>
      </c>
      <c r="I6" s="752"/>
      <c r="J6" s="752"/>
      <c r="K6" s="752"/>
      <c r="L6" s="420"/>
      <c r="M6" s="753" t="s">
        <v>683</v>
      </c>
      <c r="N6" s="753"/>
      <c r="O6" s="753"/>
      <c r="P6" s="753"/>
      <c r="Q6" s="753"/>
      <c r="R6" s="753"/>
      <c r="S6" s="733"/>
      <c r="T6" s="421"/>
      <c r="U6" s="741" t="s">
        <v>682</v>
      </c>
      <c r="V6" s="741"/>
      <c r="W6" s="741"/>
      <c r="X6" s="741"/>
      <c r="Y6" s="741"/>
      <c r="Z6" s="741"/>
      <c r="AA6" s="734"/>
      <c r="AB6" s="420"/>
    </row>
    <row r="7" spans="1:28" ht="24">
      <c r="A7" s="746"/>
      <c r="B7" s="747"/>
      <c r="C7" s="751"/>
      <c r="D7" s="419"/>
      <c r="E7" s="396" t="s">
        <v>473</v>
      </c>
      <c r="F7" s="396" t="s">
        <v>680</v>
      </c>
      <c r="G7" s="398" t="s">
        <v>681</v>
      </c>
      <c r="H7" s="400"/>
      <c r="I7" s="396" t="s">
        <v>473</v>
      </c>
      <c r="J7" s="396" t="s">
        <v>680</v>
      </c>
      <c r="K7" s="398" t="s">
        <v>681</v>
      </c>
      <c r="L7" s="418"/>
      <c r="M7" s="396" t="s">
        <v>473</v>
      </c>
      <c r="N7" s="396" t="s">
        <v>680</v>
      </c>
      <c r="O7" s="396" t="s">
        <v>679</v>
      </c>
      <c r="P7" s="396" t="s">
        <v>678</v>
      </c>
      <c r="Q7" s="396" t="s">
        <v>677</v>
      </c>
      <c r="R7" s="396" t="s">
        <v>676</v>
      </c>
      <c r="S7" s="396" t="s">
        <v>675</v>
      </c>
      <c r="T7" s="418"/>
      <c r="U7" s="396" t="s">
        <v>473</v>
      </c>
      <c r="V7" s="396" t="s">
        <v>680</v>
      </c>
      <c r="W7" s="396" t="s">
        <v>679</v>
      </c>
      <c r="X7" s="396" t="s">
        <v>678</v>
      </c>
      <c r="Y7" s="396" t="s">
        <v>677</v>
      </c>
      <c r="Z7" s="396" t="s">
        <v>676</v>
      </c>
      <c r="AA7" s="396" t="s">
        <v>675</v>
      </c>
      <c r="AB7" s="417"/>
    </row>
    <row r="8" spans="1:28">
      <c r="A8" s="416">
        <v>1</v>
      </c>
      <c r="B8" s="392" t="s">
        <v>474</v>
      </c>
      <c r="C8" s="616">
        <f>SUM(C9:C14)</f>
        <v>352308810.99090004</v>
      </c>
      <c r="D8" s="616">
        <f t="shared" ref="D8:AA8" si="0">SUM(D9:D14)</f>
        <v>301456115.25300002</v>
      </c>
      <c r="E8" s="616">
        <f t="shared" si="0"/>
        <v>12378052.914800001</v>
      </c>
      <c r="F8" s="616">
        <f t="shared" si="0"/>
        <v>0</v>
      </c>
      <c r="G8" s="616">
        <f t="shared" si="0"/>
        <v>3293.5079999999998</v>
      </c>
      <c r="H8" s="616">
        <f t="shared" si="0"/>
        <v>20744142.589500003</v>
      </c>
      <c r="I8" s="616">
        <f t="shared" si="0"/>
        <v>2864046.5899</v>
      </c>
      <c r="J8" s="616">
        <f t="shared" si="0"/>
        <v>6066726.4030000009</v>
      </c>
      <c r="K8" s="616">
        <f t="shared" si="0"/>
        <v>0</v>
      </c>
      <c r="L8" s="616">
        <f t="shared" si="0"/>
        <v>27636288.487999998</v>
      </c>
      <c r="M8" s="616">
        <f t="shared" si="0"/>
        <v>318101.17849999998</v>
      </c>
      <c r="N8" s="616">
        <f t="shared" si="0"/>
        <v>1634820.6294</v>
      </c>
      <c r="O8" s="616">
        <f t="shared" si="0"/>
        <v>8866003.9083999991</v>
      </c>
      <c r="P8" s="616">
        <f t="shared" si="0"/>
        <v>3649303.6576</v>
      </c>
      <c r="Q8" s="616">
        <f t="shared" si="0"/>
        <v>5400732.3044999996</v>
      </c>
      <c r="R8" s="616">
        <f t="shared" si="0"/>
        <v>7035746.4112</v>
      </c>
      <c r="S8" s="616">
        <f t="shared" si="0"/>
        <v>0</v>
      </c>
      <c r="T8" s="616">
        <f t="shared" si="0"/>
        <v>2472264.6603999999</v>
      </c>
      <c r="U8" s="616">
        <f t="shared" si="0"/>
        <v>0</v>
      </c>
      <c r="V8" s="616">
        <f t="shared" si="0"/>
        <v>0</v>
      </c>
      <c r="W8" s="616">
        <f t="shared" si="0"/>
        <v>0</v>
      </c>
      <c r="X8" s="616">
        <f t="shared" si="0"/>
        <v>2420748.6603999999</v>
      </c>
      <c r="Y8" s="616">
        <f t="shared" si="0"/>
        <v>0</v>
      </c>
      <c r="Z8" s="616">
        <f t="shared" si="0"/>
        <v>0</v>
      </c>
      <c r="AA8" s="616">
        <f t="shared" si="0"/>
        <v>0</v>
      </c>
    </row>
    <row r="9" spans="1:28">
      <c r="A9" s="388">
        <v>1.1000000000000001</v>
      </c>
      <c r="B9" s="408" t="s">
        <v>475</v>
      </c>
      <c r="C9" s="617" t="s">
        <v>721</v>
      </c>
      <c r="D9" s="618" t="s">
        <v>721</v>
      </c>
      <c r="E9" s="618" t="s">
        <v>721</v>
      </c>
      <c r="F9" s="618" t="s">
        <v>721</v>
      </c>
      <c r="G9" s="618" t="s">
        <v>721</v>
      </c>
      <c r="H9" s="618" t="s">
        <v>721</v>
      </c>
      <c r="I9" s="618" t="s">
        <v>721</v>
      </c>
      <c r="J9" s="618" t="s">
        <v>721</v>
      </c>
      <c r="K9" s="618" t="s">
        <v>721</v>
      </c>
      <c r="L9" s="618" t="s">
        <v>721</v>
      </c>
      <c r="M9" s="618" t="s">
        <v>721</v>
      </c>
      <c r="N9" s="618" t="s">
        <v>721</v>
      </c>
      <c r="O9" s="618" t="s">
        <v>721</v>
      </c>
      <c r="P9" s="618" t="s">
        <v>721</v>
      </c>
      <c r="Q9" s="618" t="s">
        <v>721</v>
      </c>
      <c r="R9" s="618" t="s">
        <v>721</v>
      </c>
      <c r="S9" s="618" t="s">
        <v>721</v>
      </c>
      <c r="T9" s="618" t="s">
        <v>721</v>
      </c>
      <c r="U9" s="618" t="s">
        <v>721</v>
      </c>
      <c r="V9" s="618" t="s">
        <v>721</v>
      </c>
      <c r="W9" s="618" t="s">
        <v>721</v>
      </c>
      <c r="X9" s="618" t="s">
        <v>721</v>
      </c>
      <c r="Y9" s="618" t="s">
        <v>721</v>
      </c>
      <c r="Z9" s="618" t="s">
        <v>721</v>
      </c>
      <c r="AA9" s="618" t="s">
        <v>721</v>
      </c>
    </row>
    <row r="10" spans="1:28">
      <c r="A10" s="388">
        <v>1.2</v>
      </c>
      <c r="B10" s="408" t="s">
        <v>476</v>
      </c>
      <c r="C10" s="617" t="s">
        <v>721</v>
      </c>
      <c r="D10" s="618" t="s">
        <v>721</v>
      </c>
      <c r="E10" s="618" t="s">
        <v>721</v>
      </c>
      <c r="F10" s="618" t="s">
        <v>721</v>
      </c>
      <c r="G10" s="618" t="s">
        <v>721</v>
      </c>
      <c r="H10" s="618" t="s">
        <v>721</v>
      </c>
      <c r="I10" s="618" t="s">
        <v>721</v>
      </c>
      <c r="J10" s="618" t="s">
        <v>721</v>
      </c>
      <c r="K10" s="618" t="s">
        <v>721</v>
      </c>
      <c r="L10" s="618" t="s">
        <v>721</v>
      </c>
      <c r="M10" s="618" t="s">
        <v>721</v>
      </c>
      <c r="N10" s="618" t="s">
        <v>721</v>
      </c>
      <c r="O10" s="618" t="s">
        <v>721</v>
      </c>
      <c r="P10" s="618" t="s">
        <v>721</v>
      </c>
      <c r="Q10" s="618" t="s">
        <v>721</v>
      </c>
      <c r="R10" s="618" t="s">
        <v>721</v>
      </c>
      <c r="S10" s="618" t="s">
        <v>721</v>
      </c>
      <c r="T10" s="618" t="s">
        <v>721</v>
      </c>
      <c r="U10" s="618" t="s">
        <v>721</v>
      </c>
      <c r="V10" s="618" t="s">
        <v>721</v>
      </c>
      <c r="W10" s="618" t="s">
        <v>721</v>
      </c>
      <c r="X10" s="618" t="s">
        <v>721</v>
      </c>
      <c r="Y10" s="618" t="s">
        <v>721</v>
      </c>
      <c r="Z10" s="618" t="s">
        <v>721</v>
      </c>
      <c r="AA10" s="618" t="s">
        <v>721</v>
      </c>
    </row>
    <row r="11" spans="1:28">
      <c r="A11" s="388">
        <v>1.3</v>
      </c>
      <c r="B11" s="408" t="s">
        <v>477</v>
      </c>
      <c r="C11" s="617" t="s">
        <v>721</v>
      </c>
      <c r="D11" s="618" t="s">
        <v>721</v>
      </c>
      <c r="E11" s="618" t="s">
        <v>721</v>
      </c>
      <c r="F11" s="618" t="s">
        <v>721</v>
      </c>
      <c r="G11" s="618" t="s">
        <v>721</v>
      </c>
      <c r="H11" s="618" t="s">
        <v>721</v>
      </c>
      <c r="I11" s="618" t="s">
        <v>721</v>
      </c>
      <c r="J11" s="618" t="s">
        <v>721</v>
      </c>
      <c r="K11" s="618" t="s">
        <v>721</v>
      </c>
      <c r="L11" s="618" t="s">
        <v>721</v>
      </c>
      <c r="M11" s="618" t="s">
        <v>721</v>
      </c>
      <c r="N11" s="618" t="s">
        <v>721</v>
      </c>
      <c r="O11" s="618" t="s">
        <v>721</v>
      </c>
      <c r="P11" s="618" t="s">
        <v>721</v>
      </c>
      <c r="Q11" s="618" t="s">
        <v>721</v>
      </c>
      <c r="R11" s="618" t="s">
        <v>721</v>
      </c>
      <c r="S11" s="618" t="s">
        <v>721</v>
      </c>
      <c r="T11" s="618" t="s">
        <v>721</v>
      </c>
      <c r="U11" s="618" t="s">
        <v>721</v>
      </c>
      <c r="V11" s="618" t="s">
        <v>721</v>
      </c>
      <c r="W11" s="618" t="s">
        <v>721</v>
      </c>
      <c r="X11" s="618" t="s">
        <v>721</v>
      </c>
      <c r="Y11" s="618" t="s">
        <v>721</v>
      </c>
      <c r="Z11" s="618" t="s">
        <v>721</v>
      </c>
      <c r="AA11" s="618" t="s">
        <v>721</v>
      </c>
    </row>
    <row r="12" spans="1:28">
      <c r="A12" s="388">
        <v>1.4</v>
      </c>
      <c r="B12" s="408" t="s">
        <v>478</v>
      </c>
      <c r="C12" s="617">
        <v>58253766.406300001</v>
      </c>
      <c r="D12" s="618">
        <v>58092402.406300001</v>
      </c>
      <c r="E12" s="618">
        <v>0</v>
      </c>
      <c r="F12" s="618">
        <v>0</v>
      </c>
      <c r="G12" s="618">
        <v>0</v>
      </c>
      <c r="H12" s="618">
        <v>0</v>
      </c>
      <c r="I12" s="618">
        <v>0</v>
      </c>
      <c r="J12" s="618">
        <v>0</v>
      </c>
      <c r="K12" s="618">
        <v>0</v>
      </c>
      <c r="L12" s="618">
        <v>161364</v>
      </c>
      <c r="M12" s="618">
        <v>0</v>
      </c>
      <c r="N12" s="618">
        <v>0</v>
      </c>
      <c r="O12" s="618">
        <v>0</v>
      </c>
      <c r="P12" s="618">
        <v>0</v>
      </c>
      <c r="Q12" s="618">
        <v>0</v>
      </c>
      <c r="R12" s="618">
        <v>161364</v>
      </c>
      <c r="S12" s="618">
        <v>0</v>
      </c>
      <c r="T12" s="618">
        <v>0</v>
      </c>
      <c r="U12" s="618">
        <v>0</v>
      </c>
      <c r="V12" s="618">
        <v>0</v>
      </c>
      <c r="W12" s="618">
        <v>0</v>
      </c>
      <c r="X12" s="618">
        <v>0</v>
      </c>
      <c r="Y12" s="618">
        <v>0</v>
      </c>
      <c r="Z12" s="618">
        <v>0</v>
      </c>
      <c r="AA12" s="618">
        <v>0</v>
      </c>
    </row>
    <row r="13" spans="1:28">
      <c r="A13" s="388">
        <v>1.5</v>
      </c>
      <c r="B13" s="408" t="s">
        <v>479</v>
      </c>
      <c r="C13" s="617">
        <v>217054871.5977</v>
      </c>
      <c r="D13" s="618">
        <v>178566672.54800001</v>
      </c>
      <c r="E13" s="618">
        <v>11561468.114800001</v>
      </c>
      <c r="F13" s="618">
        <v>0</v>
      </c>
      <c r="G13" s="618">
        <v>0</v>
      </c>
      <c r="H13" s="618">
        <v>15523932.586200001</v>
      </c>
      <c r="I13" s="618">
        <v>2544292.2899000002</v>
      </c>
      <c r="J13" s="618">
        <v>4866388.7130000005</v>
      </c>
      <c r="K13" s="618">
        <v>0</v>
      </c>
      <c r="L13" s="618">
        <v>20515593.3303</v>
      </c>
      <c r="M13" s="618">
        <v>0</v>
      </c>
      <c r="N13" s="618">
        <v>1400951.9155999999</v>
      </c>
      <c r="O13" s="618">
        <v>7173050.5537999999</v>
      </c>
      <c r="P13" s="618">
        <v>2090909.5242999999</v>
      </c>
      <c r="Q13" s="618">
        <v>5400732.3044999996</v>
      </c>
      <c r="R13" s="618">
        <v>4391405.5313999997</v>
      </c>
      <c r="S13" s="618">
        <v>0</v>
      </c>
      <c r="T13" s="618">
        <v>2448673.1332</v>
      </c>
      <c r="U13" s="618">
        <v>0</v>
      </c>
      <c r="V13" s="618">
        <v>0</v>
      </c>
      <c r="W13" s="618">
        <v>0</v>
      </c>
      <c r="X13" s="618">
        <v>2397157.1332</v>
      </c>
      <c r="Y13" s="618">
        <v>0</v>
      </c>
      <c r="Z13" s="618">
        <v>0</v>
      </c>
      <c r="AA13" s="618">
        <v>0</v>
      </c>
    </row>
    <row r="14" spans="1:28">
      <c r="A14" s="388">
        <v>1.6</v>
      </c>
      <c r="B14" s="408" t="s">
        <v>480</v>
      </c>
      <c r="C14" s="617">
        <v>77000172.986900002</v>
      </c>
      <c r="D14" s="618">
        <v>64797040.298699997</v>
      </c>
      <c r="E14" s="618">
        <v>816584.8</v>
      </c>
      <c r="F14" s="618">
        <v>0</v>
      </c>
      <c r="G14" s="618">
        <v>3293.5079999999998</v>
      </c>
      <c r="H14" s="618">
        <v>5220210.0033</v>
      </c>
      <c r="I14" s="618">
        <v>319754.3</v>
      </c>
      <c r="J14" s="618">
        <v>1200337.69</v>
      </c>
      <c r="K14" s="618">
        <v>0</v>
      </c>
      <c r="L14" s="618">
        <v>6959331.1577000003</v>
      </c>
      <c r="M14" s="618">
        <v>318101.17849999998</v>
      </c>
      <c r="N14" s="618">
        <v>233868.7138</v>
      </c>
      <c r="O14" s="618">
        <v>1692953.3546</v>
      </c>
      <c r="P14" s="618">
        <v>1558394.1333000001</v>
      </c>
      <c r="Q14" s="618">
        <v>0</v>
      </c>
      <c r="R14" s="618">
        <v>2482976.8798000002</v>
      </c>
      <c r="S14" s="618">
        <v>0</v>
      </c>
      <c r="T14" s="618">
        <v>23591.5272</v>
      </c>
      <c r="U14" s="618">
        <v>0</v>
      </c>
      <c r="V14" s="618">
        <v>0</v>
      </c>
      <c r="W14" s="618">
        <v>0</v>
      </c>
      <c r="X14" s="618">
        <v>23591.5272</v>
      </c>
      <c r="Y14" s="618">
        <v>0</v>
      </c>
      <c r="Z14" s="618">
        <v>0</v>
      </c>
      <c r="AA14" s="618">
        <v>0</v>
      </c>
    </row>
    <row r="15" spans="1:28">
      <c r="A15" s="416">
        <v>2</v>
      </c>
      <c r="B15" s="392" t="s">
        <v>481</v>
      </c>
      <c r="C15" s="616">
        <f>SUM(C16:C21)</f>
        <v>65648198.918099999</v>
      </c>
      <c r="D15" s="616">
        <f t="shared" ref="D15:G15" si="1">SUM(D16:D21)</f>
        <v>60178798.948100001</v>
      </c>
      <c r="E15" s="616">
        <f t="shared" si="1"/>
        <v>0</v>
      </c>
      <c r="F15" s="616">
        <f t="shared" si="1"/>
        <v>0</v>
      </c>
      <c r="G15" s="616">
        <f t="shared" si="1"/>
        <v>0</v>
      </c>
      <c r="H15" s="616"/>
      <c r="I15" s="616"/>
      <c r="J15" s="616"/>
      <c r="K15" s="616"/>
      <c r="L15" s="616"/>
      <c r="M15" s="616"/>
      <c r="N15" s="616"/>
      <c r="O15" s="616"/>
      <c r="P15" s="616"/>
      <c r="Q15" s="616"/>
      <c r="R15" s="616"/>
      <c r="S15" s="616"/>
      <c r="T15" s="616"/>
      <c r="U15" s="616"/>
      <c r="V15" s="616"/>
      <c r="W15" s="616"/>
      <c r="X15" s="616"/>
      <c r="Y15" s="616"/>
      <c r="Z15" s="616"/>
      <c r="AA15" s="616"/>
    </row>
    <row r="16" spans="1:28">
      <c r="A16" s="388">
        <v>2.1</v>
      </c>
      <c r="B16" s="408" t="s">
        <v>475</v>
      </c>
      <c r="C16" s="617" t="s">
        <v>721</v>
      </c>
      <c r="D16" s="618" t="s">
        <v>721</v>
      </c>
      <c r="E16" s="618"/>
      <c r="F16" s="618"/>
      <c r="G16" s="618"/>
      <c r="H16" s="618"/>
      <c r="I16" s="618"/>
      <c r="J16" s="618"/>
      <c r="K16" s="618"/>
      <c r="L16" s="618"/>
      <c r="M16" s="618"/>
      <c r="N16" s="618"/>
      <c r="O16" s="618"/>
      <c r="P16" s="618"/>
      <c r="Q16" s="618"/>
      <c r="R16" s="618"/>
      <c r="S16" s="618"/>
      <c r="T16" s="618"/>
      <c r="U16" s="618"/>
      <c r="V16" s="618"/>
      <c r="W16" s="618"/>
      <c r="X16" s="618"/>
      <c r="Y16" s="618"/>
      <c r="Z16" s="618"/>
      <c r="AA16" s="618"/>
    </row>
    <row r="17" spans="1:27">
      <c r="A17" s="388">
        <v>2.2000000000000002</v>
      </c>
      <c r="B17" s="408" t="s">
        <v>476</v>
      </c>
      <c r="C17" s="617">
        <v>5469399.9699999997</v>
      </c>
      <c r="D17" s="617" t="s">
        <v>721</v>
      </c>
      <c r="E17" s="618"/>
      <c r="F17" s="618"/>
      <c r="G17" s="618"/>
      <c r="H17" s="618"/>
      <c r="I17" s="618"/>
      <c r="J17" s="618"/>
      <c r="K17" s="618"/>
      <c r="L17" s="618"/>
      <c r="M17" s="618"/>
      <c r="N17" s="618"/>
      <c r="O17" s="618"/>
      <c r="P17" s="618"/>
      <c r="Q17" s="618"/>
      <c r="R17" s="618"/>
      <c r="S17" s="618"/>
      <c r="T17" s="618"/>
      <c r="U17" s="618"/>
      <c r="V17" s="618"/>
      <c r="W17" s="618"/>
      <c r="X17" s="618"/>
      <c r="Y17" s="618"/>
      <c r="Z17" s="618"/>
      <c r="AA17" s="618"/>
    </row>
    <row r="18" spans="1:27">
      <c r="A18" s="388">
        <v>2.2999999999999998</v>
      </c>
      <c r="B18" s="408" t="s">
        <v>477</v>
      </c>
      <c r="C18" s="617" t="s">
        <v>721</v>
      </c>
      <c r="D18" s="618" t="s">
        <v>721</v>
      </c>
      <c r="E18" s="618"/>
      <c r="F18" s="618"/>
      <c r="G18" s="618"/>
      <c r="H18" s="618"/>
      <c r="I18" s="618"/>
      <c r="J18" s="618"/>
      <c r="K18" s="618"/>
      <c r="L18" s="618"/>
      <c r="M18" s="618"/>
      <c r="N18" s="618"/>
      <c r="O18" s="618"/>
      <c r="P18" s="618"/>
      <c r="Q18" s="618"/>
      <c r="R18" s="618"/>
      <c r="S18" s="618"/>
      <c r="T18" s="618"/>
      <c r="U18" s="618"/>
      <c r="V18" s="618"/>
      <c r="W18" s="618"/>
      <c r="X18" s="618"/>
      <c r="Y18" s="618"/>
      <c r="Z18" s="618"/>
      <c r="AA18" s="618"/>
    </row>
    <row r="19" spans="1:27">
      <c r="A19" s="388">
        <v>2.4</v>
      </c>
      <c r="B19" s="408" t="s">
        <v>478</v>
      </c>
      <c r="C19" s="617">
        <v>32897233.469999999</v>
      </c>
      <c r="D19" s="618">
        <v>32897233.469999999</v>
      </c>
      <c r="E19" s="618"/>
      <c r="F19" s="618"/>
      <c r="G19" s="618"/>
      <c r="H19" s="618"/>
      <c r="I19" s="618"/>
      <c r="J19" s="618"/>
      <c r="K19" s="618"/>
      <c r="L19" s="618"/>
      <c r="M19" s="618"/>
      <c r="N19" s="618"/>
      <c r="O19" s="618"/>
      <c r="P19" s="618"/>
      <c r="Q19" s="618"/>
      <c r="R19" s="618"/>
      <c r="S19" s="618"/>
      <c r="T19" s="618"/>
      <c r="U19" s="618"/>
      <c r="V19" s="618"/>
      <c r="W19" s="618"/>
      <c r="X19" s="618"/>
      <c r="Y19" s="618"/>
      <c r="Z19" s="618"/>
      <c r="AA19" s="618"/>
    </row>
    <row r="20" spans="1:27">
      <c r="A20" s="388">
        <v>2.5</v>
      </c>
      <c r="B20" s="408" t="s">
        <v>479</v>
      </c>
      <c r="C20" s="617">
        <v>27281565.478100002</v>
      </c>
      <c r="D20" s="618">
        <v>27281565.478100002</v>
      </c>
      <c r="E20" s="618"/>
      <c r="F20" s="618"/>
      <c r="G20" s="618"/>
      <c r="H20" s="618"/>
      <c r="I20" s="618"/>
      <c r="J20" s="618"/>
      <c r="K20" s="618"/>
      <c r="L20" s="618"/>
      <c r="M20" s="618"/>
      <c r="N20" s="618"/>
      <c r="O20" s="618"/>
      <c r="P20" s="618"/>
      <c r="Q20" s="618"/>
      <c r="R20" s="618"/>
      <c r="S20" s="618"/>
      <c r="T20" s="618"/>
      <c r="U20" s="618"/>
      <c r="V20" s="618"/>
      <c r="W20" s="618"/>
      <c r="X20" s="618"/>
      <c r="Y20" s="618"/>
      <c r="Z20" s="618"/>
      <c r="AA20" s="618"/>
    </row>
    <row r="21" spans="1:27">
      <c r="A21" s="388">
        <v>2.6</v>
      </c>
      <c r="B21" s="408" t="s">
        <v>480</v>
      </c>
      <c r="C21" s="617"/>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row>
    <row r="22" spans="1:27">
      <c r="A22" s="416">
        <v>3</v>
      </c>
      <c r="B22" s="392" t="s">
        <v>521</v>
      </c>
      <c r="C22" s="616">
        <f>SUM(C23:C28)</f>
        <v>184466129.9558</v>
      </c>
      <c r="D22" s="616">
        <f>SUM(D23:D28)</f>
        <v>183326739.3364</v>
      </c>
      <c r="E22" s="619"/>
      <c r="F22" s="619"/>
      <c r="G22" s="619"/>
      <c r="H22" s="616">
        <f>SUM(H23:H28)</f>
        <v>1129838.8692999999</v>
      </c>
      <c r="I22" s="619"/>
      <c r="J22" s="619"/>
      <c r="K22" s="619"/>
      <c r="L22" s="616">
        <f>SUM(L23:L28)</f>
        <v>9551.75</v>
      </c>
      <c r="M22" s="619"/>
      <c r="N22" s="619"/>
      <c r="O22" s="619"/>
      <c r="P22" s="619"/>
      <c r="Q22" s="619"/>
      <c r="R22" s="619"/>
      <c r="S22" s="619"/>
      <c r="T22" s="616">
        <f>SUM(T23:T28)</f>
        <v>0</v>
      </c>
      <c r="U22" s="619"/>
      <c r="V22" s="619"/>
      <c r="W22" s="619"/>
      <c r="X22" s="619"/>
      <c r="Y22" s="619"/>
      <c r="Z22" s="619"/>
      <c r="AA22" s="619"/>
    </row>
    <row r="23" spans="1:27">
      <c r="A23" s="388">
        <v>3.1</v>
      </c>
      <c r="B23" s="408" t="s">
        <v>475</v>
      </c>
      <c r="C23" s="617" t="s">
        <v>721</v>
      </c>
      <c r="D23" s="616" t="s">
        <v>721</v>
      </c>
      <c r="E23" s="619" t="s">
        <v>721</v>
      </c>
      <c r="F23" s="619" t="s">
        <v>721</v>
      </c>
      <c r="G23" s="619" t="s">
        <v>721</v>
      </c>
      <c r="H23" s="616" t="s">
        <v>721</v>
      </c>
      <c r="I23" s="619" t="s">
        <v>721</v>
      </c>
      <c r="J23" s="619" t="s">
        <v>721</v>
      </c>
      <c r="K23" s="619" t="s">
        <v>721</v>
      </c>
      <c r="L23" s="616" t="s">
        <v>721</v>
      </c>
      <c r="M23" s="619" t="s">
        <v>721</v>
      </c>
      <c r="N23" s="619" t="s">
        <v>721</v>
      </c>
      <c r="O23" s="619" t="s">
        <v>721</v>
      </c>
      <c r="P23" s="619" t="s">
        <v>721</v>
      </c>
      <c r="Q23" s="619" t="s">
        <v>721</v>
      </c>
      <c r="R23" s="619" t="s">
        <v>721</v>
      </c>
      <c r="S23" s="619" t="s">
        <v>721</v>
      </c>
      <c r="T23" s="616" t="s">
        <v>721</v>
      </c>
      <c r="U23" s="619" t="s">
        <v>721</v>
      </c>
      <c r="V23" s="619" t="s">
        <v>721</v>
      </c>
      <c r="W23" s="619" t="s">
        <v>721</v>
      </c>
      <c r="X23" s="619" t="s">
        <v>721</v>
      </c>
      <c r="Y23" s="619" t="s">
        <v>721</v>
      </c>
      <c r="Z23" s="619" t="s">
        <v>721</v>
      </c>
      <c r="AA23" s="619" t="s">
        <v>721</v>
      </c>
    </row>
    <row r="24" spans="1:27">
      <c r="A24" s="388">
        <v>3.2</v>
      </c>
      <c r="B24" s="408" t="s">
        <v>476</v>
      </c>
      <c r="C24" s="617" t="s">
        <v>721</v>
      </c>
      <c r="D24" s="618" t="s">
        <v>721</v>
      </c>
      <c r="E24" s="619" t="s">
        <v>721</v>
      </c>
      <c r="F24" s="619" t="s">
        <v>721</v>
      </c>
      <c r="G24" s="619" t="s">
        <v>721</v>
      </c>
      <c r="H24" s="616" t="s">
        <v>721</v>
      </c>
      <c r="I24" s="619" t="s">
        <v>721</v>
      </c>
      <c r="J24" s="619" t="s">
        <v>721</v>
      </c>
      <c r="K24" s="619" t="s">
        <v>721</v>
      </c>
      <c r="L24" s="616" t="s">
        <v>721</v>
      </c>
      <c r="M24" s="619" t="s">
        <v>721</v>
      </c>
      <c r="N24" s="619" t="s">
        <v>721</v>
      </c>
      <c r="O24" s="619" t="s">
        <v>721</v>
      </c>
      <c r="P24" s="619" t="s">
        <v>721</v>
      </c>
      <c r="Q24" s="619" t="s">
        <v>721</v>
      </c>
      <c r="R24" s="619" t="s">
        <v>721</v>
      </c>
      <c r="S24" s="619" t="s">
        <v>721</v>
      </c>
      <c r="T24" s="616" t="s">
        <v>721</v>
      </c>
      <c r="U24" s="619" t="s">
        <v>721</v>
      </c>
      <c r="V24" s="619" t="s">
        <v>721</v>
      </c>
      <c r="W24" s="619" t="s">
        <v>721</v>
      </c>
      <c r="X24" s="619" t="s">
        <v>721</v>
      </c>
      <c r="Y24" s="619" t="s">
        <v>721</v>
      </c>
      <c r="Z24" s="619" t="s">
        <v>721</v>
      </c>
      <c r="AA24" s="619" t="s">
        <v>721</v>
      </c>
    </row>
    <row r="25" spans="1:27">
      <c r="A25" s="388">
        <v>3.3</v>
      </c>
      <c r="B25" s="408" t="s">
        <v>477</v>
      </c>
      <c r="C25" s="617">
        <v>670000</v>
      </c>
      <c r="D25" s="618">
        <v>670000</v>
      </c>
      <c r="E25" s="619" t="s">
        <v>721</v>
      </c>
      <c r="F25" s="619" t="s">
        <v>721</v>
      </c>
      <c r="G25" s="619" t="s">
        <v>721</v>
      </c>
      <c r="H25" s="616">
        <v>0</v>
      </c>
      <c r="I25" s="619" t="s">
        <v>721</v>
      </c>
      <c r="J25" s="619" t="s">
        <v>721</v>
      </c>
      <c r="K25" s="619" t="s">
        <v>721</v>
      </c>
      <c r="L25" s="616">
        <v>0</v>
      </c>
      <c r="M25" s="619" t="s">
        <v>721</v>
      </c>
      <c r="N25" s="619" t="s">
        <v>721</v>
      </c>
      <c r="O25" s="619" t="s">
        <v>721</v>
      </c>
      <c r="P25" s="619" t="s">
        <v>721</v>
      </c>
      <c r="Q25" s="619" t="s">
        <v>721</v>
      </c>
      <c r="R25" s="619" t="s">
        <v>721</v>
      </c>
      <c r="S25" s="619" t="s">
        <v>721</v>
      </c>
      <c r="T25" s="616">
        <v>0</v>
      </c>
      <c r="U25" s="619" t="s">
        <v>721</v>
      </c>
      <c r="V25" s="619" t="s">
        <v>721</v>
      </c>
      <c r="W25" s="619" t="s">
        <v>721</v>
      </c>
      <c r="X25" s="619" t="s">
        <v>721</v>
      </c>
      <c r="Y25" s="619" t="s">
        <v>721</v>
      </c>
      <c r="Z25" s="619" t="s">
        <v>721</v>
      </c>
      <c r="AA25" s="619" t="s">
        <v>721</v>
      </c>
    </row>
    <row r="26" spans="1:27">
      <c r="A26" s="388">
        <v>3.4</v>
      </c>
      <c r="B26" s="408" t="s">
        <v>478</v>
      </c>
      <c r="C26" s="617">
        <v>15139564.672900001</v>
      </c>
      <c r="D26" s="618">
        <v>15139564.672900001</v>
      </c>
      <c r="E26" s="619" t="s">
        <v>721</v>
      </c>
      <c r="F26" s="619" t="s">
        <v>721</v>
      </c>
      <c r="G26" s="619" t="s">
        <v>721</v>
      </c>
      <c r="H26" s="616">
        <v>0</v>
      </c>
      <c r="I26" s="619" t="s">
        <v>721</v>
      </c>
      <c r="J26" s="619" t="s">
        <v>721</v>
      </c>
      <c r="K26" s="619" t="s">
        <v>721</v>
      </c>
      <c r="L26" s="616">
        <v>0</v>
      </c>
      <c r="M26" s="619" t="s">
        <v>721</v>
      </c>
      <c r="N26" s="619" t="s">
        <v>721</v>
      </c>
      <c r="O26" s="619" t="s">
        <v>721</v>
      </c>
      <c r="P26" s="619" t="s">
        <v>721</v>
      </c>
      <c r="Q26" s="619" t="s">
        <v>721</v>
      </c>
      <c r="R26" s="619" t="s">
        <v>721</v>
      </c>
      <c r="S26" s="619" t="s">
        <v>721</v>
      </c>
      <c r="T26" s="616">
        <v>0</v>
      </c>
      <c r="U26" s="619" t="s">
        <v>721</v>
      </c>
      <c r="V26" s="619" t="s">
        <v>721</v>
      </c>
      <c r="W26" s="619" t="s">
        <v>721</v>
      </c>
      <c r="X26" s="619" t="s">
        <v>721</v>
      </c>
      <c r="Y26" s="619" t="s">
        <v>721</v>
      </c>
      <c r="Z26" s="619" t="s">
        <v>721</v>
      </c>
      <c r="AA26" s="619" t="s">
        <v>721</v>
      </c>
    </row>
    <row r="27" spans="1:27">
      <c r="A27" s="388">
        <v>3.5</v>
      </c>
      <c r="B27" s="408" t="s">
        <v>479</v>
      </c>
      <c r="C27" s="617">
        <v>96742656.092899993</v>
      </c>
      <c r="D27" s="618">
        <v>96430521.743499994</v>
      </c>
      <c r="E27" s="619" t="s">
        <v>721</v>
      </c>
      <c r="F27" s="619" t="s">
        <v>721</v>
      </c>
      <c r="G27" s="619" t="s">
        <v>721</v>
      </c>
      <c r="H27" s="618">
        <v>312134.3493</v>
      </c>
      <c r="I27" s="619" t="s">
        <v>721</v>
      </c>
      <c r="J27" s="619" t="s">
        <v>721</v>
      </c>
      <c r="K27" s="619" t="s">
        <v>721</v>
      </c>
      <c r="L27" s="616">
        <v>0</v>
      </c>
      <c r="M27" s="619" t="s">
        <v>721</v>
      </c>
      <c r="N27" s="619" t="s">
        <v>721</v>
      </c>
      <c r="O27" s="619" t="s">
        <v>721</v>
      </c>
      <c r="P27" s="619" t="s">
        <v>721</v>
      </c>
      <c r="Q27" s="619" t="s">
        <v>721</v>
      </c>
      <c r="R27" s="619" t="s">
        <v>721</v>
      </c>
      <c r="S27" s="619" t="s">
        <v>721</v>
      </c>
      <c r="T27" s="616">
        <v>0</v>
      </c>
      <c r="U27" s="619" t="s">
        <v>721</v>
      </c>
      <c r="V27" s="619" t="s">
        <v>721</v>
      </c>
      <c r="W27" s="619" t="s">
        <v>721</v>
      </c>
      <c r="X27" s="619" t="s">
        <v>721</v>
      </c>
      <c r="Y27" s="619" t="s">
        <v>721</v>
      </c>
      <c r="Z27" s="619" t="s">
        <v>721</v>
      </c>
      <c r="AA27" s="619" t="s">
        <v>721</v>
      </c>
    </row>
    <row r="28" spans="1:27">
      <c r="A28" s="388">
        <v>3.6</v>
      </c>
      <c r="B28" s="408" t="s">
        <v>480</v>
      </c>
      <c r="C28" s="617">
        <v>71913909.189999998</v>
      </c>
      <c r="D28" s="618">
        <v>71086652.920000002</v>
      </c>
      <c r="E28" s="619" t="s">
        <v>721</v>
      </c>
      <c r="F28" s="619" t="s">
        <v>721</v>
      </c>
      <c r="G28" s="619" t="s">
        <v>721</v>
      </c>
      <c r="H28" s="618">
        <v>817704.52</v>
      </c>
      <c r="I28" s="619" t="s">
        <v>721</v>
      </c>
      <c r="J28" s="619" t="s">
        <v>721</v>
      </c>
      <c r="K28" s="619" t="s">
        <v>721</v>
      </c>
      <c r="L28" s="618">
        <v>9551.75</v>
      </c>
      <c r="M28" s="619" t="s">
        <v>721</v>
      </c>
      <c r="N28" s="619" t="s">
        <v>721</v>
      </c>
      <c r="O28" s="619" t="s">
        <v>721</v>
      </c>
      <c r="P28" s="619" t="s">
        <v>721</v>
      </c>
      <c r="Q28" s="619" t="s">
        <v>721</v>
      </c>
      <c r="R28" s="619" t="s">
        <v>721</v>
      </c>
      <c r="S28" s="619" t="s">
        <v>721</v>
      </c>
      <c r="T28" s="616">
        <v>0</v>
      </c>
      <c r="U28" s="619" t="s">
        <v>721</v>
      </c>
      <c r="V28" s="619" t="s">
        <v>721</v>
      </c>
      <c r="W28" s="619" t="s">
        <v>721</v>
      </c>
      <c r="X28" s="619" t="s">
        <v>721</v>
      </c>
      <c r="Y28" s="619" t="s">
        <v>721</v>
      </c>
      <c r="Z28" s="619" t="s">
        <v>721</v>
      </c>
      <c r="AA28" s="619" t="s">
        <v>721</v>
      </c>
    </row>
  </sheetData>
  <mergeCells count="7">
    <mergeCell ref="U6:AA6"/>
    <mergeCell ref="A5:B7"/>
    <mergeCell ref="C5:S5"/>
    <mergeCell ref="C6:C7"/>
    <mergeCell ref="D6:G6"/>
    <mergeCell ref="H6:K6"/>
    <mergeCell ref="M6:S6"/>
  </mergeCells>
  <pageMargins left="0.7" right="0.7" top="0.75" bottom="0.75" header="0.3" footer="0.3"/>
  <pageSetup paperSize="9" scale="1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zoomScaleNormal="100" workbookViewId="0"/>
  </sheetViews>
  <sheetFormatPr defaultColWidth="9.21875" defaultRowHeight="12"/>
  <cols>
    <col min="1" max="1" width="11.77734375" style="399" bestFit="1" customWidth="1"/>
    <col min="2" max="2" width="90.21875" style="399" bestFit="1" customWidth="1"/>
    <col min="3" max="3" width="20.21875" style="399" customWidth="1"/>
    <col min="4" max="4" width="22.21875" style="399" customWidth="1"/>
    <col min="5" max="7" width="17.109375" style="399" customWidth="1"/>
    <col min="8" max="8" width="22.21875" style="399" customWidth="1"/>
    <col min="9" max="10" width="17.109375" style="399" customWidth="1"/>
    <col min="11" max="27" width="22.21875" style="399" customWidth="1"/>
    <col min="28" max="16384" width="9.21875" style="399"/>
  </cols>
  <sheetData>
    <row r="1" spans="1:27" ht="13.8">
      <c r="A1" s="343" t="s">
        <v>31</v>
      </c>
      <c r="B1" s="386" t="str">
        <f>'Info '!C2</f>
        <v>JSC PASHA Bank Georgia</v>
      </c>
    </row>
    <row r="2" spans="1:27">
      <c r="A2" s="343" t="s">
        <v>32</v>
      </c>
      <c r="B2" s="385">
        <f>'1. key ratios '!B2</f>
        <v>45291</v>
      </c>
    </row>
    <row r="3" spans="1:27">
      <c r="A3" s="344" t="s">
        <v>483</v>
      </c>
      <c r="C3" s="401"/>
    </row>
    <row r="4" spans="1:27" ht="12.6" thickBot="1">
      <c r="A4" s="344"/>
      <c r="B4" s="401"/>
      <c r="C4" s="401"/>
    </row>
    <row r="5" spans="1:27" ht="13.5" customHeight="1">
      <c r="A5" s="754" t="s">
        <v>689</v>
      </c>
      <c r="B5" s="755"/>
      <c r="C5" s="763" t="s">
        <v>688</v>
      </c>
      <c r="D5" s="764"/>
      <c r="E5" s="764"/>
      <c r="F5" s="764"/>
      <c r="G5" s="764"/>
      <c r="H5" s="764"/>
      <c r="I5" s="764"/>
      <c r="J5" s="764"/>
      <c r="K5" s="764"/>
      <c r="L5" s="764"/>
      <c r="M5" s="764"/>
      <c r="N5" s="764"/>
      <c r="O5" s="764"/>
      <c r="P5" s="764"/>
      <c r="Q5" s="764"/>
      <c r="R5" s="764"/>
      <c r="S5" s="765"/>
      <c r="T5" s="423"/>
      <c r="U5" s="423"/>
      <c r="V5" s="423"/>
      <c r="W5" s="423"/>
      <c r="X5" s="423"/>
      <c r="Y5" s="423"/>
      <c r="Z5" s="423"/>
      <c r="AA5" s="422"/>
    </row>
    <row r="6" spans="1:27" ht="12" customHeight="1">
      <c r="A6" s="756"/>
      <c r="B6" s="757"/>
      <c r="C6" s="760" t="s">
        <v>65</v>
      </c>
      <c r="D6" s="752" t="s">
        <v>685</v>
      </c>
      <c r="E6" s="752"/>
      <c r="F6" s="752"/>
      <c r="G6" s="752"/>
      <c r="H6" s="752" t="s">
        <v>684</v>
      </c>
      <c r="I6" s="752"/>
      <c r="J6" s="752"/>
      <c r="K6" s="752"/>
      <c r="L6" s="420"/>
      <c r="M6" s="753" t="s">
        <v>683</v>
      </c>
      <c r="N6" s="753"/>
      <c r="O6" s="753"/>
      <c r="P6" s="753"/>
      <c r="Q6" s="753"/>
      <c r="R6" s="753"/>
      <c r="S6" s="762"/>
      <c r="T6" s="423"/>
      <c r="U6" s="741" t="s">
        <v>682</v>
      </c>
      <c r="V6" s="741"/>
      <c r="W6" s="741"/>
      <c r="X6" s="741"/>
      <c r="Y6" s="741"/>
      <c r="Z6" s="741"/>
      <c r="AA6" s="734"/>
    </row>
    <row r="7" spans="1:27" ht="24">
      <c r="A7" s="758"/>
      <c r="B7" s="759"/>
      <c r="C7" s="761"/>
      <c r="D7" s="419"/>
      <c r="E7" s="396" t="s">
        <v>473</v>
      </c>
      <c r="F7" s="396" t="s">
        <v>680</v>
      </c>
      <c r="G7" s="398" t="s">
        <v>681</v>
      </c>
      <c r="H7" s="400"/>
      <c r="I7" s="396" t="s">
        <v>473</v>
      </c>
      <c r="J7" s="396" t="s">
        <v>680</v>
      </c>
      <c r="K7" s="398" t="s">
        <v>681</v>
      </c>
      <c r="L7" s="418"/>
      <c r="M7" s="396" t="s">
        <v>473</v>
      </c>
      <c r="N7" s="396" t="s">
        <v>680</v>
      </c>
      <c r="O7" s="396" t="s">
        <v>679</v>
      </c>
      <c r="P7" s="396" t="s">
        <v>678</v>
      </c>
      <c r="Q7" s="396" t="s">
        <v>677</v>
      </c>
      <c r="R7" s="396" t="s">
        <v>676</v>
      </c>
      <c r="S7" s="444" t="s">
        <v>675</v>
      </c>
      <c r="T7" s="443"/>
      <c r="U7" s="396" t="s">
        <v>473</v>
      </c>
      <c r="V7" s="396" t="s">
        <v>680</v>
      </c>
      <c r="W7" s="396" t="s">
        <v>679</v>
      </c>
      <c r="X7" s="396" t="s">
        <v>678</v>
      </c>
      <c r="Y7" s="396" t="s">
        <v>677</v>
      </c>
      <c r="Z7" s="396" t="s">
        <v>676</v>
      </c>
      <c r="AA7" s="396" t="s">
        <v>675</v>
      </c>
    </row>
    <row r="8" spans="1:27">
      <c r="A8" s="442">
        <v>1</v>
      </c>
      <c r="B8" s="441" t="s">
        <v>474</v>
      </c>
      <c r="C8" s="620">
        <v>352308810.99089998</v>
      </c>
      <c r="D8" s="616">
        <v>301456115.25300002</v>
      </c>
      <c r="E8" s="616">
        <v>12378052.914799999</v>
      </c>
      <c r="F8" s="616">
        <v>0</v>
      </c>
      <c r="G8" s="616">
        <v>3293.5079999999998</v>
      </c>
      <c r="H8" s="616">
        <v>20744142.589499999</v>
      </c>
      <c r="I8" s="616">
        <v>2864046.5899</v>
      </c>
      <c r="J8" s="616">
        <v>6066726.4029999999</v>
      </c>
      <c r="K8" s="616">
        <v>0</v>
      </c>
      <c r="L8" s="616">
        <v>27636288.488000002</v>
      </c>
      <c r="M8" s="616">
        <v>318101.17849999998</v>
      </c>
      <c r="N8" s="616">
        <v>1634820.6294</v>
      </c>
      <c r="O8" s="616">
        <v>8866003.9083999991</v>
      </c>
      <c r="P8" s="616">
        <v>3649303.6576</v>
      </c>
      <c r="Q8" s="616">
        <v>5400732.3044999996</v>
      </c>
      <c r="R8" s="616">
        <v>7035746.4112</v>
      </c>
      <c r="S8" s="616">
        <v>0</v>
      </c>
      <c r="T8" s="616">
        <v>2472264.6603999999</v>
      </c>
      <c r="U8" s="616">
        <v>0</v>
      </c>
      <c r="V8" s="616">
        <v>0</v>
      </c>
      <c r="W8" s="616">
        <v>0</v>
      </c>
      <c r="X8" s="616">
        <v>2420748.6603999999</v>
      </c>
      <c r="Y8" s="616">
        <v>0</v>
      </c>
      <c r="Z8" s="616">
        <v>0</v>
      </c>
      <c r="AA8" s="621">
        <v>0</v>
      </c>
    </row>
    <row r="9" spans="1:27">
      <c r="A9" s="434">
        <v>1.1000000000000001</v>
      </c>
      <c r="B9" s="440" t="s">
        <v>484</v>
      </c>
      <c r="C9" s="622">
        <v>267035953.4084</v>
      </c>
      <c r="D9" s="618">
        <v>224896771.91499999</v>
      </c>
      <c r="E9" s="618">
        <v>11561468.114800001</v>
      </c>
      <c r="F9" s="618">
        <v>0</v>
      </c>
      <c r="G9" s="618">
        <v>0</v>
      </c>
      <c r="H9" s="618">
        <v>16457300.8695</v>
      </c>
      <c r="I9" s="618">
        <v>2544292.2899000002</v>
      </c>
      <c r="J9" s="618">
        <v>4866388.7130000005</v>
      </c>
      <c r="K9" s="618">
        <v>0</v>
      </c>
      <c r="L9" s="618">
        <v>23284723.490699999</v>
      </c>
      <c r="M9" s="618">
        <v>165847.5606</v>
      </c>
      <c r="N9" s="618">
        <v>1400951.9155999999</v>
      </c>
      <c r="O9" s="618">
        <v>7173050.5537999999</v>
      </c>
      <c r="P9" s="618">
        <v>2090909.5242999999</v>
      </c>
      <c r="Q9" s="618">
        <v>5400732.3044999996</v>
      </c>
      <c r="R9" s="618">
        <v>6994688.1311999997</v>
      </c>
      <c r="S9" s="618">
        <v>0</v>
      </c>
      <c r="T9" s="618">
        <v>2397157.1332</v>
      </c>
      <c r="U9" s="618">
        <v>0</v>
      </c>
      <c r="V9" s="618">
        <v>0</v>
      </c>
      <c r="W9" s="618">
        <v>0</v>
      </c>
      <c r="X9" s="618">
        <v>2397157.1332</v>
      </c>
      <c r="Y9" s="618">
        <v>0</v>
      </c>
      <c r="Z9" s="618">
        <v>0</v>
      </c>
      <c r="AA9" s="623">
        <v>0</v>
      </c>
    </row>
    <row r="10" spans="1:27">
      <c r="A10" s="438" t="s">
        <v>15</v>
      </c>
      <c r="B10" s="439" t="s">
        <v>485</v>
      </c>
      <c r="C10" s="624">
        <v>201968990.8612</v>
      </c>
      <c r="D10" s="618">
        <v>160219306.77379999</v>
      </c>
      <c r="E10" s="618">
        <v>11561468.114800001</v>
      </c>
      <c r="F10" s="618">
        <v>0</v>
      </c>
      <c r="G10" s="618">
        <v>0</v>
      </c>
      <c r="H10" s="618">
        <v>16457300.8695</v>
      </c>
      <c r="I10" s="618">
        <v>2544292.2899000002</v>
      </c>
      <c r="J10" s="618">
        <v>4866388.7130000005</v>
      </c>
      <c r="K10" s="618">
        <v>0</v>
      </c>
      <c r="L10" s="618">
        <v>22895226.0847</v>
      </c>
      <c r="M10" s="618">
        <v>165847.5606</v>
      </c>
      <c r="N10" s="618">
        <v>1172818.5096</v>
      </c>
      <c r="O10" s="618">
        <v>7173050.5537999999</v>
      </c>
      <c r="P10" s="618">
        <v>2090909.5242999999</v>
      </c>
      <c r="Q10" s="618">
        <v>5400732.3044999996</v>
      </c>
      <c r="R10" s="618">
        <v>6833324.1311999997</v>
      </c>
      <c r="S10" s="618">
        <v>0</v>
      </c>
      <c r="T10" s="618">
        <v>2397157.1332</v>
      </c>
      <c r="U10" s="618">
        <v>0</v>
      </c>
      <c r="V10" s="618">
        <v>0</v>
      </c>
      <c r="W10" s="618">
        <v>0</v>
      </c>
      <c r="X10" s="618">
        <v>2397157.1332</v>
      </c>
      <c r="Y10" s="618">
        <v>0</v>
      </c>
      <c r="Z10" s="618">
        <v>0</v>
      </c>
      <c r="AA10" s="623">
        <v>0</v>
      </c>
    </row>
    <row r="11" spans="1:27">
      <c r="A11" s="436" t="s">
        <v>486</v>
      </c>
      <c r="B11" s="437" t="s">
        <v>487</v>
      </c>
      <c r="C11" s="625">
        <v>124225360.8776</v>
      </c>
      <c r="D11" s="618">
        <v>98433577.083100006</v>
      </c>
      <c r="E11" s="618">
        <v>6233743.9622999998</v>
      </c>
      <c r="F11" s="618">
        <v>0</v>
      </c>
      <c r="G11" s="618">
        <v>0</v>
      </c>
      <c r="H11" s="618">
        <v>8114509.9003999997</v>
      </c>
      <c r="I11" s="618">
        <v>0</v>
      </c>
      <c r="J11" s="618">
        <v>70492.533299999996</v>
      </c>
      <c r="K11" s="618">
        <v>0</v>
      </c>
      <c r="L11" s="618">
        <v>17677273.894099999</v>
      </c>
      <c r="M11" s="618">
        <v>165847.5606</v>
      </c>
      <c r="N11" s="618">
        <v>1172818.5096</v>
      </c>
      <c r="O11" s="618">
        <v>6397913.0915000001</v>
      </c>
      <c r="P11" s="618">
        <v>2091053.9942999999</v>
      </c>
      <c r="Q11" s="618">
        <v>5403714.9744999995</v>
      </c>
      <c r="R11" s="618">
        <v>2445925.7636000002</v>
      </c>
      <c r="S11" s="618">
        <v>0</v>
      </c>
      <c r="T11" s="618">
        <v>0</v>
      </c>
      <c r="U11" s="618">
        <v>0</v>
      </c>
      <c r="V11" s="618">
        <v>0</v>
      </c>
      <c r="W11" s="618">
        <v>0</v>
      </c>
      <c r="X11" s="618">
        <v>0</v>
      </c>
      <c r="Y11" s="618">
        <v>0</v>
      </c>
      <c r="Z11" s="618">
        <v>0</v>
      </c>
      <c r="AA11" s="623">
        <v>0</v>
      </c>
    </row>
    <row r="12" spans="1:27">
      <c r="A12" s="436" t="s">
        <v>488</v>
      </c>
      <c r="B12" s="437" t="s">
        <v>489</v>
      </c>
      <c r="C12" s="625">
        <v>7659660.5857999995</v>
      </c>
      <c r="D12" s="618">
        <v>7659660.5857999995</v>
      </c>
      <c r="E12" s="618">
        <v>0</v>
      </c>
      <c r="F12" s="618">
        <v>0</v>
      </c>
      <c r="G12" s="618">
        <v>0</v>
      </c>
      <c r="H12" s="618">
        <v>0</v>
      </c>
      <c r="I12" s="618">
        <v>0</v>
      </c>
      <c r="J12" s="618">
        <v>0</v>
      </c>
      <c r="K12" s="618">
        <v>0</v>
      </c>
      <c r="L12" s="618">
        <v>0</v>
      </c>
      <c r="M12" s="618">
        <v>0</v>
      </c>
      <c r="N12" s="618">
        <v>0</v>
      </c>
      <c r="O12" s="618">
        <v>0</v>
      </c>
      <c r="P12" s="618">
        <v>0</v>
      </c>
      <c r="Q12" s="618">
        <v>0</v>
      </c>
      <c r="R12" s="618">
        <v>0</v>
      </c>
      <c r="S12" s="618">
        <v>0</v>
      </c>
      <c r="T12" s="618">
        <v>0</v>
      </c>
      <c r="U12" s="618">
        <v>0</v>
      </c>
      <c r="V12" s="618">
        <v>0</v>
      </c>
      <c r="W12" s="618">
        <v>0</v>
      </c>
      <c r="X12" s="618">
        <v>0</v>
      </c>
      <c r="Y12" s="618">
        <v>0</v>
      </c>
      <c r="Z12" s="618">
        <v>0</v>
      </c>
      <c r="AA12" s="623">
        <v>0</v>
      </c>
    </row>
    <row r="13" spans="1:27">
      <c r="A13" s="436" t="s">
        <v>490</v>
      </c>
      <c r="B13" s="437" t="s">
        <v>491</v>
      </c>
      <c r="C13" s="625">
        <v>4626625.8397000004</v>
      </c>
      <c r="D13" s="618">
        <v>0</v>
      </c>
      <c r="E13" s="618">
        <v>0</v>
      </c>
      <c r="F13" s="618">
        <v>0</v>
      </c>
      <c r="G13" s="618">
        <v>0</v>
      </c>
      <c r="H13" s="618">
        <v>0</v>
      </c>
      <c r="I13" s="618">
        <v>0</v>
      </c>
      <c r="J13" s="618">
        <v>0</v>
      </c>
      <c r="K13" s="618">
        <v>0</v>
      </c>
      <c r="L13" s="618">
        <v>4626625.8397000004</v>
      </c>
      <c r="M13" s="618">
        <v>0</v>
      </c>
      <c r="N13" s="618">
        <v>0</v>
      </c>
      <c r="O13" s="618">
        <v>233076.06909999999</v>
      </c>
      <c r="P13" s="618">
        <v>0</v>
      </c>
      <c r="Q13" s="618">
        <v>0</v>
      </c>
      <c r="R13" s="618">
        <v>4393549.7706000004</v>
      </c>
      <c r="S13" s="618">
        <v>0</v>
      </c>
      <c r="T13" s="618">
        <v>0</v>
      </c>
      <c r="U13" s="618">
        <v>0</v>
      </c>
      <c r="V13" s="618">
        <v>0</v>
      </c>
      <c r="W13" s="618">
        <v>0</v>
      </c>
      <c r="X13" s="618">
        <v>0</v>
      </c>
      <c r="Y13" s="618">
        <v>0</v>
      </c>
      <c r="Z13" s="618">
        <v>0</v>
      </c>
      <c r="AA13" s="623">
        <v>0</v>
      </c>
    </row>
    <row r="14" spans="1:27">
      <c r="A14" s="436" t="s">
        <v>492</v>
      </c>
      <c r="B14" s="437" t="s">
        <v>493</v>
      </c>
      <c r="C14" s="625">
        <v>65721942.125500001</v>
      </c>
      <c r="D14" s="618">
        <v>54358739.0317</v>
      </c>
      <c r="E14" s="618">
        <v>5351926.0093</v>
      </c>
      <c r="F14" s="618">
        <v>0</v>
      </c>
      <c r="G14" s="618">
        <v>0</v>
      </c>
      <c r="H14" s="618">
        <v>8358406.1703000003</v>
      </c>
      <c r="I14" s="618">
        <v>2548550.7955999998</v>
      </c>
      <c r="J14" s="618">
        <v>4803344.2533</v>
      </c>
      <c r="K14" s="618">
        <v>0</v>
      </c>
      <c r="L14" s="618">
        <v>607639.79029999999</v>
      </c>
      <c r="M14" s="618">
        <v>0</v>
      </c>
      <c r="N14" s="618">
        <v>0</v>
      </c>
      <c r="O14" s="618">
        <v>542235.93319999997</v>
      </c>
      <c r="P14" s="618">
        <v>0</v>
      </c>
      <c r="Q14" s="618">
        <v>0</v>
      </c>
      <c r="R14" s="618">
        <v>0</v>
      </c>
      <c r="S14" s="618">
        <v>0</v>
      </c>
      <c r="T14" s="618">
        <v>2397157.1332</v>
      </c>
      <c r="U14" s="618">
        <v>0</v>
      </c>
      <c r="V14" s="618">
        <v>0</v>
      </c>
      <c r="W14" s="618">
        <v>0</v>
      </c>
      <c r="X14" s="618">
        <v>2397157.1332</v>
      </c>
      <c r="Y14" s="618">
        <v>0</v>
      </c>
      <c r="Z14" s="618">
        <v>0</v>
      </c>
      <c r="AA14" s="623">
        <v>0</v>
      </c>
    </row>
    <row r="15" spans="1:27">
      <c r="A15" s="435">
        <v>1.2</v>
      </c>
      <c r="B15" s="433" t="s">
        <v>687</v>
      </c>
      <c r="C15" s="622">
        <v>8655471.0527999997</v>
      </c>
      <c r="D15" s="618">
        <v>1556505.7448</v>
      </c>
      <c r="E15" s="618">
        <v>147704.17000000001</v>
      </c>
      <c r="F15" s="618">
        <v>0</v>
      </c>
      <c r="G15" s="618">
        <v>0</v>
      </c>
      <c r="H15" s="618">
        <v>499818.48859999998</v>
      </c>
      <c r="I15" s="618">
        <v>102567.2562</v>
      </c>
      <c r="J15" s="618">
        <v>317774.24910000002</v>
      </c>
      <c r="K15" s="618">
        <v>0</v>
      </c>
      <c r="L15" s="618">
        <v>5167055.9433000004</v>
      </c>
      <c r="M15" s="618">
        <v>16434.8884</v>
      </c>
      <c r="N15" s="618">
        <v>136999.34580000001</v>
      </c>
      <c r="O15" s="618">
        <v>2543063.2577</v>
      </c>
      <c r="P15" s="618">
        <v>202728.0379</v>
      </c>
      <c r="Q15" s="618">
        <v>506342.0624</v>
      </c>
      <c r="R15" s="618">
        <v>1731461.7379999999</v>
      </c>
      <c r="S15" s="618">
        <v>0</v>
      </c>
      <c r="T15" s="618">
        <v>1432090.8761</v>
      </c>
      <c r="U15" s="618">
        <v>0</v>
      </c>
      <c r="V15" s="618">
        <v>0</v>
      </c>
      <c r="W15" s="618">
        <v>0</v>
      </c>
      <c r="X15" s="618">
        <v>1432090.8761</v>
      </c>
      <c r="Y15" s="618">
        <v>0</v>
      </c>
      <c r="Z15" s="618">
        <v>0</v>
      </c>
      <c r="AA15" s="623">
        <v>0</v>
      </c>
    </row>
    <row r="16" spans="1:27">
      <c r="A16" s="434">
        <v>1.3</v>
      </c>
      <c r="B16" s="433" t="s">
        <v>532</v>
      </c>
      <c r="C16" s="626" t="s">
        <v>721</v>
      </c>
      <c r="D16" s="627" t="s">
        <v>721</v>
      </c>
      <c r="E16" s="627" t="s">
        <v>721</v>
      </c>
      <c r="F16" s="627" t="s">
        <v>721</v>
      </c>
      <c r="G16" s="627" t="s">
        <v>721</v>
      </c>
      <c r="H16" s="627" t="s">
        <v>721</v>
      </c>
      <c r="I16" s="627" t="s">
        <v>721</v>
      </c>
      <c r="J16" s="627" t="s">
        <v>721</v>
      </c>
      <c r="K16" s="627" t="s">
        <v>721</v>
      </c>
      <c r="L16" s="627" t="s">
        <v>721</v>
      </c>
      <c r="M16" s="627" t="s">
        <v>721</v>
      </c>
      <c r="N16" s="627" t="s">
        <v>721</v>
      </c>
      <c r="O16" s="627" t="s">
        <v>721</v>
      </c>
      <c r="P16" s="627" t="s">
        <v>721</v>
      </c>
      <c r="Q16" s="627" t="s">
        <v>721</v>
      </c>
      <c r="R16" s="627" t="s">
        <v>721</v>
      </c>
      <c r="S16" s="627" t="s">
        <v>721</v>
      </c>
      <c r="T16" s="627" t="s">
        <v>721</v>
      </c>
      <c r="U16" s="627" t="s">
        <v>721</v>
      </c>
      <c r="V16" s="627" t="s">
        <v>721</v>
      </c>
      <c r="W16" s="627" t="s">
        <v>721</v>
      </c>
      <c r="X16" s="627" t="s">
        <v>721</v>
      </c>
      <c r="Y16" s="627" t="s">
        <v>721</v>
      </c>
      <c r="Z16" s="627" t="s">
        <v>721</v>
      </c>
      <c r="AA16" s="628" t="s">
        <v>721</v>
      </c>
    </row>
    <row r="17" spans="1:27">
      <c r="A17" s="430" t="s">
        <v>494</v>
      </c>
      <c r="B17" s="432" t="s">
        <v>495</v>
      </c>
      <c r="C17" s="629">
        <v>189365062.41280001</v>
      </c>
      <c r="D17" s="618">
        <v>148297821.44459999</v>
      </c>
      <c r="E17" s="618">
        <v>6827830.6871999996</v>
      </c>
      <c r="F17" s="618">
        <v>0</v>
      </c>
      <c r="G17" s="618">
        <v>0</v>
      </c>
      <c r="H17" s="618">
        <v>15847329.8192</v>
      </c>
      <c r="I17" s="618">
        <v>2502276.2788</v>
      </c>
      <c r="J17" s="618">
        <v>4373931.0906999996</v>
      </c>
      <c r="K17" s="618">
        <v>0</v>
      </c>
      <c r="L17" s="618">
        <v>20849704.2236</v>
      </c>
      <c r="M17" s="618">
        <v>164348.88440000001</v>
      </c>
      <c r="N17" s="618">
        <v>1147909.7978000001</v>
      </c>
      <c r="O17" s="618">
        <v>7094183.9510000004</v>
      </c>
      <c r="P17" s="618">
        <v>1924708.1595000001</v>
      </c>
      <c r="Q17" s="618">
        <v>4621704.8689000001</v>
      </c>
      <c r="R17" s="618">
        <v>5835571.0936000003</v>
      </c>
      <c r="S17" s="618">
        <v>0</v>
      </c>
      <c r="T17" s="618">
        <v>2302129.0893999999</v>
      </c>
      <c r="U17" s="618">
        <v>0</v>
      </c>
      <c r="V17" s="618">
        <v>0</v>
      </c>
      <c r="W17" s="618">
        <v>0</v>
      </c>
      <c r="X17" s="618">
        <v>2302129.0893999999</v>
      </c>
      <c r="Y17" s="618">
        <v>0</v>
      </c>
      <c r="Z17" s="618">
        <v>0</v>
      </c>
      <c r="AA17" s="623">
        <v>0</v>
      </c>
    </row>
    <row r="18" spans="1:27">
      <c r="A18" s="428" t="s">
        <v>496</v>
      </c>
      <c r="B18" s="429" t="s">
        <v>497</v>
      </c>
      <c r="C18" s="630">
        <v>179454118.42480001</v>
      </c>
      <c r="D18" s="618">
        <v>138386877.45660001</v>
      </c>
      <c r="E18" s="618">
        <v>6827830.6871999996</v>
      </c>
      <c r="F18" s="618">
        <v>0</v>
      </c>
      <c r="G18" s="618">
        <v>0</v>
      </c>
      <c r="H18" s="618">
        <v>15847329.8192</v>
      </c>
      <c r="I18" s="618">
        <v>2502276.2788</v>
      </c>
      <c r="J18" s="618">
        <v>4373931.0906999996</v>
      </c>
      <c r="K18" s="618">
        <v>0</v>
      </c>
      <c r="L18" s="618">
        <v>20849704.2236</v>
      </c>
      <c r="M18" s="618">
        <v>164348.88440000001</v>
      </c>
      <c r="N18" s="618">
        <v>1147909.7978000001</v>
      </c>
      <c r="O18" s="618">
        <v>7094183.9510000004</v>
      </c>
      <c r="P18" s="618">
        <v>1924708.1595000001</v>
      </c>
      <c r="Q18" s="618">
        <v>4621704.8689000001</v>
      </c>
      <c r="R18" s="618">
        <v>5835571.0936000003</v>
      </c>
      <c r="S18" s="618">
        <v>0</v>
      </c>
      <c r="T18" s="618">
        <v>2302129.0893999999</v>
      </c>
      <c r="U18" s="618">
        <v>0</v>
      </c>
      <c r="V18" s="618">
        <v>0</v>
      </c>
      <c r="W18" s="618">
        <v>0</v>
      </c>
      <c r="X18" s="618">
        <v>2302129.0893999999</v>
      </c>
      <c r="Y18" s="618">
        <v>0</v>
      </c>
      <c r="Z18" s="618">
        <v>0</v>
      </c>
      <c r="AA18" s="623">
        <v>0</v>
      </c>
    </row>
    <row r="19" spans="1:27">
      <c r="A19" s="430" t="s">
        <v>498</v>
      </c>
      <c r="B19" s="431" t="s">
        <v>499</v>
      </c>
      <c r="C19" s="631">
        <v>204265555.38609999</v>
      </c>
      <c r="D19" s="618">
        <v>168608161.57229999</v>
      </c>
      <c r="E19" s="618">
        <v>5660760.4656999996</v>
      </c>
      <c r="F19" s="618">
        <v>0</v>
      </c>
      <c r="G19" s="618">
        <v>0</v>
      </c>
      <c r="H19" s="618">
        <v>20784206.158100002</v>
      </c>
      <c r="I19" s="618">
        <v>0</v>
      </c>
      <c r="J19" s="618">
        <v>301092.28590000002</v>
      </c>
      <c r="K19" s="618">
        <v>0</v>
      </c>
      <c r="L19" s="618">
        <v>14873187.6557</v>
      </c>
      <c r="M19" s="618">
        <v>108471.23940000001</v>
      </c>
      <c r="N19" s="618">
        <v>1279511.1492000001</v>
      </c>
      <c r="O19" s="618">
        <v>3293445.2344</v>
      </c>
      <c r="P19" s="618">
        <v>3679873.2563</v>
      </c>
      <c r="Q19" s="618">
        <v>4791830.1341000004</v>
      </c>
      <c r="R19" s="618">
        <v>1720056.6422999999</v>
      </c>
      <c r="S19" s="618">
        <v>0</v>
      </c>
      <c r="T19" s="618">
        <v>0</v>
      </c>
      <c r="U19" s="618">
        <v>0</v>
      </c>
      <c r="V19" s="618">
        <v>0</v>
      </c>
      <c r="W19" s="618">
        <v>0</v>
      </c>
      <c r="X19" s="618">
        <v>0</v>
      </c>
      <c r="Y19" s="618">
        <v>0</v>
      </c>
      <c r="Z19" s="618">
        <v>0</v>
      </c>
      <c r="AA19" s="623">
        <v>0</v>
      </c>
    </row>
    <row r="20" spans="1:27">
      <c r="A20" s="428" t="s">
        <v>500</v>
      </c>
      <c r="B20" s="429" t="s">
        <v>497</v>
      </c>
      <c r="C20" s="630">
        <v>182981974.63550001</v>
      </c>
      <c r="D20" s="618">
        <v>147871454.2868</v>
      </c>
      <c r="E20" s="618">
        <v>5660760.4656999996</v>
      </c>
      <c r="F20" s="618">
        <v>0</v>
      </c>
      <c r="G20" s="618">
        <v>0</v>
      </c>
      <c r="H20" s="618">
        <v>20689771.645599999</v>
      </c>
      <c r="I20" s="618">
        <v>0</v>
      </c>
      <c r="J20" s="618">
        <v>277929.56280000001</v>
      </c>
      <c r="K20" s="618">
        <v>0</v>
      </c>
      <c r="L20" s="618">
        <v>14420748.7031</v>
      </c>
      <c r="M20" s="618">
        <v>108471.23940000001</v>
      </c>
      <c r="N20" s="618">
        <v>1024421.2903</v>
      </c>
      <c r="O20" s="618">
        <v>3096096.1406999999</v>
      </c>
      <c r="P20" s="618">
        <v>3679873.2563</v>
      </c>
      <c r="Q20" s="618">
        <v>4791830.1341000004</v>
      </c>
      <c r="R20" s="618">
        <v>1720056.6422999999</v>
      </c>
      <c r="S20" s="618">
        <v>0</v>
      </c>
      <c r="T20" s="618">
        <v>0</v>
      </c>
      <c r="U20" s="618">
        <v>0</v>
      </c>
      <c r="V20" s="618">
        <v>0</v>
      </c>
      <c r="W20" s="618">
        <v>0</v>
      </c>
      <c r="X20" s="618">
        <v>0</v>
      </c>
      <c r="Y20" s="618">
        <v>0</v>
      </c>
      <c r="Z20" s="618">
        <v>0</v>
      </c>
      <c r="AA20" s="623">
        <v>0</v>
      </c>
    </row>
    <row r="21" spans="1:27">
      <c r="A21" s="427">
        <v>1.4</v>
      </c>
      <c r="B21" s="426" t="s">
        <v>501</v>
      </c>
      <c r="C21" s="632" t="s">
        <v>721</v>
      </c>
      <c r="D21" s="618" t="s">
        <v>721</v>
      </c>
      <c r="E21" s="618" t="s">
        <v>721</v>
      </c>
      <c r="F21" s="618" t="s">
        <v>721</v>
      </c>
      <c r="G21" s="618" t="s">
        <v>721</v>
      </c>
      <c r="H21" s="618" t="s">
        <v>721</v>
      </c>
      <c r="I21" s="618" t="s">
        <v>721</v>
      </c>
      <c r="J21" s="618" t="s">
        <v>721</v>
      </c>
      <c r="K21" s="618" t="s">
        <v>721</v>
      </c>
      <c r="L21" s="618" t="s">
        <v>721</v>
      </c>
      <c r="M21" s="618" t="s">
        <v>721</v>
      </c>
      <c r="N21" s="618" t="s">
        <v>721</v>
      </c>
      <c r="O21" s="618" t="s">
        <v>721</v>
      </c>
      <c r="P21" s="618" t="s">
        <v>721</v>
      </c>
      <c r="Q21" s="618" t="s">
        <v>721</v>
      </c>
      <c r="R21" s="618" t="s">
        <v>721</v>
      </c>
      <c r="S21" s="618" t="s">
        <v>721</v>
      </c>
      <c r="T21" s="618" t="s">
        <v>721</v>
      </c>
      <c r="U21" s="618" t="s">
        <v>721</v>
      </c>
      <c r="V21" s="618" t="s">
        <v>721</v>
      </c>
      <c r="W21" s="618" t="s">
        <v>721</v>
      </c>
      <c r="X21" s="618" t="s">
        <v>721</v>
      </c>
      <c r="Y21" s="618" t="s">
        <v>721</v>
      </c>
      <c r="Z21" s="618" t="s">
        <v>721</v>
      </c>
      <c r="AA21" s="623" t="s">
        <v>721</v>
      </c>
    </row>
    <row r="22" spans="1:27" ht="12.6" thickBot="1">
      <c r="A22" s="425">
        <v>1.5</v>
      </c>
      <c r="B22" s="424" t="s">
        <v>502</v>
      </c>
      <c r="C22" s="633">
        <v>595060</v>
      </c>
      <c r="D22" s="634">
        <v>595060</v>
      </c>
      <c r="E22" s="634">
        <v>0</v>
      </c>
      <c r="F22" s="634">
        <v>0</v>
      </c>
      <c r="G22" s="634">
        <v>0</v>
      </c>
      <c r="H22" s="634">
        <v>0</v>
      </c>
      <c r="I22" s="634">
        <v>0</v>
      </c>
      <c r="J22" s="634">
        <v>0</v>
      </c>
      <c r="K22" s="634">
        <v>0</v>
      </c>
      <c r="L22" s="634">
        <v>0</v>
      </c>
      <c r="M22" s="634">
        <v>0</v>
      </c>
      <c r="N22" s="634">
        <v>0</v>
      </c>
      <c r="O22" s="634">
        <v>0</v>
      </c>
      <c r="P22" s="634">
        <v>0</v>
      </c>
      <c r="Q22" s="634">
        <v>0</v>
      </c>
      <c r="R22" s="634">
        <v>0</v>
      </c>
      <c r="S22" s="634">
        <v>0</v>
      </c>
      <c r="T22" s="634">
        <v>0</v>
      </c>
      <c r="U22" s="634">
        <v>0</v>
      </c>
      <c r="V22" s="634">
        <v>0</v>
      </c>
      <c r="W22" s="634">
        <v>0</v>
      </c>
      <c r="X22" s="634">
        <v>0</v>
      </c>
      <c r="Y22" s="634">
        <v>0</v>
      </c>
      <c r="Z22" s="634">
        <v>0</v>
      </c>
      <c r="AA22" s="635">
        <v>0</v>
      </c>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paperSize="9" scale="1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zoomScaleNormal="100" workbookViewId="0"/>
  </sheetViews>
  <sheetFormatPr defaultColWidth="9.21875" defaultRowHeight="12"/>
  <cols>
    <col min="1" max="1" width="11.77734375" style="399" bestFit="1" customWidth="1"/>
    <col min="2" max="2" width="93.44140625" style="399" customWidth="1"/>
    <col min="3" max="3" width="14.6640625" style="399" customWidth="1"/>
    <col min="4" max="5" width="16.109375" style="399" customWidth="1"/>
    <col min="6" max="6" width="16.109375" style="417" customWidth="1"/>
    <col min="7" max="7" width="25.21875" style="417" customWidth="1"/>
    <col min="8" max="8" width="16.109375" style="399" customWidth="1"/>
    <col min="9" max="11" width="16.109375" style="417" customWidth="1"/>
    <col min="12" max="12" width="26.21875" style="417" customWidth="1"/>
    <col min="13" max="16384" width="9.21875" style="399"/>
  </cols>
  <sheetData>
    <row r="1" spans="1:12" ht="13.8">
      <c r="A1" s="343" t="s">
        <v>31</v>
      </c>
      <c r="B1" s="386" t="str">
        <f>'Info '!C2</f>
        <v>JSC PASHA Bank Georgia</v>
      </c>
      <c r="F1" s="399"/>
      <c r="G1" s="399"/>
      <c r="I1" s="399"/>
      <c r="J1" s="399"/>
      <c r="K1" s="399"/>
      <c r="L1" s="399"/>
    </row>
    <row r="2" spans="1:12">
      <c r="A2" s="343" t="s">
        <v>32</v>
      </c>
      <c r="B2" s="385">
        <f>'1. key ratios '!B2</f>
        <v>45291</v>
      </c>
      <c r="F2" s="399"/>
      <c r="G2" s="399"/>
      <c r="I2" s="399"/>
      <c r="J2" s="399"/>
      <c r="K2" s="399"/>
      <c r="L2" s="399"/>
    </row>
    <row r="3" spans="1:12">
      <c r="A3" s="344" t="s">
        <v>503</v>
      </c>
      <c r="F3" s="399"/>
      <c r="G3" s="399"/>
      <c r="I3" s="399"/>
      <c r="J3" s="399"/>
      <c r="K3" s="399"/>
      <c r="L3" s="399"/>
    </row>
    <row r="4" spans="1:12">
      <c r="F4" s="399"/>
      <c r="G4" s="399"/>
      <c r="I4" s="399"/>
      <c r="J4" s="399"/>
      <c r="K4" s="399"/>
      <c r="L4" s="399"/>
    </row>
    <row r="5" spans="1:12" ht="37.5" customHeight="1">
      <c r="A5" s="720" t="s">
        <v>520</v>
      </c>
      <c r="B5" s="721"/>
      <c r="C5" s="766" t="s">
        <v>504</v>
      </c>
      <c r="D5" s="767"/>
      <c r="E5" s="767"/>
      <c r="F5" s="767"/>
      <c r="G5" s="767"/>
      <c r="H5" s="766" t="s">
        <v>664</v>
      </c>
      <c r="I5" s="768"/>
      <c r="J5" s="768"/>
      <c r="K5" s="768"/>
      <c r="L5" s="769"/>
    </row>
    <row r="6" spans="1:12" ht="39.450000000000003" customHeight="1">
      <c r="A6" s="724"/>
      <c r="B6" s="725"/>
      <c r="C6" s="346"/>
      <c r="D6" s="397" t="s">
        <v>685</v>
      </c>
      <c r="E6" s="397" t="s">
        <v>684</v>
      </c>
      <c r="F6" s="397" t="s">
        <v>683</v>
      </c>
      <c r="G6" s="397" t="s">
        <v>682</v>
      </c>
      <c r="H6" s="418"/>
      <c r="I6" s="397" t="s">
        <v>685</v>
      </c>
      <c r="J6" s="397" t="s">
        <v>684</v>
      </c>
      <c r="K6" s="397" t="s">
        <v>683</v>
      </c>
      <c r="L6" s="397" t="s">
        <v>682</v>
      </c>
    </row>
    <row r="7" spans="1:12">
      <c r="A7" s="388">
        <v>1</v>
      </c>
      <c r="B7" s="403" t="s">
        <v>523</v>
      </c>
      <c r="C7" s="636">
        <v>8182599.0822000001</v>
      </c>
      <c r="D7" s="618">
        <v>7501304.1090000002</v>
      </c>
      <c r="E7" s="618">
        <v>278349.44</v>
      </c>
      <c r="F7" s="637">
        <v>402945.53320000001</v>
      </c>
      <c r="G7" s="637">
        <v>0</v>
      </c>
      <c r="H7" s="618">
        <v>610482.36780000001</v>
      </c>
      <c r="I7" s="637">
        <v>239417.3737</v>
      </c>
      <c r="J7" s="637">
        <v>35759.1947</v>
      </c>
      <c r="K7" s="637">
        <v>335305.79940000002</v>
      </c>
      <c r="L7" s="637">
        <v>0</v>
      </c>
    </row>
    <row r="8" spans="1:12">
      <c r="A8" s="388">
        <v>2</v>
      </c>
      <c r="B8" s="403" t="s">
        <v>436</v>
      </c>
      <c r="C8" s="636">
        <v>61273013.759599999</v>
      </c>
      <c r="D8" s="618">
        <v>60958686.2663</v>
      </c>
      <c r="E8" s="618">
        <v>78248.87</v>
      </c>
      <c r="F8" s="637">
        <v>236078.62330000001</v>
      </c>
      <c r="G8" s="637">
        <v>0</v>
      </c>
      <c r="H8" s="618">
        <v>1209923.5075000001</v>
      </c>
      <c r="I8" s="637">
        <v>971951.12970000005</v>
      </c>
      <c r="J8" s="637">
        <v>13820.277099999999</v>
      </c>
      <c r="K8" s="637">
        <v>224152.10070000001</v>
      </c>
      <c r="L8" s="637">
        <v>0</v>
      </c>
    </row>
    <row r="9" spans="1:12">
      <c r="A9" s="388">
        <v>3</v>
      </c>
      <c r="B9" s="403" t="s">
        <v>437</v>
      </c>
      <c r="C9" s="636">
        <v>552259.18999999994</v>
      </c>
      <c r="D9" s="618">
        <v>552259.18999999994</v>
      </c>
      <c r="E9" s="618">
        <v>0</v>
      </c>
      <c r="F9" s="638">
        <v>0</v>
      </c>
      <c r="G9" s="638">
        <v>0</v>
      </c>
      <c r="H9" s="618">
        <v>5048.4210999999996</v>
      </c>
      <c r="I9" s="637">
        <v>5048.4210999999996</v>
      </c>
      <c r="J9" s="637">
        <v>0</v>
      </c>
      <c r="K9" s="637">
        <v>0</v>
      </c>
      <c r="L9" s="638">
        <v>0</v>
      </c>
    </row>
    <row r="10" spans="1:12">
      <c r="A10" s="388">
        <v>4</v>
      </c>
      <c r="B10" s="403" t="s">
        <v>524</v>
      </c>
      <c r="C10" s="636">
        <v>24244212.337200001</v>
      </c>
      <c r="D10" s="618">
        <v>15718151.920600001</v>
      </c>
      <c r="E10" s="618">
        <v>1846862.8026000001</v>
      </c>
      <c r="F10" s="638">
        <v>6679197.6140000001</v>
      </c>
      <c r="G10" s="638">
        <v>0</v>
      </c>
      <c r="H10" s="618">
        <v>2381228.9169999999</v>
      </c>
      <c r="I10" s="637">
        <v>71824.676800000001</v>
      </c>
      <c r="J10" s="637">
        <v>14358.317300000001</v>
      </c>
      <c r="K10" s="637">
        <v>2295045.9229000001</v>
      </c>
      <c r="L10" s="638">
        <v>0</v>
      </c>
    </row>
    <row r="11" spans="1:12">
      <c r="A11" s="388">
        <v>5</v>
      </c>
      <c r="B11" s="403" t="s">
        <v>438</v>
      </c>
      <c r="C11" s="636">
        <v>38963773.9604</v>
      </c>
      <c r="D11" s="618">
        <v>38151447.427100003</v>
      </c>
      <c r="E11" s="618">
        <v>812326.53330000001</v>
      </c>
      <c r="F11" s="638">
        <v>0</v>
      </c>
      <c r="G11" s="638">
        <v>0</v>
      </c>
      <c r="H11" s="618">
        <v>60470.917399999998</v>
      </c>
      <c r="I11" s="637">
        <v>53733.594299999997</v>
      </c>
      <c r="J11" s="637">
        <v>6737.3230999999996</v>
      </c>
      <c r="K11" s="637">
        <v>0</v>
      </c>
      <c r="L11" s="638">
        <v>0</v>
      </c>
    </row>
    <row r="12" spans="1:12">
      <c r="A12" s="388">
        <v>6</v>
      </c>
      <c r="B12" s="403" t="s">
        <v>439</v>
      </c>
      <c r="C12" s="636">
        <v>1762500.7796</v>
      </c>
      <c r="D12" s="618">
        <v>1308692.9409</v>
      </c>
      <c r="E12" s="618">
        <v>40568.93</v>
      </c>
      <c r="F12" s="638">
        <v>413238.90870000003</v>
      </c>
      <c r="G12" s="638">
        <v>0</v>
      </c>
      <c r="H12" s="618">
        <v>210626.9253</v>
      </c>
      <c r="I12" s="637">
        <v>28126.589400000001</v>
      </c>
      <c r="J12" s="637">
        <v>7860.0011000000004</v>
      </c>
      <c r="K12" s="637">
        <v>174640.33480000001</v>
      </c>
      <c r="L12" s="638">
        <v>0</v>
      </c>
    </row>
    <row r="13" spans="1:12">
      <c r="A13" s="388">
        <v>7</v>
      </c>
      <c r="B13" s="403" t="s">
        <v>440</v>
      </c>
      <c r="C13" s="636">
        <v>790142.80570000003</v>
      </c>
      <c r="D13" s="618">
        <v>779395.51899999997</v>
      </c>
      <c r="E13" s="618">
        <v>3362.82</v>
      </c>
      <c r="F13" s="638">
        <v>7384.4666999999999</v>
      </c>
      <c r="G13" s="638">
        <v>0</v>
      </c>
      <c r="H13" s="618">
        <v>16676.992699999999</v>
      </c>
      <c r="I13" s="637">
        <v>7788.7205000000004</v>
      </c>
      <c r="J13" s="637">
        <v>793.29330000000004</v>
      </c>
      <c r="K13" s="637">
        <v>8094.9789000000001</v>
      </c>
      <c r="L13" s="638">
        <v>0</v>
      </c>
    </row>
    <row r="14" spans="1:12">
      <c r="A14" s="388">
        <v>8</v>
      </c>
      <c r="B14" s="403" t="s">
        <v>441</v>
      </c>
      <c r="C14" s="636">
        <v>5724758.2095999997</v>
      </c>
      <c r="D14" s="618">
        <v>3925941.2404</v>
      </c>
      <c r="E14" s="618">
        <v>182.35</v>
      </c>
      <c r="F14" s="638">
        <v>1798634.6192000001</v>
      </c>
      <c r="G14" s="638">
        <v>0</v>
      </c>
      <c r="H14" s="618">
        <v>302655.30109999998</v>
      </c>
      <c r="I14" s="637">
        <v>19019.604500000001</v>
      </c>
      <c r="J14" s="637">
        <v>16.692699999999999</v>
      </c>
      <c r="K14" s="637">
        <v>283619.00390000001</v>
      </c>
      <c r="L14" s="638">
        <v>0</v>
      </c>
    </row>
    <row r="15" spans="1:12">
      <c r="A15" s="388">
        <v>9</v>
      </c>
      <c r="B15" s="403" t="s">
        <v>442</v>
      </c>
      <c r="C15" s="636">
        <v>8927105.4503000006</v>
      </c>
      <c r="D15" s="618">
        <v>8792666.8003000002</v>
      </c>
      <c r="E15" s="618">
        <v>134438.65</v>
      </c>
      <c r="F15" s="638">
        <v>0</v>
      </c>
      <c r="G15" s="638">
        <v>0</v>
      </c>
      <c r="H15" s="618">
        <v>94244.338199999998</v>
      </c>
      <c r="I15" s="637">
        <v>90525.492100000003</v>
      </c>
      <c r="J15" s="637">
        <v>3718.8461000000002</v>
      </c>
      <c r="K15" s="637">
        <v>0</v>
      </c>
      <c r="L15" s="638">
        <v>0</v>
      </c>
    </row>
    <row r="16" spans="1:12">
      <c r="A16" s="388">
        <v>10</v>
      </c>
      <c r="B16" s="403" t="s">
        <v>443</v>
      </c>
      <c r="C16" s="636">
        <v>194606.43669999999</v>
      </c>
      <c r="D16" s="618">
        <v>194606.43669999999</v>
      </c>
      <c r="E16" s="618">
        <v>0</v>
      </c>
      <c r="F16" s="638">
        <v>0</v>
      </c>
      <c r="G16" s="638">
        <v>0</v>
      </c>
      <c r="H16" s="618">
        <v>6789.8062</v>
      </c>
      <c r="I16" s="637">
        <v>6789.8062</v>
      </c>
      <c r="J16" s="637">
        <v>0</v>
      </c>
      <c r="K16" s="637">
        <v>0</v>
      </c>
      <c r="L16" s="638">
        <v>0</v>
      </c>
    </row>
    <row r="17" spans="1:12">
      <c r="A17" s="388">
        <v>11</v>
      </c>
      <c r="B17" s="403" t="s">
        <v>444</v>
      </c>
      <c r="C17" s="636">
        <v>15919453.5155</v>
      </c>
      <c r="D17" s="618">
        <v>15911284.854</v>
      </c>
      <c r="E17" s="618">
        <v>2069.41</v>
      </c>
      <c r="F17" s="638">
        <v>6099.2515000000003</v>
      </c>
      <c r="G17" s="638">
        <v>0</v>
      </c>
      <c r="H17" s="618">
        <v>159534.8921</v>
      </c>
      <c r="I17" s="637">
        <v>153635.54240000001</v>
      </c>
      <c r="J17" s="637">
        <v>999.32600000000002</v>
      </c>
      <c r="K17" s="637">
        <v>4900.0236999999997</v>
      </c>
      <c r="L17" s="638">
        <v>0</v>
      </c>
    </row>
    <row r="18" spans="1:12">
      <c r="A18" s="388">
        <v>12</v>
      </c>
      <c r="B18" s="403" t="s">
        <v>445</v>
      </c>
      <c r="C18" s="636">
        <v>9254228.9427000005</v>
      </c>
      <c r="D18" s="618">
        <v>8337575.8932999996</v>
      </c>
      <c r="E18" s="618">
        <v>328696.15000000002</v>
      </c>
      <c r="F18" s="638">
        <v>564365.37219999998</v>
      </c>
      <c r="G18" s="638">
        <v>23591.5272</v>
      </c>
      <c r="H18" s="618">
        <v>600362.7415</v>
      </c>
      <c r="I18" s="637">
        <v>269178.70689999999</v>
      </c>
      <c r="J18" s="637">
        <v>55917.852899999998</v>
      </c>
      <c r="K18" s="637">
        <v>256117.78630000001</v>
      </c>
      <c r="L18" s="638">
        <v>19148.395400000001</v>
      </c>
    </row>
    <row r="19" spans="1:12">
      <c r="A19" s="388">
        <v>13</v>
      </c>
      <c r="B19" s="403" t="s">
        <v>446</v>
      </c>
      <c r="C19" s="636">
        <v>1542504.0514</v>
      </c>
      <c r="D19" s="618">
        <v>914129.74849999999</v>
      </c>
      <c r="E19" s="618">
        <v>51980.5</v>
      </c>
      <c r="F19" s="638">
        <v>576393.80290000001</v>
      </c>
      <c r="G19" s="638">
        <v>0</v>
      </c>
      <c r="H19" s="618">
        <v>329711.3039</v>
      </c>
      <c r="I19" s="637">
        <v>37726.713400000001</v>
      </c>
      <c r="J19" s="637">
        <v>10994.054</v>
      </c>
      <c r="K19" s="637">
        <v>280990.53649999999</v>
      </c>
      <c r="L19" s="638">
        <v>0</v>
      </c>
    </row>
    <row r="20" spans="1:12">
      <c r="A20" s="388">
        <v>14</v>
      </c>
      <c r="B20" s="403" t="s">
        <v>447</v>
      </c>
      <c r="C20" s="636">
        <v>25111128.3101</v>
      </c>
      <c r="D20" s="618">
        <v>17687193.116799999</v>
      </c>
      <c r="E20" s="618">
        <v>4980641.2547000004</v>
      </c>
      <c r="F20" s="638">
        <v>2391777.9386</v>
      </c>
      <c r="G20" s="638">
        <v>51516</v>
      </c>
      <c r="H20" s="618">
        <v>586446.20790000004</v>
      </c>
      <c r="I20" s="637">
        <v>164846.75469999999</v>
      </c>
      <c r="J20" s="637">
        <v>40658.666899999997</v>
      </c>
      <c r="K20" s="637">
        <v>329424.78629999998</v>
      </c>
      <c r="L20" s="638">
        <v>51516</v>
      </c>
    </row>
    <row r="21" spans="1:12">
      <c r="A21" s="388">
        <v>15</v>
      </c>
      <c r="B21" s="403" t="s">
        <v>448</v>
      </c>
      <c r="C21" s="636">
        <v>11897918.0459</v>
      </c>
      <c r="D21" s="618">
        <v>2932923.8752000001</v>
      </c>
      <c r="E21" s="618">
        <v>15998.49</v>
      </c>
      <c r="F21" s="638">
        <v>8948995.6807000004</v>
      </c>
      <c r="G21" s="638">
        <v>0</v>
      </c>
      <c r="H21" s="618">
        <v>1777863.6296000001</v>
      </c>
      <c r="I21" s="637">
        <v>28650.631799999999</v>
      </c>
      <c r="J21" s="637">
        <v>3995.6583999999998</v>
      </c>
      <c r="K21" s="637">
        <v>1745217.3393999999</v>
      </c>
      <c r="L21" s="638">
        <v>0</v>
      </c>
    </row>
    <row r="22" spans="1:12">
      <c r="A22" s="388">
        <v>16</v>
      </c>
      <c r="B22" s="403" t="s">
        <v>449</v>
      </c>
      <c r="C22" s="636">
        <v>78886.896399999998</v>
      </c>
      <c r="D22" s="618">
        <v>62011.6</v>
      </c>
      <c r="E22" s="618">
        <v>0</v>
      </c>
      <c r="F22" s="638">
        <v>16875.296399999999</v>
      </c>
      <c r="G22" s="638">
        <v>0</v>
      </c>
      <c r="H22" s="618">
        <v>16512.078699999998</v>
      </c>
      <c r="I22" s="637">
        <v>2481.9605000000001</v>
      </c>
      <c r="J22" s="637">
        <v>0</v>
      </c>
      <c r="K22" s="637">
        <v>14030.118200000001</v>
      </c>
      <c r="L22" s="638">
        <v>0</v>
      </c>
    </row>
    <row r="23" spans="1:12">
      <c r="A23" s="388">
        <v>17</v>
      </c>
      <c r="B23" s="403" t="s">
        <v>527</v>
      </c>
      <c r="C23" s="636">
        <v>8937862.7467</v>
      </c>
      <c r="D23" s="618">
        <v>8927584.5066999998</v>
      </c>
      <c r="E23" s="618">
        <v>10278.24</v>
      </c>
      <c r="F23" s="638">
        <v>0</v>
      </c>
      <c r="G23" s="638">
        <v>0</v>
      </c>
      <c r="H23" s="618">
        <v>43062.099399999999</v>
      </c>
      <c r="I23" s="637">
        <v>40747.938199999997</v>
      </c>
      <c r="J23" s="637">
        <v>2314.1612</v>
      </c>
      <c r="K23" s="637">
        <v>0</v>
      </c>
      <c r="L23" s="638">
        <v>0</v>
      </c>
    </row>
    <row r="24" spans="1:12">
      <c r="A24" s="388">
        <v>18</v>
      </c>
      <c r="B24" s="403" t="s">
        <v>450</v>
      </c>
      <c r="C24" s="636">
        <v>57370522.175099999</v>
      </c>
      <c r="D24" s="618">
        <v>57292580.621100001</v>
      </c>
      <c r="E24" s="618">
        <v>16914.54</v>
      </c>
      <c r="F24" s="638">
        <v>61027.014000000003</v>
      </c>
      <c r="G24" s="638">
        <v>0</v>
      </c>
      <c r="H24" s="618">
        <v>622661.51119999995</v>
      </c>
      <c r="I24" s="637">
        <v>570532.78469999996</v>
      </c>
      <c r="J24" s="637">
        <v>2315.4139</v>
      </c>
      <c r="K24" s="637">
        <v>49813.312599999997</v>
      </c>
      <c r="L24" s="638">
        <v>0</v>
      </c>
    </row>
    <row r="25" spans="1:12">
      <c r="A25" s="388">
        <v>19</v>
      </c>
      <c r="B25" s="403" t="s">
        <v>451</v>
      </c>
      <c r="C25" s="636">
        <v>5327809.3952000001</v>
      </c>
      <c r="D25" s="618">
        <v>5326948.6151999999</v>
      </c>
      <c r="E25" s="618">
        <v>860.78</v>
      </c>
      <c r="F25" s="638">
        <v>0</v>
      </c>
      <c r="G25" s="638">
        <v>0</v>
      </c>
      <c r="H25" s="618">
        <v>19598.768499999998</v>
      </c>
      <c r="I25" s="637">
        <v>19490.007399999999</v>
      </c>
      <c r="J25" s="637">
        <v>108.7611</v>
      </c>
      <c r="K25" s="637">
        <v>0</v>
      </c>
      <c r="L25" s="638">
        <v>0</v>
      </c>
    </row>
    <row r="26" spans="1:12">
      <c r="A26" s="388">
        <v>20</v>
      </c>
      <c r="B26" s="403" t="s">
        <v>526</v>
      </c>
      <c r="C26" s="636">
        <v>1571669.9310999999</v>
      </c>
      <c r="D26" s="618">
        <v>1487782.37</v>
      </c>
      <c r="E26" s="618">
        <v>52493.64</v>
      </c>
      <c r="F26" s="638">
        <v>31393.9211</v>
      </c>
      <c r="G26" s="638">
        <v>0</v>
      </c>
      <c r="H26" s="618">
        <v>85776.692299999995</v>
      </c>
      <c r="I26" s="637">
        <v>50736.836900000002</v>
      </c>
      <c r="J26" s="637">
        <v>9136.2780000000002</v>
      </c>
      <c r="K26" s="637">
        <v>25903.577399999998</v>
      </c>
      <c r="L26" s="638">
        <v>0</v>
      </c>
    </row>
    <row r="27" spans="1:12">
      <c r="A27" s="388">
        <v>21</v>
      </c>
      <c r="B27" s="403" t="s">
        <v>452</v>
      </c>
      <c r="C27" s="636">
        <v>449313.51390000002</v>
      </c>
      <c r="D27" s="618">
        <v>428977.52</v>
      </c>
      <c r="E27" s="618">
        <v>17855.41</v>
      </c>
      <c r="F27" s="638">
        <v>2480.5839000000001</v>
      </c>
      <c r="G27" s="638">
        <v>0</v>
      </c>
      <c r="H27" s="618">
        <v>19795.497299999999</v>
      </c>
      <c r="I27" s="637">
        <v>16233.1854</v>
      </c>
      <c r="J27" s="637">
        <v>1522.6973</v>
      </c>
      <c r="K27" s="637">
        <v>2039.6146000000001</v>
      </c>
      <c r="L27" s="638">
        <v>0</v>
      </c>
    </row>
    <row r="28" spans="1:12">
      <c r="A28" s="388">
        <v>22</v>
      </c>
      <c r="B28" s="403" t="s">
        <v>453</v>
      </c>
      <c r="C28" s="636">
        <v>301333.16489999997</v>
      </c>
      <c r="D28" s="618">
        <v>279397.89</v>
      </c>
      <c r="E28" s="618">
        <v>20281.330000000002</v>
      </c>
      <c r="F28" s="638">
        <v>1653.9449</v>
      </c>
      <c r="G28" s="638">
        <v>0</v>
      </c>
      <c r="H28" s="618">
        <v>14027.2502</v>
      </c>
      <c r="I28" s="637">
        <v>9102.2194</v>
      </c>
      <c r="J28" s="637">
        <v>3592.7546000000002</v>
      </c>
      <c r="K28" s="637">
        <v>1332.2762</v>
      </c>
      <c r="L28" s="638">
        <v>0</v>
      </c>
    </row>
    <row r="29" spans="1:12">
      <c r="A29" s="388">
        <v>23</v>
      </c>
      <c r="B29" s="403" t="s">
        <v>454</v>
      </c>
      <c r="C29" s="636">
        <v>13300216.2575</v>
      </c>
      <c r="D29" s="618">
        <v>6809885.3168000001</v>
      </c>
      <c r="E29" s="618">
        <v>3687452.7601000001</v>
      </c>
      <c r="F29" s="638">
        <v>2802878.1806000001</v>
      </c>
      <c r="G29" s="638">
        <v>0</v>
      </c>
      <c r="H29" s="618">
        <v>904960.68500000006</v>
      </c>
      <c r="I29" s="637">
        <v>234304.5588</v>
      </c>
      <c r="J29" s="637">
        <v>159690.66560000001</v>
      </c>
      <c r="K29" s="637">
        <v>510965.46059999999</v>
      </c>
      <c r="L29" s="638">
        <v>0</v>
      </c>
    </row>
    <row r="30" spans="1:12">
      <c r="A30" s="388">
        <v>24</v>
      </c>
      <c r="B30" s="403" t="s">
        <v>525</v>
      </c>
      <c r="C30" s="636">
        <v>10712634.488399999</v>
      </c>
      <c r="D30" s="618">
        <v>3031912.2</v>
      </c>
      <c r="E30" s="618">
        <v>5278187.5987999998</v>
      </c>
      <c r="F30" s="638">
        <v>5377.5564000000004</v>
      </c>
      <c r="G30" s="638">
        <v>2397157.1332</v>
      </c>
      <c r="H30" s="618">
        <v>1801514.1624</v>
      </c>
      <c r="I30" s="637">
        <v>37220.057999999997</v>
      </c>
      <c r="J30" s="637">
        <v>327565.68770000001</v>
      </c>
      <c r="K30" s="637">
        <v>4637.5406000000003</v>
      </c>
      <c r="L30" s="638">
        <v>1432090.8761</v>
      </c>
    </row>
    <row r="31" spans="1:12">
      <c r="A31" s="388">
        <v>25</v>
      </c>
      <c r="B31" s="403" t="s">
        <v>455</v>
      </c>
      <c r="C31" s="636">
        <v>6807298.7489999998</v>
      </c>
      <c r="D31" s="618">
        <v>5549660.9188000001</v>
      </c>
      <c r="E31" s="618">
        <v>387759.14</v>
      </c>
      <c r="F31" s="638">
        <v>869878.69019999995</v>
      </c>
      <c r="G31" s="638">
        <v>0</v>
      </c>
      <c r="H31" s="618">
        <v>1015182.0425</v>
      </c>
      <c r="I31" s="637">
        <v>228395.88699999999</v>
      </c>
      <c r="J31" s="637">
        <v>65299.334699999999</v>
      </c>
      <c r="K31" s="637">
        <v>721486.82079999999</v>
      </c>
      <c r="L31" s="638">
        <v>0</v>
      </c>
    </row>
    <row r="32" spans="1:12">
      <c r="A32" s="388">
        <v>26</v>
      </c>
      <c r="B32" s="403" t="s">
        <v>522</v>
      </c>
      <c r="C32" s="636">
        <v>33111058.7958</v>
      </c>
      <c r="D32" s="618">
        <v>28593114.3563</v>
      </c>
      <c r="E32" s="618">
        <v>2698332.95</v>
      </c>
      <c r="F32" s="638">
        <v>1819611.4894999999</v>
      </c>
      <c r="G32" s="638">
        <v>0</v>
      </c>
      <c r="H32" s="618">
        <v>3307161.9071999998</v>
      </c>
      <c r="I32" s="637">
        <v>1372475.5053999999</v>
      </c>
      <c r="J32" s="637">
        <v>461935.35759999999</v>
      </c>
      <c r="K32" s="637">
        <v>1472751.0441999999</v>
      </c>
      <c r="L32" s="638">
        <v>0</v>
      </c>
    </row>
    <row r="33" spans="1:12">
      <c r="A33" s="388">
        <v>27</v>
      </c>
      <c r="B33" s="446" t="s">
        <v>65</v>
      </c>
      <c r="C33" s="639">
        <f>SUM(C7:C32)</f>
        <v>352308810.99089992</v>
      </c>
      <c r="D33" s="639">
        <f t="shared" ref="D33:L33" si="0">SUM(D7:D32)</f>
        <v>301456115.25300002</v>
      </c>
      <c r="E33" s="639">
        <f t="shared" si="0"/>
        <v>20744142.589499999</v>
      </c>
      <c r="F33" s="639">
        <f t="shared" si="0"/>
        <v>27636288.487999998</v>
      </c>
      <c r="G33" s="639">
        <f t="shared" si="0"/>
        <v>2472264.6603999999</v>
      </c>
      <c r="H33" s="639">
        <f t="shared" si="0"/>
        <v>16202318.964000002</v>
      </c>
      <c r="I33" s="639">
        <f t="shared" si="0"/>
        <v>4729984.6991999997</v>
      </c>
      <c r="J33" s="639">
        <f t="shared" si="0"/>
        <v>1229110.6152999999</v>
      </c>
      <c r="K33" s="639">
        <f t="shared" si="0"/>
        <v>8740468.3779999986</v>
      </c>
      <c r="L33" s="639">
        <f t="shared" si="0"/>
        <v>1502755.2715</v>
      </c>
    </row>
    <row r="35" spans="1:12">
      <c r="B35" s="445"/>
      <c r="C35" s="445"/>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paperSize="9" scale="2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Normal="100" workbookViewId="0"/>
  </sheetViews>
  <sheetFormatPr defaultColWidth="8.77734375" defaultRowHeight="12"/>
  <cols>
    <col min="1" max="1" width="11.77734375" style="447" bestFit="1" customWidth="1"/>
    <col min="2" max="2" width="68.77734375" style="447" customWidth="1"/>
    <col min="3" max="11" width="28.21875" style="447" customWidth="1"/>
    <col min="12" max="16384" width="8.77734375" style="447"/>
  </cols>
  <sheetData>
    <row r="1" spans="1:11" s="399" customFormat="1" ht="13.8">
      <c r="A1" s="343" t="s">
        <v>31</v>
      </c>
      <c r="B1" s="386" t="str">
        <f>'Info '!C2</f>
        <v>JSC PASHA Bank Georgia</v>
      </c>
    </row>
    <row r="2" spans="1:11" s="399" customFormat="1">
      <c r="A2" s="343" t="s">
        <v>32</v>
      </c>
      <c r="B2" s="385">
        <f>'1. key ratios '!B2</f>
        <v>45291</v>
      </c>
    </row>
    <row r="3" spans="1:11" s="399" customFormat="1">
      <c r="A3" s="344" t="s">
        <v>505</v>
      </c>
    </row>
    <row r="4" spans="1:11">
      <c r="C4" s="450" t="s">
        <v>699</v>
      </c>
      <c r="D4" s="450" t="s">
        <v>698</v>
      </c>
      <c r="E4" s="450" t="s">
        <v>697</v>
      </c>
      <c r="F4" s="450" t="s">
        <v>696</v>
      </c>
      <c r="G4" s="450" t="s">
        <v>695</v>
      </c>
      <c r="H4" s="450" t="s">
        <v>694</v>
      </c>
      <c r="I4" s="450" t="s">
        <v>693</v>
      </c>
      <c r="J4" s="450" t="s">
        <v>692</v>
      </c>
      <c r="K4" s="450" t="s">
        <v>691</v>
      </c>
    </row>
    <row r="5" spans="1:11" ht="103.95" customHeight="1">
      <c r="A5" s="770" t="s">
        <v>690</v>
      </c>
      <c r="B5" s="771"/>
      <c r="C5" s="449" t="s">
        <v>506</v>
      </c>
      <c r="D5" s="449" t="s">
        <v>507</v>
      </c>
      <c r="E5" s="449" t="s">
        <v>508</v>
      </c>
      <c r="F5" s="449" t="s">
        <v>509</v>
      </c>
      <c r="G5" s="449" t="s">
        <v>510</v>
      </c>
      <c r="H5" s="449" t="s">
        <v>511</v>
      </c>
      <c r="I5" s="449" t="s">
        <v>512</v>
      </c>
      <c r="J5" s="449" t="s">
        <v>513</v>
      </c>
      <c r="K5" s="449" t="s">
        <v>514</v>
      </c>
    </row>
    <row r="6" spans="1:11">
      <c r="A6" s="388">
        <v>1</v>
      </c>
      <c r="B6" s="388" t="s">
        <v>474</v>
      </c>
      <c r="C6" s="618">
        <v>2053977.1791999999</v>
      </c>
      <c r="D6" s="618" t="s">
        <v>721</v>
      </c>
      <c r="E6" s="618">
        <v>595060</v>
      </c>
      <c r="F6" s="618" t="s">
        <v>721</v>
      </c>
      <c r="G6" s="618">
        <v>168957621.43669999</v>
      </c>
      <c r="H6" s="618" t="s">
        <v>721</v>
      </c>
      <c r="I6" s="618">
        <v>58188796.022799999</v>
      </c>
      <c r="J6" s="618">
        <v>16473943.0888</v>
      </c>
      <c r="K6" s="618">
        <v>106039413.2634</v>
      </c>
    </row>
    <row r="7" spans="1:11">
      <c r="A7" s="388">
        <v>2</v>
      </c>
      <c r="B7" s="388" t="s">
        <v>515</v>
      </c>
      <c r="C7" s="618" t="s">
        <v>721</v>
      </c>
      <c r="D7" s="618" t="s">
        <v>721</v>
      </c>
      <c r="E7" s="618" t="s">
        <v>721</v>
      </c>
      <c r="F7" s="618" t="s">
        <v>721</v>
      </c>
      <c r="G7" s="618">
        <v>2730661.9849999999</v>
      </c>
      <c r="H7" s="618" t="s">
        <v>721</v>
      </c>
      <c r="I7" s="618">
        <v>29118574.039999999</v>
      </c>
      <c r="J7" s="618">
        <v>0</v>
      </c>
      <c r="K7" s="618">
        <v>28329562.923099998</v>
      </c>
    </row>
    <row r="8" spans="1:11">
      <c r="A8" s="388">
        <v>3</v>
      </c>
      <c r="B8" s="388" t="s">
        <v>482</v>
      </c>
      <c r="C8" s="618">
        <v>8856.4573999999993</v>
      </c>
      <c r="D8" s="618" t="s">
        <v>721</v>
      </c>
      <c r="E8" s="618">
        <v>33669.075400000002</v>
      </c>
      <c r="F8" s="618" t="s">
        <v>721</v>
      </c>
      <c r="G8" s="618">
        <v>7065851.8360000001</v>
      </c>
      <c r="H8" s="618" t="s">
        <v>721</v>
      </c>
      <c r="I8" s="618">
        <v>10599533.131200001</v>
      </c>
      <c r="J8" s="618">
        <v>24958804.954</v>
      </c>
      <c r="K8" s="618">
        <v>141799414.50170001</v>
      </c>
    </row>
    <row r="9" spans="1:11">
      <c r="A9" s="388">
        <v>4</v>
      </c>
      <c r="B9" s="408" t="s">
        <v>516</v>
      </c>
      <c r="C9" s="640" t="s">
        <v>721</v>
      </c>
      <c r="D9" s="640" t="s">
        <v>721</v>
      </c>
      <c r="E9" s="640" t="s">
        <v>721</v>
      </c>
      <c r="F9" s="640" t="s">
        <v>721</v>
      </c>
      <c r="G9" s="640">
        <v>25116379.402899999</v>
      </c>
      <c r="H9" s="640" t="s">
        <v>721</v>
      </c>
      <c r="I9" s="640">
        <v>305119.27559999999</v>
      </c>
      <c r="J9" s="640">
        <v>99031.392399999997</v>
      </c>
      <c r="K9" s="640">
        <v>4588023.0774999997</v>
      </c>
    </row>
    <row r="10" spans="1:11">
      <c r="A10" s="388">
        <v>5</v>
      </c>
      <c r="B10" s="408" t="s">
        <v>517</v>
      </c>
      <c r="C10" s="640" t="s">
        <v>721</v>
      </c>
      <c r="D10" s="640" t="s">
        <v>721</v>
      </c>
      <c r="E10" s="640" t="s">
        <v>721</v>
      </c>
      <c r="F10" s="640" t="s">
        <v>721</v>
      </c>
      <c r="G10" s="640" t="s">
        <v>721</v>
      </c>
      <c r="H10" s="640" t="s">
        <v>721</v>
      </c>
      <c r="I10" s="640" t="s">
        <v>721</v>
      </c>
      <c r="J10" s="640" t="s">
        <v>721</v>
      </c>
      <c r="K10" s="640" t="s">
        <v>721</v>
      </c>
    </row>
    <row r="11" spans="1:11">
      <c r="A11" s="388">
        <v>6</v>
      </c>
      <c r="B11" s="408" t="s">
        <v>518</v>
      </c>
      <c r="C11" s="640" t="s">
        <v>721</v>
      </c>
      <c r="D11" s="640" t="s">
        <v>721</v>
      </c>
      <c r="E11" s="640" t="s">
        <v>721</v>
      </c>
      <c r="F11" s="640" t="s">
        <v>721</v>
      </c>
      <c r="G11" s="640">
        <v>0</v>
      </c>
      <c r="H11" s="640" t="s">
        <v>721</v>
      </c>
      <c r="I11" s="640">
        <v>0</v>
      </c>
      <c r="J11" s="640">
        <v>0</v>
      </c>
      <c r="K11" s="640">
        <v>9551.75</v>
      </c>
    </row>
    <row r="13" spans="1:11" ht="13.8">
      <c r="B13" s="448"/>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paperSize="9" scale="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topLeftCell="J1" zoomScaleNormal="100" workbookViewId="0"/>
  </sheetViews>
  <sheetFormatPr defaultColWidth="8.77734375" defaultRowHeight="14.4"/>
  <cols>
    <col min="1" max="1" width="10" style="451" bestFit="1" customWidth="1"/>
    <col min="2" max="2" width="71.77734375" style="451" customWidth="1"/>
    <col min="3" max="3" width="11" style="451" bestFit="1" customWidth="1"/>
    <col min="4" max="7" width="15.5546875" style="451" customWidth="1"/>
    <col min="8" max="8" width="11" style="451" bestFit="1" customWidth="1"/>
    <col min="9" max="12" width="17.21875" style="451" customWidth="1"/>
    <col min="13" max="13" width="10.77734375" style="451" bestFit="1" customWidth="1"/>
    <col min="14" max="17" width="16.21875" style="451" customWidth="1"/>
    <col min="18" max="18" width="12.33203125" style="451" bestFit="1" customWidth="1"/>
    <col min="19" max="19" width="47" style="451" bestFit="1" customWidth="1"/>
    <col min="20" max="20" width="43.5546875" style="451" bestFit="1" customWidth="1"/>
    <col min="21" max="21" width="46" style="451" bestFit="1" customWidth="1"/>
    <col min="22" max="22" width="43.44140625" style="451" bestFit="1" customWidth="1"/>
    <col min="23" max="16384" width="8.77734375" style="451"/>
  </cols>
  <sheetData>
    <row r="1" spans="1:22">
      <c r="A1" s="343" t="s">
        <v>31</v>
      </c>
      <c r="B1" s="386" t="str">
        <f>'Info '!C2</f>
        <v>JSC PASHA Bank Georgia</v>
      </c>
    </row>
    <row r="2" spans="1:22">
      <c r="A2" s="343" t="s">
        <v>32</v>
      </c>
      <c r="B2" s="385">
        <f>'1. key ratios '!B2</f>
        <v>45291</v>
      </c>
    </row>
    <row r="3" spans="1:22">
      <c r="A3" s="344" t="s">
        <v>533</v>
      </c>
      <c r="B3" s="399"/>
    </row>
    <row r="4" spans="1:22">
      <c r="A4" s="344"/>
      <c r="B4" s="399"/>
    </row>
    <row r="5" spans="1:22" ht="24" customHeight="1">
      <c r="A5" s="772" t="s">
        <v>534</v>
      </c>
      <c r="B5" s="773"/>
      <c r="C5" s="777" t="s">
        <v>700</v>
      </c>
      <c r="D5" s="777"/>
      <c r="E5" s="777"/>
      <c r="F5" s="777"/>
      <c r="G5" s="777"/>
      <c r="H5" s="777" t="s">
        <v>552</v>
      </c>
      <c r="I5" s="777"/>
      <c r="J5" s="777"/>
      <c r="K5" s="777"/>
      <c r="L5" s="777"/>
      <c r="M5" s="777" t="s">
        <v>664</v>
      </c>
      <c r="N5" s="777"/>
      <c r="O5" s="777"/>
      <c r="P5" s="777"/>
      <c r="Q5" s="777"/>
      <c r="R5" s="776" t="s">
        <v>535</v>
      </c>
      <c r="S5" s="776" t="s">
        <v>549</v>
      </c>
      <c r="T5" s="776" t="s">
        <v>550</v>
      </c>
      <c r="U5" s="776" t="s">
        <v>710</v>
      </c>
      <c r="V5" s="776" t="s">
        <v>711</v>
      </c>
    </row>
    <row r="6" spans="1:22" ht="36" customHeight="1">
      <c r="A6" s="774"/>
      <c r="B6" s="775"/>
      <c r="C6" s="460"/>
      <c r="D6" s="397" t="s">
        <v>685</v>
      </c>
      <c r="E6" s="397" t="s">
        <v>684</v>
      </c>
      <c r="F6" s="397" t="s">
        <v>683</v>
      </c>
      <c r="G6" s="397" t="s">
        <v>682</v>
      </c>
      <c r="H6" s="460"/>
      <c r="I6" s="397" t="s">
        <v>685</v>
      </c>
      <c r="J6" s="397" t="s">
        <v>684</v>
      </c>
      <c r="K6" s="397" t="s">
        <v>683</v>
      </c>
      <c r="L6" s="397" t="s">
        <v>682</v>
      </c>
      <c r="M6" s="460"/>
      <c r="N6" s="397" t="s">
        <v>685</v>
      </c>
      <c r="O6" s="397" t="s">
        <v>684</v>
      </c>
      <c r="P6" s="397" t="s">
        <v>683</v>
      </c>
      <c r="Q6" s="397" t="s">
        <v>682</v>
      </c>
      <c r="R6" s="776"/>
      <c r="S6" s="776"/>
      <c r="T6" s="776"/>
      <c r="U6" s="776"/>
      <c r="V6" s="776"/>
    </row>
    <row r="7" spans="1:22">
      <c r="A7" s="455">
        <v>1</v>
      </c>
      <c r="B7" s="459" t="s">
        <v>543</v>
      </c>
      <c r="C7" s="641" t="s">
        <v>721</v>
      </c>
      <c r="D7" s="641" t="s">
        <v>721</v>
      </c>
      <c r="E7" s="641" t="s">
        <v>721</v>
      </c>
      <c r="F7" s="641" t="s">
        <v>721</v>
      </c>
      <c r="G7" s="641"/>
      <c r="H7" s="641" t="s">
        <v>721</v>
      </c>
      <c r="I7" s="641" t="s">
        <v>721</v>
      </c>
      <c r="J7" s="641" t="s">
        <v>721</v>
      </c>
      <c r="K7" s="641" t="s">
        <v>721</v>
      </c>
      <c r="L7" s="641"/>
      <c r="M7" s="641" t="s">
        <v>721</v>
      </c>
      <c r="N7" s="641" t="s">
        <v>721</v>
      </c>
      <c r="O7" s="641" t="s">
        <v>721</v>
      </c>
      <c r="P7" s="641" t="s">
        <v>721</v>
      </c>
      <c r="Q7" s="641"/>
      <c r="R7" s="641">
        <v>0</v>
      </c>
      <c r="S7" s="641" t="s">
        <v>721</v>
      </c>
      <c r="T7" s="641" t="s">
        <v>721</v>
      </c>
      <c r="U7" s="641" t="s">
        <v>721</v>
      </c>
      <c r="V7" s="641" t="s">
        <v>721</v>
      </c>
    </row>
    <row r="8" spans="1:22">
      <c r="A8" s="455">
        <v>2</v>
      </c>
      <c r="B8" s="458" t="s">
        <v>542</v>
      </c>
      <c r="C8" s="641">
        <v>20436427.021000002</v>
      </c>
      <c r="D8" s="641">
        <v>16051200.880999999</v>
      </c>
      <c r="E8" s="641">
        <v>1644406.91</v>
      </c>
      <c r="F8" s="641">
        <v>2740819.23</v>
      </c>
      <c r="G8" s="641"/>
      <c r="H8" s="641">
        <v>20436555.086399999</v>
      </c>
      <c r="I8" s="641">
        <v>16032166.754000001</v>
      </c>
      <c r="J8" s="641">
        <v>1661832.64</v>
      </c>
      <c r="K8" s="641">
        <v>2742555.6924000001</v>
      </c>
      <c r="L8" s="641"/>
      <c r="M8" s="641">
        <v>2872375.5362</v>
      </c>
      <c r="N8" s="641">
        <v>463851.72499999998</v>
      </c>
      <c r="O8" s="641">
        <v>134248.37950000001</v>
      </c>
      <c r="P8" s="641">
        <v>2274275.4317000001</v>
      </c>
      <c r="Q8" s="641"/>
      <c r="R8" s="641">
        <v>5347</v>
      </c>
      <c r="S8" s="641">
        <v>0.17860000000000001</v>
      </c>
      <c r="T8" s="641">
        <v>0.2069</v>
      </c>
      <c r="U8" s="641">
        <v>0.18240000000000001</v>
      </c>
      <c r="V8" s="641">
        <v>27.4754</v>
      </c>
    </row>
    <row r="9" spans="1:22">
      <c r="A9" s="455">
        <v>3</v>
      </c>
      <c r="B9" s="458" t="s">
        <v>541</v>
      </c>
      <c r="C9" s="641" t="s">
        <v>721</v>
      </c>
      <c r="D9" s="641" t="s">
        <v>721</v>
      </c>
      <c r="E9" s="641" t="s">
        <v>721</v>
      </c>
      <c r="F9" s="641" t="s">
        <v>721</v>
      </c>
      <c r="G9" s="641"/>
      <c r="H9" s="641" t="s">
        <v>721</v>
      </c>
      <c r="I9" s="641" t="s">
        <v>721</v>
      </c>
      <c r="J9" s="641" t="s">
        <v>721</v>
      </c>
      <c r="K9" s="641" t="s">
        <v>721</v>
      </c>
      <c r="L9" s="641"/>
      <c r="M9" s="641" t="s">
        <v>721</v>
      </c>
      <c r="N9" s="641" t="s">
        <v>721</v>
      </c>
      <c r="O9" s="641" t="s">
        <v>721</v>
      </c>
      <c r="P9" s="641" t="s">
        <v>721</v>
      </c>
      <c r="Q9" s="641"/>
      <c r="R9" s="641">
        <v>0</v>
      </c>
      <c r="S9" s="641" t="s">
        <v>721</v>
      </c>
      <c r="T9" s="641" t="s">
        <v>721</v>
      </c>
      <c r="U9" s="641" t="s">
        <v>721</v>
      </c>
      <c r="V9" s="641" t="s">
        <v>721</v>
      </c>
    </row>
    <row r="10" spans="1:22">
      <c r="A10" s="455">
        <v>4</v>
      </c>
      <c r="B10" s="458" t="s">
        <v>540</v>
      </c>
      <c r="C10" s="641" t="s">
        <v>721</v>
      </c>
      <c r="D10" s="641" t="s">
        <v>721</v>
      </c>
      <c r="E10" s="641" t="s">
        <v>721</v>
      </c>
      <c r="F10" s="641" t="s">
        <v>721</v>
      </c>
      <c r="G10" s="641"/>
      <c r="H10" s="641" t="s">
        <v>721</v>
      </c>
      <c r="I10" s="641" t="s">
        <v>721</v>
      </c>
      <c r="J10" s="641" t="s">
        <v>721</v>
      </c>
      <c r="K10" s="641" t="s">
        <v>721</v>
      </c>
      <c r="L10" s="641"/>
      <c r="M10" s="641" t="s">
        <v>721</v>
      </c>
      <c r="N10" s="641" t="s">
        <v>721</v>
      </c>
      <c r="O10" s="641" t="s">
        <v>721</v>
      </c>
      <c r="P10" s="641" t="s">
        <v>721</v>
      </c>
      <c r="Q10" s="641"/>
      <c r="R10" s="641">
        <v>0</v>
      </c>
      <c r="S10" s="641" t="s">
        <v>721</v>
      </c>
      <c r="T10" s="641" t="s">
        <v>721</v>
      </c>
      <c r="U10" s="641" t="s">
        <v>721</v>
      </c>
      <c r="V10" s="641" t="s">
        <v>721</v>
      </c>
    </row>
    <row r="11" spans="1:22">
      <c r="A11" s="455">
        <v>5</v>
      </c>
      <c r="B11" s="458" t="s">
        <v>539</v>
      </c>
      <c r="C11" s="641">
        <v>9026.2080000000005</v>
      </c>
      <c r="D11" s="641">
        <v>9026.2080000000005</v>
      </c>
      <c r="E11" s="641">
        <v>0</v>
      </c>
      <c r="F11" s="641">
        <v>0</v>
      </c>
      <c r="G11" s="641"/>
      <c r="H11" s="641">
        <v>9041.7479999999996</v>
      </c>
      <c r="I11" s="641">
        <v>9041.7479999999996</v>
      </c>
      <c r="J11" s="641">
        <v>0</v>
      </c>
      <c r="K11" s="641">
        <v>0</v>
      </c>
      <c r="L11" s="641"/>
      <c r="M11" s="641">
        <v>111.8023</v>
      </c>
      <c r="N11" s="641">
        <v>111.8023</v>
      </c>
      <c r="O11" s="641">
        <v>0</v>
      </c>
      <c r="P11" s="641">
        <v>0</v>
      </c>
      <c r="Q11" s="641"/>
      <c r="R11" s="641">
        <v>51</v>
      </c>
      <c r="S11" s="641">
        <v>0.1303</v>
      </c>
      <c r="T11" s="641">
        <v>0.13980000000000001</v>
      </c>
      <c r="U11" s="641">
        <v>9.5299999999999996E-2</v>
      </c>
      <c r="V11" s="641">
        <v>-0.36770000000000003</v>
      </c>
    </row>
    <row r="12" spans="1:22">
      <c r="A12" s="455">
        <v>6</v>
      </c>
      <c r="B12" s="458" t="s">
        <v>538</v>
      </c>
      <c r="C12" s="641">
        <v>50530158.600000001</v>
      </c>
      <c r="D12" s="641">
        <v>46441710.700000003</v>
      </c>
      <c r="E12" s="641">
        <v>2545001.56</v>
      </c>
      <c r="F12" s="641">
        <v>1543446.34</v>
      </c>
      <c r="G12" s="641"/>
      <c r="H12" s="641">
        <v>50094413.412100002</v>
      </c>
      <c r="I12" s="641">
        <v>45877861.780000001</v>
      </c>
      <c r="J12" s="641">
        <v>2625009.08</v>
      </c>
      <c r="K12" s="641">
        <v>1591542.5521</v>
      </c>
      <c r="L12" s="641"/>
      <c r="M12" s="641">
        <v>4038629.2565000001</v>
      </c>
      <c r="N12" s="641">
        <v>2166489.6809</v>
      </c>
      <c r="O12" s="641">
        <v>595043.74719999998</v>
      </c>
      <c r="P12" s="641">
        <v>1277095.8284</v>
      </c>
      <c r="Q12" s="641"/>
      <c r="R12" s="641">
        <v>31846</v>
      </c>
      <c r="S12" s="641">
        <v>0.36</v>
      </c>
      <c r="T12" s="641">
        <v>0.39360000000000001</v>
      </c>
      <c r="U12" s="641">
        <v>0.36</v>
      </c>
      <c r="V12" s="641">
        <v>417.00510000000003</v>
      </c>
    </row>
    <row r="13" spans="1:22">
      <c r="A13" s="455">
        <v>7</v>
      </c>
      <c r="B13" s="458" t="s">
        <v>537</v>
      </c>
      <c r="C13" s="641">
        <v>90979.685700000002</v>
      </c>
      <c r="D13" s="641">
        <v>90979.685700000002</v>
      </c>
      <c r="E13" s="641">
        <v>0</v>
      </c>
      <c r="F13" s="641">
        <v>0</v>
      </c>
      <c r="G13" s="641"/>
      <c r="H13" s="641">
        <v>91150.812300000005</v>
      </c>
      <c r="I13" s="641">
        <v>91150.812300000005</v>
      </c>
      <c r="J13" s="641">
        <v>0</v>
      </c>
      <c r="K13" s="641">
        <v>0</v>
      </c>
      <c r="L13" s="641"/>
      <c r="M13" s="641">
        <v>3941.0387999999998</v>
      </c>
      <c r="N13" s="641">
        <v>3941.0387999999998</v>
      </c>
      <c r="O13" s="641">
        <v>0</v>
      </c>
      <c r="P13" s="641">
        <v>0</v>
      </c>
      <c r="Q13" s="641"/>
      <c r="R13" s="641">
        <v>1</v>
      </c>
      <c r="S13" s="641" t="s">
        <v>721</v>
      </c>
      <c r="T13" s="641" t="s">
        <v>721</v>
      </c>
      <c r="U13" s="641">
        <v>0.1085</v>
      </c>
      <c r="V13" s="641">
        <v>24</v>
      </c>
    </row>
    <row r="14" spans="1:22">
      <c r="A14" s="453">
        <v>7.1</v>
      </c>
      <c r="B14" s="452" t="s">
        <v>546</v>
      </c>
      <c r="C14" s="641">
        <v>90979.685700000002</v>
      </c>
      <c r="D14" s="641">
        <v>90979.685700000002</v>
      </c>
      <c r="E14" s="641">
        <v>0</v>
      </c>
      <c r="F14" s="641">
        <v>0</v>
      </c>
      <c r="G14" s="641"/>
      <c r="H14" s="641">
        <v>91150.812300000005</v>
      </c>
      <c r="I14" s="641">
        <v>91150.812300000005</v>
      </c>
      <c r="J14" s="641">
        <v>0</v>
      </c>
      <c r="K14" s="641">
        <v>0</v>
      </c>
      <c r="L14" s="641"/>
      <c r="M14" s="641">
        <v>3941.0387999999998</v>
      </c>
      <c r="N14" s="641">
        <v>3941.0387999999998</v>
      </c>
      <c r="O14" s="641">
        <v>0</v>
      </c>
      <c r="P14" s="641">
        <v>0</v>
      </c>
      <c r="Q14" s="641"/>
      <c r="R14" s="641">
        <v>1</v>
      </c>
      <c r="S14" s="641" t="s">
        <v>721</v>
      </c>
      <c r="T14" s="641" t="s">
        <v>721</v>
      </c>
      <c r="U14" s="641">
        <v>0.1085</v>
      </c>
      <c r="V14" s="641">
        <v>24</v>
      </c>
    </row>
    <row r="15" spans="1:22">
      <c r="A15" s="453">
        <v>7.2</v>
      </c>
      <c r="B15" s="452" t="s">
        <v>548</v>
      </c>
      <c r="C15" s="641" t="s">
        <v>721</v>
      </c>
      <c r="D15" s="641" t="s">
        <v>721</v>
      </c>
      <c r="E15" s="641" t="s">
        <v>721</v>
      </c>
      <c r="F15" s="641" t="s">
        <v>721</v>
      </c>
      <c r="G15" s="641"/>
      <c r="H15" s="641" t="s">
        <v>721</v>
      </c>
      <c r="I15" s="641" t="s">
        <v>721</v>
      </c>
      <c r="J15" s="641" t="s">
        <v>721</v>
      </c>
      <c r="K15" s="641" t="s">
        <v>721</v>
      </c>
      <c r="L15" s="641"/>
      <c r="M15" s="641" t="s">
        <v>721</v>
      </c>
      <c r="N15" s="641" t="s">
        <v>721</v>
      </c>
      <c r="O15" s="641" t="s">
        <v>721</v>
      </c>
      <c r="P15" s="641" t="s">
        <v>721</v>
      </c>
      <c r="Q15" s="641"/>
      <c r="R15" s="641">
        <v>0</v>
      </c>
      <c r="S15" s="641" t="s">
        <v>721</v>
      </c>
      <c r="T15" s="641" t="s">
        <v>721</v>
      </c>
      <c r="U15" s="641" t="s">
        <v>721</v>
      </c>
      <c r="V15" s="641" t="s">
        <v>721</v>
      </c>
    </row>
    <row r="16" spans="1:22">
      <c r="A16" s="453">
        <v>7.3</v>
      </c>
      <c r="B16" s="452" t="s">
        <v>545</v>
      </c>
      <c r="C16" s="641" t="s">
        <v>721</v>
      </c>
      <c r="D16" s="641" t="s">
        <v>721</v>
      </c>
      <c r="E16" s="641" t="s">
        <v>721</v>
      </c>
      <c r="F16" s="641" t="s">
        <v>721</v>
      </c>
      <c r="G16" s="641"/>
      <c r="H16" s="641" t="s">
        <v>721</v>
      </c>
      <c r="I16" s="641" t="s">
        <v>721</v>
      </c>
      <c r="J16" s="641" t="s">
        <v>721</v>
      </c>
      <c r="K16" s="641" t="s">
        <v>721</v>
      </c>
      <c r="L16" s="641"/>
      <c r="M16" s="641" t="s">
        <v>721</v>
      </c>
      <c r="N16" s="641" t="s">
        <v>721</v>
      </c>
      <c r="O16" s="641" t="s">
        <v>721</v>
      </c>
      <c r="P16" s="641" t="s">
        <v>721</v>
      </c>
      <c r="Q16" s="641"/>
      <c r="R16" s="641">
        <v>0</v>
      </c>
      <c r="S16" s="641" t="s">
        <v>721</v>
      </c>
      <c r="T16" s="641" t="s">
        <v>721</v>
      </c>
      <c r="U16" s="641" t="s">
        <v>721</v>
      </c>
      <c r="V16" s="641" t="s">
        <v>721</v>
      </c>
    </row>
    <row r="17" spans="1:22">
      <c r="A17" s="455">
        <v>8</v>
      </c>
      <c r="B17" s="458" t="s">
        <v>544</v>
      </c>
      <c r="C17" s="641" t="s">
        <v>721</v>
      </c>
      <c r="D17" s="641" t="s">
        <v>721</v>
      </c>
      <c r="E17" s="641" t="s">
        <v>721</v>
      </c>
      <c r="F17" s="641" t="s">
        <v>721</v>
      </c>
      <c r="G17" s="641"/>
      <c r="H17" s="641" t="s">
        <v>721</v>
      </c>
      <c r="I17" s="641" t="s">
        <v>721</v>
      </c>
      <c r="J17" s="641" t="s">
        <v>721</v>
      </c>
      <c r="K17" s="641" t="s">
        <v>721</v>
      </c>
      <c r="L17" s="641"/>
      <c r="M17" s="641" t="s">
        <v>721</v>
      </c>
      <c r="N17" s="641" t="s">
        <v>721</v>
      </c>
      <c r="O17" s="641" t="s">
        <v>721</v>
      </c>
      <c r="P17" s="641" t="s">
        <v>721</v>
      </c>
      <c r="Q17" s="641"/>
      <c r="R17" s="641">
        <v>0</v>
      </c>
      <c r="S17" s="641" t="s">
        <v>721</v>
      </c>
      <c r="T17" s="641" t="s">
        <v>721</v>
      </c>
      <c r="U17" s="641" t="s">
        <v>721</v>
      </c>
      <c r="V17" s="641" t="s">
        <v>721</v>
      </c>
    </row>
    <row r="18" spans="1:22">
      <c r="A18" s="457">
        <v>9</v>
      </c>
      <c r="B18" s="456" t="s">
        <v>536</v>
      </c>
      <c r="C18" s="642" t="s">
        <v>721</v>
      </c>
      <c r="D18" s="642" t="s">
        <v>721</v>
      </c>
      <c r="E18" s="642" t="s">
        <v>721</v>
      </c>
      <c r="F18" s="642" t="s">
        <v>721</v>
      </c>
      <c r="G18" s="642"/>
      <c r="H18" s="642" t="s">
        <v>721</v>
      </c>
      <c r="I18" s="642" t="s">
        <v>721</v>
      </c>
      <c r="J18" s="642" t="s">
        <v>721</v>
      </c>
      <c r="K18" s="642" t="s">
        <v>721</v>
      </c>
      <c r="L18" s="642"/>
      <c r="M18" s="642" t="s">
        <v>721</v>
      </c>
      <c r="N18" s="642" t="s">
        <v>721</v>
      </c>
      <c r="O18" s="642" t="s">
        <v>721</v>
      </c>
      <c r="P18" s="642" t="s">
        <v>721</v>
      </c>
      <c r="Q18" s="642"/>
      <c r="R18" s="642">
        <v>0</v>
      </c>
      <c r="S18" s="642" t="s">
        <v>721</v>
      </c>
      <c r="T18" s="642" t="s">
        <v>721</v>
      </c>
      <c r="U18" s="642" t="s">
        <v>721</v>
      </c>
      <c r="V18" s="642" t="s">
        <v>721</v>
      </c>
    </row>
    <row r="19" spans="1:22">
      <c r="A19" s="455">
        <v>10</v>
      </c>
      <c r="B19" s="454" t="s">
        <v>547</v>
      </c>
      <c r="C19" s="641">
        <f>SUM(C8:C13)</f>
        <v>71066591.514699996</v>
      </c>
      <c r="D19" s="641">
        <f t="shared" ref="D19:Q19" si="0">SUM(D8:D13)</f>
        <v>62592917.474700004</v>
      </c>
      <c r="E19" s="641">
        <f t="shared" si="0"/>
        <v>4189408.4699999997</v>
      </c>
      <c r="F19" s="641">
        <f t="shared" si="0"/>
        <v>4284265.57</v>
      </c>
      <c r="G19" s="641">
        <f t="shared" si="0"/>
        <v>0</v>
      </c>
      <c r="H19" s="641">
        <f t="shared" si="0"/>
        <v>70631161.058799997</v>
      </c>
      <c r="I19" s="641">
        <f t="shared" si="0"/>
        <v>62010221.094300002</v>
      </c>
      <c r="J19" s="641">
        <f t="shared" si="0"/>
        <v>4286841.72</v>
      </c>
      <c r="K19" s="641">
        <f t="shared" si="0"/>
        <v>4334098.2445</v>
      </c>
      <c r="L19" s="641">
        <f t="shared" si="0"/>
        <v>0</v>
      </c>
      <c r="M19" s="641">
        <f t="shared" si="0"/>
        <v>6915057.6338000009</v>
      </c>
      <c r="N19" s="641">
        <f t="shared" si="0"/>
        <v>2634394.2470000004</v>
      </c>
      <c r="O19" s="641">
        <f t="shared" si="0"/>
        <v>729292.12670000002</v>
      </c>
      <c r="P19" s="641">
        <f t="shared" si="0"/>
        <v>3551371.2601000001</v>
      </c>
      <c r="Q19" s="641">
        <f t="shared" si="0"/>
        <v>0</v>
      </c>
      <c r="R19" s="641">
        <v>37245</v>
      </c>
      <c r="S19" s="641">
        <v>0.34429999999999999</v>
      </c>
      <c r="T19" s="641">
        <v>0.3775</v>
      </c>
      <c r="U19" s="641">
        <v>0.30859999999999999</v>
      </c>
      <c r="V19" s="641">
        <v>304.43299999999999</v>
      </c>
    </row>
    <row r="20" spans="1:22" ht="24">
      <c r="A20" s="453">
        <v>10.1</v>
      </c>
      <c r="B20" s="452" t="s">
        <v>551</v>
      </c>
      <c r="C20" s="641">
        <v>9124.33</v>
      </c>
      <c r="D20" s="641">
        <v>9124.33</v>
      </c>
      <c r="E20" s="641" t="s">
        <v>721</v>
      </c>
      <c r="F20" s="641" t="s">
        <v>721</v>
      </c>
      <c r="G20" s="641"/>
      <c r="H20" s="641">
        <v>9179.32</v>
      </c>
      <c r="I20" s="641">
        <v>9179.32</v>
      </c>
      <c r="J20" s="641" t="s">
        <v>721</v>
      </c>
      <c r="K20" s="641" t="s">
        <v>721</v>
      </c>
      <c r="L20" s="641"/>
      <c r="M20" s="641">
        <v>225.77340000000001</v>
      </c>
      <c r="N20" s="641">
        <v>225.77340000000001</v>
      </c>
      <c r="O20" s="641" t="s">
        <v>721</v>
      </c>
      <c r="P20" s="641" t="s">
        <v>721</v>
      </c>
      <c r="Q20" s="641"/>
      <c r="R20" s="641">
        <v>3</v>
      </c>
      <c r="S20" s="641">
        <v>0.20849999999999999</v>
      </c>
      <c r="T20" s="641">
        <v>0.2271</v>
      </c>
      <c r="U20" s="641">
        <v>0.2051</v>
      </c>
      <c r="V20" s="641">
        <v>52.7089</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zoomScale="80" zoomScaleNormal="80" workbookViewId="0"/>
  </sheetViews>
  <sheetFormatPr defaultRowHeight="14.4"/>
  <cols>
    <col min="1" max="1" width="8.77734375" style="356"/>
    <col min="2" max="2" width="69.21875" style="357" customWidth="1"/>
    <col min="3" max="3" width="13.6640625" customWidth="1"/>
    <col min="4" max="4" width="14.44140625" customWidth="1"/>
    <col min="5" max="8" width="13.21875" customWidth="1"/>
  </cols>
  <sheetData>
    <row r="1" spans="1:8" s="5" customFormat="1" ht="13.8">
      <c r="A1" s="2" t="s">
        <v>31</v>
      </c>
      <c r="B1" s="3" t="str">
        <f>'Info '!C2</f>
        <v>JSC PASHA Bank Georgia</v>
      </c>
      <c r="C1" s="3"/>
      <c r="D1" s="4"/>
      <c r="E1" s="4"/>
      <c r="F1" s="4"/>
      <c r="G1" s="4"/>
    </row>
    <row r="2" spans="1:8" s="5" customFormat="1" ht="13.8">
      <c r="A2" s="2" t="s">
        <v>32</v>
      </c>
      <c r="B2" s="309">
        <f>'1. key ratios '!B2</f>
        <v>45291</v>
      </c>
      <c r="C2" s="3"/>
      <c r="D2" s="4"/>
      <c r="E2" s="4"/>
      <c r="F2" s="4"/>
      <c r="G2" s="4"/>
    </row>
    <row r="3" spans="1:8" s="5" customFormat="1" thickBot="1">
      <c r="A3" s="2"/>
      <c r="B3" s="3"/>
      <c r="C3" s="3"/>
      <c r="D3" s="4"/>
      <c r="E3" s="4"/>
      <c r="F3" s="4"/>
      <c r="G3" s="4"/>
    </row>
    <row r="4" spans="1:8" ht="21" customHeight="1">
      <c r="A4" s="668" t="s">
        <v>7</v>
      </c>
      <c r="B4" s="670" t="s">
        <v>558</v>
      </c>
      <c r="C4" s="672" t="s">
        <v>559</v>
      </c>
      <c r="D4" s="672"/>
      <c r="E4" s="672"/>
      <c r="F4" s="672" t="s">
        <v>560</v>
      </c>
      <c r="G4" s="672"/>
      <c r="H4" s="673"/>
    </row>
    <row r="5" spans="1:8" ht="21" customHeight="1">
      <c r="A5" s="669"/>
      <c r="B5" s="671"/>
      <c r="C5" s="358" t="s">
        <v>33</v>
      </c>
      <c r="D5" s="358" t="s">
        <v>34</v>
      </c>
      <c r="E5" s="358" t="s">
        <v>35</v>
      </c>
      <c r="F5" s="358" t="s">
        <v>33</v>
      </c>
      <c r="G5" s="358" t="s">
        <v>34</v>
      </c>
      <c r="H5" s="500" t="s">
        <v>35</v>
      </c>
    </row>
    <row r="6" spans="1:8" ht="26.55" customHeight="1">
      <c r="A6" s="669"/>
      <c r="B6" s="497" t="s">
        <v>561</v>
      </c>
      <c r="C6" s="674"/>
      <c r="D6" s="674"/>
      <c r="E6" s="674"/>
      <c r="F6" s="674"/>
      <c r="G6" s="674"/>
      <c r="H6" s="675"/>
    </row>
    <row r="7" spans="1:8" ht="22.95" customHeight="1">
      <c r="A7" s="501">
        <v>1</v>
      </c>
      <c r="B7" s="498" t="s">
        <v>562</v>
      </c>
      <c r="C7" s="504">
        <f>SUM(C8:C10)</f>
        <v>12401233.3836</v>
      </c>
      <c r="D7" s="504">
        <f>SUM(D8:D10)</f>
        <v>89174285.323599994</v>
      </c>
      <c r="E7" s="505">
        <f>C7+D7</f>
        <v>101575518.70719999</v>
      </c>
      <c r="F7" s="504">
        <f>SUM(F8:F10)</f>
        <v>28837466.531399999</v>
      </c>
      <c r="G7" s="504">
        <f>SUM(G8:G10)</f>
        <v>80631280.497299999</v>
      </c>
      <c r="H7" s="506">
        <f>F7+G7</f>
        <v>109468747.02869999</v>
      </c>
    </row>
    <row r="8" spans="1:8">
      <c r="A8" s="501">
        <v>1.1000000000000001</v>
      </c>
      <c r="B8" s="350" t="s">
        <v>563</v>
      </c>
      <c r="C8" s="504">
        <v>1246327.8</v>
      </c>
      <c r="D8" s="504">
        <v>1672847.0731000002</v>
      </c>
      <c r="E8" s="505">
        <f t="shared" ref="E8:E36" si="0">C8+D8</f>
        <v>2919174.8731000004</v>
      </c>
      <c r="F8" s="504">
        <v>1391066.15</v>
      </c>
      <c r="G8" s="504">
        <v>2937345.04</v>
      </c>
      <c r="H8" s="506">
        <f t="shared" ref="H8:H36" si="1">F8+G8</f>
        <v>4328411.1899999995</v>
      </c>
    </row>
    <row r="9" spans="1:8">
      <c r="A9" s="501">
        <v>1.2</v>
      </c>
      <c r="B9" s="350" t="s">
        <v>564</v>
      </c>
      <c r="C9" s="504">
        <v>3412664.05</v>
      </c>
      <c r="D9" s="504">
        <v>27813649.270999998</v>
      </c>
      <c r="E9" s="505">
        <f t="shared" si="0"/>
        <v>31226313.320999999</v>
      </c>
      <c r="F9" s="504">
        <v>268613.59999999998</v>
      </c>
      <c r="G9" s="504">
        <v>43473517.196100004</v>
      </c>
      <c r="H9" s="506">
        <f t="shared" si="1"/>
        <v>43742130.796100006</v>
      </c>
    </row>
    <row r="10" spans="1:8">
      <c r="A10" s="501">
        <v>1.3</v>
      </c>
      <c r="B10" s="350" t="s">
        <v>565</v>
      </c>
      <c r="C10" s="504">
        <v>7742241.5335999997</v>
      </c>
      <c r="D10" s="504">
        <v>59687788.979499996</v>
      </c>
      <c r="E10" s="505">
        <f t="shared" si="0"/>
        <v>67430030.513099998</v>
      </c>
      <c r="F10" s="504">
        <v>27177786.781399999</v>
      </c>
      <c r="G10" s="504">
        <v>34220418.261200003</v>
      </c>
      <c r="H10" s="506">
        <f t="shared" si="1"/>
        <v>61398205.042600006</v>
      </c>
    </row>
    <row r="11" spans="1:8">
      <c r="A11" s="501">
        <v>2</v>
      </c>
      <c r="B11" s="374" t="s">
        <v>566</v>
      </c>
      <c r="C11" s="504">
        <f>C12</f>
        <v>690915.74</v>
      </c>
      <c r="D11" s="504"/>
      <c r="E11" s="505">
        <f t="shared" si="0"/>
        <v>690915.74</v>
      </c>
      <c r="F11" s="504">
        <f>F12</f>
        <v>976077.48</v>
      </c>
      <c r="G11" s="504"/>
      <c r="H11" s="506">
        <f t="shared" si="1"/>
        <v>976077.48</v>
      </c>
    </row>
    <row r="12" spans="1:8">
      <c r="A12" s="501">
        <v>2.1</v>
      </c>
      <c r="B12" s="349" t="s">
        <v>567</v>
      </c>
      <c r="C12" s="504">
        <v>690915.74</v>
      </c>
      <c r="D12" s="504"/>
      <c r="E12" s="505">
        <f t="shared" si="0"/>
        <v>690915.74</v>
      </c>
      <c r="F12" s="504">
        <v>976077.48</v>
      </c>
      <c r="G12" s="504"/>
      <c r="H12" s="506">
        <f t="shared" si="1"/>
        <v>976077.48</v>
      </c>
    </row>
    <row r="13" spans="1:8" ht="26.55" customHeight="1">
      <c r="A13" s="501">
        <v>3</v>
      </c>
      <c r="B13" s="494" t="s">
        <v>568</v>
      </c>
      <c r="C13" s="504"/>
      <c r="D13" s="504"/>
      <c r="E13" s="505">
        <f t="shared" si="0"/>
        <v>0</v>
      </c>
      <c r="F13" s="504"/>
      <c r="G13" s="504"/>
      <c r="H13" s="506">
        <f t="shared" si="1"/>
        <v>0</v>
      </c>
    </row>
    <row r="14" spans="1:8" ht="26.55" customHeight="1">
      <c r="A14" s="501">
        <v>4</v>
      </c>
      <c r="B14" s="355" t="s">
        <v>569</v>
      </c>
      <c r="C14" s="504"/>
      <c r="D14" s="504"/>
      <c r="E14" s="505">
        <f t="shared" si="0"/>
        <v>0</v>
      </c>
      <c r="F14" s="504"/>
      <c r="G14" s="504"/>
      <c r="H14" s="506">
        <f t="shared" si="1"/>
        <v>0</v>
      </c>
    </row>
    <row r="15" spans="1:8" ht="24.45" customHeight="1">
      <c r="A15" s="501">
        <v>5</v>
      </c>
      <c r="B15" s="352" t="s">
        <v>570</v>
      </c>
      <c r="C15" s="507">
        <f>SUM(C16:C18)</f>
        <v>0</v>
      </c>
      <c r="D15" s="507">
        <f>SUM(D16:D18)</f>
        <v>0</v>
      </c>
      <c r="E15" s="508">
        <f t="shared" si="0"/>
        <v>0</v>
      </c>
      <c r="F15" s="507">
        <f>SUM(F16:F18)</f>
        <v>0</v>
      </c>
      <c r="G15" s="507">
        <f>SUM(G16:G18)</f>
        <v>0</v>
      </c>
      <c r="H15" s="509">
        <f t="shared" si="1"/>
        <v>0</v>
      </c>
    </row>
    <row r="16" spans="1:8">
      <c r="A16" s="501">
        <v>5.0999999999999996</v>
      </c>
      <c r="B16" s="495" t="s">
        <v>571</v>
      </c>
      <c r="C16" s="504"/>
      <c r="D16" s="504"/>
      <c r="E16" s="505">
        <f t="shared" si="0"/>
        <v>0</v>
      </c>
      <c r="F16" s="504"/>
      <c r="G16" s="504"/>
      <c r="H16" s="506">
        <f t="shared" si="1"/>
        <v>0</v>
      </c>
    </row>
    <row r="17" spans="1:8">
      <c r="A17" s="501">
        <v>5.2</v>
      </c>
      <c r="B17" s="495" t="s">
        <v>572</v>
      </c>
      <c r="C17" s="504"/>
      <c r="D17" s="504"/>
      <c r="E17" s="505">
        <f t="shared" si="0"/>
        <v>0</v>
      </c>
      <c r="F17" s="504"/>
      <c r="G17" s="504"/>
      <c r="H17" s="506">
        <f t="shared" si="1"/>
        <v>0</v>
      </c>
    </row>
    <row r="18" spans="1:8">
      <c r="A18" s="501">
        <v>5.3</v>
      </c>
      <c r="B18" s="375" t="s">
        <v>573</v>
      </c>
      <c r="C18" s="504"/>
      <c r="D18" s="504"/>
      <c r="E18" s="505">
        <f t="shared" si="0"/>
        <v>0</v>
      </c>
      <c r="F18" s="504"/>
      <c r="G18" s="504"/>
      <c r="H18" s="506">
        <f t="shared" si="1"/>
        <v>0</v>
      </c>
    </row>
    <row r="19" spans="1:8">
      <c r="A19" s="501">
        <v>6</v>
      </c>
      <c r="B19" s="494" t="s">
        <v>574</v>
      </c>
      <c r="C19" s="504">
        <f>SUM(C20:C21)</f>
        <v>203622157.20409998</v>
      </c>
      <c r="D19" s="504">
        <f>SUM(D20:D21)</f>
        <v>197714355.64559999</v>
      </c>
      <c r="E19" s="505">
        <f t="shared" si="0"/>
        <v>401336512.84969997</v>
      </c>
      <c r="F19" s="504">
        <f>SUM(F20:F21)</f>
        <v>177528820.73589998</v>
      </c>
      <c r="G19" s="504">
        <f>SUM(G20:G21)</f>
        <v>217087136.8197</v>
      </c>
      <c r="H19" s="506">
        <f t="shared" si="1"/>
        <v>394615957.55559999</v>
      </c>
    </row>
    <row r="20" spans="1:8">
      <c r="A20" s="501">
        <v>6.1</v>
      </c>
      <c r="B20" s="495" t="s">
        <v>572</v>
      </c>
      <c r="C20" s="504">
        <v>56222218.098800004</v>
      </c>
      <c r="D20" s="504">
        <v>9007802.7440999988</v>
      </c>
      <c r="E20" s="505">
        <f t="shared" si="0"/>
        <v>65230020.842900001</v>
      </c>
      <c r="F20" s="504">
        <v>36274468.810800001</v>
      </c>
      <c r="G20" s="504">
        <v>7586753.1078999992</v>
      </c>
      <c r="H20" s="506">
        <f t="shared" si="1"/>
        <v>43861221.918700002</v>
      </c>
    </row>
    <row r="21" spans="1:8">
      <c r="A21" s="501">
        <v>6.2</v>
      </c>
      <c r="B21" s="375" t="s">
        <v>573</v>
      </c>
      <c r="C21" s="504">
        <v>147399939.10529998</v>
      </c>
      <c r="D21" s="504">
        <v>188706552.90149999</v>
      </c>
      <c r="E21" s="505">
        <f t="shared" si="0"/>
        <v>336106492.00679994</v>
      </c>
      <c r="F21" s="504">
        <v>141254351.9251</v>
      </c>
      <c r="G21" s="504">
        <v>209500383.71180001</v>
      </c>
      <c r="H21" s="506">
        <f t="shared" si="1"/>
        <v>350754735.63690001</v>
      </c>
    </row>
    <row r="22" spans="1:8">
      <c r="A22" s="501">
        <v>7</v>
      </c>
      <c r="B22" s="374" t="s">
        <v>575</v>
      </c>
      <c r="C22" s="504"/>
      <c r="D22" s="504"/>
      <c r="E22" s="505">
        <f t="shared" si="0"/>
        <v>0</v>
      </c>
      <c r="F22" s="504"/>
      <c r="G22" s="504"/>
      <c r="H22" s="506">
        <f t="shared" si="1"/>
        <v>0</v>
      </c>
    </row>
    <row r="23" spans="1:8">
      <c r="A23" s="501">
        <v>8</v>
      </c>
      <c r="B23" s="374" t="s">
        <v>576</v>
      </c>
      <c r="C23" s="504">
        <v>11631520.42</v>
      </c>
      <c r="D23" s="504"/>
      <c r="E23" s="505">
        <f t="shared" si="0"/>
        <v>11631520.42</v>
      </c>
      <c r="F23" s="504">
        <v>604170</v>
      </c>
      <c r="G23" s="504"/>
      <c r="H23" s="506">
        <f t="shared" si="1"/>
        <v>604170</v>
      </c>
    </row>
    <row r="24" spans="1:8">
      <c r="A24" s="501">
        <v>9</v>
      </c>
      <c r="B24" s="355" t="s">
        <v>577</v>
      </c>
      <c r="C24" s="504">
        <f>SUM(C25:C26)</f>
        <v>9048070.0600000005</v>
      </c>
      <c r="D24" s="504">
        <f>SUM(D25:D26)</f>
        <v>0</v>
      </c>
      <c r="E24" s="505">
        <f t="shared" si="0"/>
        <v>9048070.0600000005</v>
      </c>
      <c r="F24" s="504">
        <f>SUM(F25:F26)</f>
        <v>6186559.6299999999</v>
      </c>
      <c r="G24" s="504">
        <f>SUM(G25:G26)</f>
        <v>0</v>
      </c>
      <c r="H24" s="506">
        <f t="shared" si="1"/>
        <v>6186559.6299999999</v>
      </c>
    </row>
    <row r="25" spans="1:8">
      <c r="A25" s="501">
        <v>9.1</v>
      </c>
      <c r="B25" s="495" t="s">
        <v>578</v>
      </c>
      <c r="C25" s="504">
        <v>4969672.78</v>
      </c>
      <c r="D25" s="504"/>
      <c r="E25" s="505">
        <f t="shared" si="0"/>
        <v>4969672.78</v>
      </c>
      <c r="F25" s="504">
        <v>6186559.6299999999</v>
      </c>
      <c r="G25" s="504"/>
      <c r="H25" s="506">
        <f t="shared" si="1"/>
        <v>6186559.6299999999</v>
      </c>
    </row>
    <row r="26" spans="1:8">
      <c r="A26" s="501">
        <v>9.1999999999999993</v>
      </c>
      <c r="B26" s="495" t="s">
        <v>579</v>
      </c>
      <c r="C26" s="504">
        <v>4078397.28</v>
      </c>
      <c r="D26" s="504"/>
      <c r="E26" s="505">
        <f t="shared" si="0"/>
        <v>4078397.28</v>
      </c>
      <c r="F26" s="504">
        <v>0</v>
      </c>
      <c r="G26" s="504"/>
      <c r="H26" s="506">
        <f t="shared" si="1"/>
        <v>0</v>
      </c>
    </row>
    <row r="27" spans="1:8">
      <c r="A27" s="501">
        <v>10</v>
      </c>
      <c r="B27" s="355" t="s">
        <v>580</v>
      </c>
      <c r="C27" s="504">
        <f>SUM(C28:C29)</f>
        <v>4894841.96</v>
      </c>
      <c r="D27" s="504">
        <f>SUM(D28:D29)</f>
        <v>0</v>
      </c>
      <c r="E27" s="505">
        <f t="shared" si="0"/>
        <v>4894841.96</v>
      </c>
      <c r="F27" s="504">
        <f>SUM(F28:F29)</f>
        <v>5254529.8</v>
      </c>
      <c r="G27" s="504">
        <f>SUM(G28:G29)</f>
        <v>0</v>
      </c>
      <c r="H27" s="506">
        <f t="shared" si="1"/>
        <v>5254529.8</v>
      </c>
    </row>
    <row r="28" spans="1:8">
      <c r="A28" s="501">
        <v>10.1</v>
      </c>
      <c r="B28" s="495" t="s">
        <v>581</v>
      </c>
      <c r="C28" s="504"/>
      <c r="D28" s="504"/>
      <c r="E28" s="505">
        <f t="shared" si="0"/>
        <v>0</v>
      </c>
      <c r="F28" s="504"/>
      <c r="G28" s="504"/>
      <c r="H28" s="506">
        <f t="shared" si="1"/>
        <v>0</v>
      </c>
    </row>
    <row r="29" spans="1:8">
      <c r="A29" s="501">
        <v>10.199999999999999</v>
      </c>
      <c r="B29" s="495" t="s">
        <v>582</v>
      </c>
      <c r="C29" s="504">
        <v>4894841.96</v>
      </c>
      <c r="D29" s="504"/>
      <c r="E29" s="505">
        <f t="shared" si="0"/>
        <v>4894841.96</v>
      </c>
      <c r="F29" s="504">
        <v>5254529.8</v>
      </c>
      <c r="G29" s="504"/>
      <c r="H29" s="506">
        <f t="shared" si="1"/>
        <v>5254529.8</v>
      </c>
    </row>
    <row r="30" spans="1:8">
      <c r="A30" s="501">
        <v>11</v>
      </c>
      <c r="B30" s="355" t="s">
        <v>583</v>
      </c>
      <c r="C30" s="504">
        <f>SUM(C31:C32)</f>
        <v>0</v>
      </c>
      <c r="D30" s="504">
        <f>SUM(D31:D32)</f>
        <v>0</v>
      </c>
      <c r="E30" s="505">
        <f t="shared" si="0"/>
        <v>0</v>
      </c>
      <c r="F30" s="504">
        <f>SUM(F31:F32)</f>
        <v>0</v>
      </c>
      <c r="G30" s="504">
        <f>SUM(G31:G32)</f>
        <v>0</v>
      </c>
      <c r="H30" s="506">
        <f t="shared" si="1"/>
        <v>0</v>
      </c>
    </row>
    <row r="31" spans="1:8">
      <c r="A31" s="501">
        <v>11.1</v>
      </c>
      <c r="B31" s="495" t="s">
        <v>584</v>
      </c>
      <c r="C31" s="504"/>
      <c r="D31" s="504"/>
      <c r="E31" s="505">
        <f t="shared" si="0"/>
        <v>0</v>
      </c>
      <c r="F31" s="504"/>
      <c r="G31" s="504"/>
      <c r="H31" s="506">
        <f t="shared" si="1"/>
        <v>0</v>
      </c>
    </row>
    <row r="32" spans="1:8">
      <c r="A32" s="501">
        <v>11.2</v>
      </c>
      <c r="B32" s="495" t="s">
        <v>585</v>
      </c>
      <c r="C32" s="504"/>
      <c r="D32" s="504"/>
      <c r="E32" s="505">
        <f t="shared" si="0"/>
        <v>0</v>
      </c>
      <c r="F32" s="504"/>
      <c r="G32" s="504"/>
      <c r="H32" s="506">
        <f t="shared" si="1"/>
        <v>0</v>
      </c>
    </row>
    <row r="33" spans="1:8">
      <c r="A33" s="501">
        <v>13</v>
      </c>
      <c r="B33" s="355" t="s">
        <v>586</v>
      </c>
      <c r="C33" s="504">
        <v>5488829.9566000002</v>
      </c>
      <c r="D33" s="504">
        <v>42801.501799999998</v>
      </c>
      <c r="E33" s="505">
        <f t="shared" si="0"/>
        <v>5531631.4583999999</v>
      </c>
      <c r="F33" s="504">
        <v>1921753.6800000002</v>
      </c>
      <c r="G33" s="504">
        <v>63622.070500000002</v>
      </c>
      <c r="H33" s="506">
        <f t="shared" si="1"/>
        <v>1985375.7505000001</v>
      </c>
    </row>
    <row r="34" spans="1:8">
      <c r="A34" s="501">
        <v>13.1</v>
      </c>
      <c r="B34" s="496" t="s">
        <v>587</v>
      </c>
      <c r="C34" s="504"/>
      <c r="D34" s="504"/>
      <c r="E34" s="505">
        <f t="shared" si="0"/>
        <v>0</v>
      </c>
      <c r="F34" s="504"/>
      <c r="G34" s="504"/>
      <c r="H34" s="506">
        <f t="shared" si="1"/>
        <v>0</v>
      </c>
    </row>
    <row r="35" spans="1:8">
      <c r="A35" s="501">
        <v>13.2</v>
      </c>
      <c r="B35" s="496" t="s">
        <v>588</v>
      </c>
      <c r="C35" s="504"/>
      <c r="D35" s="504"/>
      <c r="E35" s="505">
        <f t="shared" si="0"/>
        <v>0</v>
      </c>
      <c r="F35" s="504"/>
      <c r="G35" s="504"/>
      <c r="H35" s="506">
        <f t="shared" si="1"/>
        <v>0</v>
      </c>
    </row>
    <row r="36" spans="1:8">
      <c r="A36" s="501">
        <v>14</v>
      </c>
      <c r="B36" s="355" t="s">
        <v>589</v>
      </c>
      <c r="C36" s="504">
        <f>SUM(C7,C11,C13,C14,C15,C19,C22,C23,C24,C27,C30,C33)</f>
        <v>247777568.7243</v>
      </c>
      <c r="D36" s="504">
        <f>SUM(D7,D11,D13,D14,D15,D19,D22,D23,D24,D27,D30,D33)</f>
        <v>286931442.47100002</v>
      </c>
      <c r="E36" s="505">
        <f t="shared" si="0"/>
        <v>534709011.19529998</v>
      </c>
      <c r="F36" s="504">
        <f>SUM(F7,F11,F13,F14,F15,F19,F22,F23,F24,F27,F30,F33)</f>
        <v>221309377.85729998</v>
      </c>
      <c r="G36" s="504">
        <f>SUM(G7,G11,G13,G14,G15,G19,G22,G23,G24,G27,G30,G33)</f>
        <v>297782039.38750005</v>
      </c>
      <c r="H36" s="506">
        <f t="shared" si="1"/>
        <v>519091417.24480003</v>
      </c>
    </row>
    <row r="37" spans="1:8" ht="22.5" customHeight="1">
      <c r="A37" s="501"/>
      <c r="B37" s="353" t="s">
        <v>590</v>
      </c>
      <c r="C37" s="665"/>
      <c r="D37" s="666"/>
      <c r="E37" s="666"/>
      <c r="F37" s="666"/>
      <c r="G37" s="666"/>
      <c r="H37" s="667"/>
    </row>
    <row r="38" spans="1:8">
      <c r="A38" s="501">
        <v>15</v>
      </c>
      <c r="B38" s="374" t="s">
        <v>591</v>
      </c>
      <c r="C38" s="504">
        <f>C39</f>
        <v>825800.46</v>
      </c>
      <c r="D38" s="504"/>
      <c r="E38" s="505">
        <f>C38+D38</f>
        <v>825800.46</v>
      </c>
      <c r="F38" s="504">
        <f>F39</f>
        <v>1520147.05</v>
      </c>
      <c r="G38" s="504"/>
      <c r="H38" s="506">
        <f>F38+G38</f>
        <v>1520147.05</v>
      </c>
    </row>
    <row r="39" spans="1:8">
      <c r="A39" s="501">
        <v>15.1</v>
      </c>
      <c r="B39" s="349" t="s">
        <v>567</v>
      </c>
      <c r="C39" s="504">
        <v>825800.46</v>
      </c>
      <c r="D39" s="504"/>
      <c r="E39" s="505">
        <f t="shared" ref="E39:E53" si="2">C39+D39</f>
        <v>825800.46</v>
      </c>
      <c r="F39" s="504">
        <v>1520147.05</v>
      </c>
      <c r="G39" s="504"/>
      <c r="H39" s="506">
        <f t="shared" ref="H39:H53" si="3">F39+G39</f>
        <v>1520147.05</v>
      </c>
    </row>
    <row r="40" spans="1:8" ht="24" customHeight="1">
      <c r="A40" s="501">
        <v>16</v>
      </c>
      <c r="B40" s="374" t="s">
        <v>592</v>
      </c>
      <c r="C40" s="504"/>
      <c r="D40" s="504"/>
      <c r="E40" s="505">
        <f t="shared" si="2"/>
        <v>0</v>
      </c>
      <c r="F40" s="504"/>
      <c r="G40" s="504"/>
      <c r="H40" s="506">
        <f t="shared" si="3"/>
        <v>0</v>
      </c>
    </row>
    <row r="41" spans="1:8">
      <c r="A41" s="501">
        <v>17</v>
      </c>
      <c r="B41" s="374" t="s">
        <v>593</v>
      </c>
      <c r="C41" s="504">
        <f>SUM(C42:C45)</f>
        <v>134789265.25999999</v>
      </c>
      <c r="D41" s="504">
        <f>SUM(D42:D45)</f>
        <v>247339034.72869995</v>
      </c>
      <c r="E41" s="505">
        <f t="shared" si="2"/>
        <v>382128299.98869991</v>
      </c>
      <c r="F41" s="504">
        <f>SUM(F42:F45)</f>
        <v>120229753.44</v>
      </c>
      <c r="G41" s="504">
        <f>SUM(G42:G45)</f>
        <v>262260270.50799996</v>
      </c>
      <c r="H41" s="506">
        <f t="shared" si="3"/>
        <v>382490023.94799995</v>
      </c>
    </row>
    <row r="42" spans="1:8">
      <c r="A42" s="501">
        <v>17.100000000000001</v>
      </c>
      <c r="B42" s="372" t="s">
        <v>594</v>
      </c>
      <c r="C42" s="504">
        <v>134789265.25999999</v>
      </c>
      <c r="D42" s="504">
        <v>222025042.72599995</v>
      </c>
      <c r="E42" s="505">
        <f t="shared" si="2"/>
        <v>356814307.98599994</v>
      </c>
      <c r="F42" s="504">
        <v>104185685.5</v>
      </c>
      <c r="G42" s="504">
        <v>237128197.68149996</v>
      </c>
      <c r="H42" s="506">
        <f t="shared" si="3"/>
        <v>341313883.18149996</v>
      </c>
    </row>
    <row r="43" spans="1:8">
      <c r="A43" s="501">
        <v>17.2</v>
      </c>
      <c r="B43" s="350" t="s">
        <v>595</v>
      </c>
      <c r="C43" s="504">
        <v>0</v>
      </c>
      <c r="D43" s="504">
        <v>22179086.976</v>
      </c>
      <c r="E43" s="505">
        <f t="shared" si="2"/>
        <v>22179086.976</v>
      </c>
      <c r="F43" s="504">
        <v>16044067.939999999</v>
      </c>
      <c r="G43" s="504">
        <v>21360426.439399999</v>
      </c>
      <c r="H43" s="506">
        <f t="shared" si="3"/>
        <v>37404494.3794</v>
      </c>
    </row>
    <row r="44" spans="1:8">
      <c r="A44" s="501">
        <v>17.3</v>
      </c>
      <c r="B44" s="372" t="s">
        <v>596</v>
      </c>
      <c r="C44" s="504"/>
      <c r="D44" s="504"/>
      <c r="E44" s="505">
        <f t="shared" si="2"/>
        <v>0</v>
      </c>
      <c r="F44" s="504"/>
      <c r="G44" s="504"/>
      <c r="H44" s="506">
        <f t="shared" si="3"/>
        <v>0</v>
      </c>
    </row>
    <row r="45" spans="1:8">
      <c r="A45" s="501">
        <v>17.399999999999999</v>
      </c>
      <c r="B45" s="372" t="s">
        <v>597</v>
      </c>
      <c r="C45" s="504">
        <v>0</v>
      </c>
      <c r="D45" s="504">
        <v>3134905.0266999998</v>
      </c>
      <c r="E45" s="505">
        <f t="shared" si="2"/>
        <v>3134905.0266999998</v>
      </c>
      <c r="F45" s="504">
        <v>0</v>
      </c>
      <c r="G45" s="504">
        <v>3771646.3870999999</v>
      </c>
      <c r="H45" s="506">
        <f t="shared" si="3"/>
        <v>3771646.3870999999</v>
      </c>
    </row>
    <row r="46" spans="1:8">
      <c r="A46" s="501">
        <v>18</v>
      </c>
      <c r="B46" s="355" t="s">
        <v>598</v>
      </c>
      <c r="C46" s="504">
        <v>1015054.3245</v>
      </c>
      <c r="D46" s="504">
        <v>331825.37040000001</v>
      </c>
      <c r="E46" s="505">
        <f t="shared" si="2"/>
        <v>1346879.6949</v>
      </c>
      <c r="F46" s="504">
        <v>576287.83880000003</v>
      </c>
      <c r="G46" s="504">
        <v>52339.611600000004</v>
      </c>
      <c r="H46" s="506">
        <f t="shared" si="3"/>
        <v>628627.45039999997</v>
      </c>
    </row>
    <row r="47" spans="1:8">
      <c r="A47" s="501">
        <v>19</v>
      </c>
      <c r="B47" s="355" t="s">
        <v>599</v>
      </c>
      <c r="C47" s="504">
        <f>SUM(C48:C49)</f>
        <v>0</v>
      </c>
      <c r="D47" s="504">
        <f>SUM(D48:D49)</f>
        <v>0</v>
      </c>
      <c r="E47" s="505">
        <f t="shared" si="2"/>
        <v>0</v>
      </c>
      <c r="F47" s="504">
        <f>SUM(F48:F49)</f>
        <v>0</v>
      </c>
      <c r="G47" s="504">
        <f>SUM(G48:G49)</f>
        <v>0</v>
      </c>
      <c r="H47" s="506">
        <f t="shared" si="3"/>
        <v>0</v>
      </c>
    </row>
    <row r="48" spans="1:8">
      <c r="A48" s="501">
        <v>19.100000000000001</v>
      </c>
      <c r="B48" s="373" t="s">
        <v>600</v>
      </c>
      <c r="C48" s="504"/>
      <c r="D48" s="504"/>
      <c r="E48" s="505">
        <f t="shared" si="2"/>
        <v>0</v>
      </c>
      <c r="F48" s="504"/>
      <c r="G48" s="504"/>
      <c r="H48" s="506">
        <f t="shared" si="3"/>
        <v>0</v>
      </c>
    </row>
    <row r="49" spans="1:8">
      <c r="A49" s="501">
        <v>19.2</v>
      </c>
      <c r="B49" s="373" t="s">
        <v>601</v>
      </c>
      <c r="C49" s="504"/>
      <c r="D49" s="504"/>
      <c r="E49" s="505">
        <f t="shared" si="2"/>
        <v>0</v>
      </c>
      <c r="F49" s="504"/>
      <c r="G49" s="504"/>
      <c r="H49" s="506">
        <f t="shared" si="3"/>
        <v>0</v>
      </c>
    </row>
    <row r="50" spans="1:8">
      <c r="A50" s="501">
        <v>20</v>
      </c>
      <c r="B50" s="351" t="s">
        <v>602</v>
      </c>
      <c r="C50" s="504">
        <v>0</v>
      </c>
      <c r="D50" s="504">
        <v>27716206.595400002</v>
      </c>
      <c r="E50" s="505">
        <f t="shared" si="2"/>
        <v>27716206.595400002</v>
      </c>
      <c r="F50" s="504">
        <v>0</v>
      </c>
      <c r="G50" s="504">
        <v>26559483.879999999</v>
      </c>
      <c r="H50" s="506">
        <f t="shared" si="3"/>
        <v>26559483.879999999</v>
      </c>
    </row>
    <row r="51" spans="1:8">
      <c r="A51" s="501">
        <v>21</v>
      </c>
      <c r="B51" s="374" t="s">
        <v>603</v>
      </c>
      <c r="C51" s="504">
        <v>7086919.4100000001</v>
      </c>
      <c r="D51" s="504">
        <v>3291994.2923999997</v>
      </c>
      <c r="E51" s="505">
        <f t="shared" si="2"/>
        <v>10378913.702399999</v>
      </c>
      <c r="F51" s="504">
        <v>3743009.11</v>
      </c>
      <c r="G51" s="504">
        <v>1166668.5337</v>
      </c>
      <c r="H51" s="506">
        <f t="shared" si="3"/>
        <v>4909677.6436999999</v>
      </c>
    </row>
    <row r="52" spans="1:8">
      <c r="A52" s="501">
        <v>21.1</v>
      </c>
      <c r="B52" s="350" t="s">
        <v>604</v>
      </c>
      <c r="C52" s="504"/>
      <c r="D52" s="504"/>
      <c r="E52" s="505">
        <f t="shared" si="2"/>
        <v>0</v>
      </c>
      <c r="F52" s="504"/>
      <c r="G52" s="504"/>
      <c r="H52" s="506">
        <f t="shared" si="3"/>
        <v>0</v>
      </c>
    </row>
    <row r="53" spans="1:8">
      <c r="A53" s="501">
        <v>22</v>
      </c>
      <c r="B53" s="352" t="s">
        <v>605</v>
      </c>
      <c r="C53" s="504">
        <f>SUM(C38,C40,C41,C46,C47,C50,C51)</f>
        <v>143717039.45449999</v>
      </c>
      <c r="D53" s="504">
        <f>SUM(D38,D40,D41,D46,D47,D50,D51)</f>
        <v>278679060.98689997</v>
      </c>
      <c r="E53" s="505">
        <f t="shared" si="2"/>
        <v>422396100.44139993</v>
      </c>
      <c r="F53" s="504">
        <f>SUM(F38,F40,F41,F46,F47,F50,F51)</f>
        <v>126069197.43879999</v>
      </c>
      <c r="G53" s="504">
        <f>SUM(G38,G40,G41,G46,G47,G50,G51)</f>
        <v>290038762.53329998</v>
      </c>
      <c r="H53" s="506">
        <f t="shared" si="3"/>
        <v>416107959.97209996</v>
      </c>
    </row>
    <row r="54" spans="1:8" ht="24" customHeight="1">
      <c r="A54" s="501"/>
      <c r="B54" s="353" t="s">
        <v>606</v>
      </c>
      <c r="C54" s="665"/>
      <c r="D54" s="666"/>
      <c r="E54" s="666"/>
      <c r="F54" s="666"/>
      <c r="G54" s="666"/>
      <c r="H54" s="667"/>
    </row>
    <row r="55" spans="1:8">
      <c r="A55" s="501">
        <v>23</v>
      </c>
      <c r="B55" s="351" t="s">
        <v>607</v>
      </c>
      <c r="C55" s="504">
        <v>136800000</v>
      </c>
      <c r="D55" s="504"/>
      <c r="E55" s="505">
        <f>C55+D55</f>
        <v>136800000</v>
      </c>
      <c r="F55" s="504">
        <v>129000000</v>
      </c>
      <c r="G55" s="504"/>
      <c r="H55" s="506">
        <f>F55+G55</f>
        <v>129000000</v>
      </c>
    </row>
    <row r="56" spans="1:8">
      <c r="A56" s="501">
        <v>24</v>
      </c>
      <c r="B56" s="351" t="s">
        <v>608</v>
      </c>
      <c r="C56" s="504"/>
      <c r="D56" s="504"/>
      <c r="E56" s="505">
        <f t="shared" ref="E56:E69" si="4">C56+D56</f>
        <v>0</v>
      </c>
      <c r="F56" s="504"/>
      <c r="G56" s="504"/>
      <c r="H56" s="506">
        <f t="shared" ref="H56:H69" si="5">F56+G56</f>
        <v>0</v>
      </c>
    </row>
    <row r="57" spans="1:8">
      <c r="A57" s="501">
        <v>25</v>
      </c>
      <c r="B57" s="355" t="s">
        <v>609</v>
      </c>
      <c r="C57" s="504"/>
      <c r="D57" s="504"/>
      <c r="E57" s="505">
        <f t="shared" si="4"/>
        <v>0</v>
      </c>
      <c r="F57" s="504"/>
      <c r="G57" s="504"/>
      <c r="H57" s="506">
        <f t="shared" si="5"/>
        <v>0</v>
      </c>
    </row>
    <row r="58" spans="1:8">
      <c r="A58" s="501">
        <v>26</v>
      </c>
      <c r="B58" s="355" t="s">
        <v>610</v>
      </c>
      <c r="C58" s="504"/>
      <c r="D58" s="504"/>
      <c r="E58" s="505">
        <f t="shared" si="4"/>
        <v>0</v>
      </c>
      <c r="F58" s="504"/>
      <c r="G58" s="504"/>
      <c r="H58" s="506">
        <f t="shared" si="5"/>
        <v>0</v>
      </c>
    </row>
    <row r="59" spans="1:8">
      <c r="A59" s="501">
        <v>27</v>
      </c>
      <c r="B59" s="355" t="s">
        <v>611</v>
      </c>
      <c r="C59" s="504">
        <f>SUM(C60:C61)</f>
        <v>1154910.5</v>
      </c>
      <c r="D59" s="504">
        <f>SUM(D60:D61)</f>
        <v>0</v>
      </c>
      <c r="E59" s="505">
        <f t="shared" si="4"/>
        <v>1154910.5</v>
      </c>
      <c r="F59" s="504">
        <f>F60</f>
        <v>1154910.5</v>
      </c>
      <c r="G59" s="504"/>
      <c r="H59" s="506">
        <f t="shared" si="5"/>
        <v>1154910.5</v>
      </c>
    </row>
    <row r="60" spans="1:8">
      <c r="A60" s="501">
        <v>27.1</v>
      </c>
      <c r="B60" s="372" t="s">
        <v>612</v>
      </c>
      <c r="C60" s="504">
        <v>1154910.5</v>
      </c>
      <c r="D60" s="504"/>
      <c r="E60" s="505">
        <f t="shared" si="4"/>
        <v>1154910.5</v>
      </c>
      <c r="F60" s="504">
        <v>1154910.5</v>
      </c>
      <c r="G60" s="504"/>
      <c r="H60" s="506">
        <f t="shared" si="5"/>
        <v>1154910.5</v>
      </c>
    </row>
    <row r="61" spans="1:8">
      <c r="A61" s="501">
        <v>27.2</v>
      </c>
      <c r="B61" s="372" t="s">
        <v>613</v>
      </c>
      <c r="C61" s="504"/>
      <c r="D61" s="504"/>
      <c r="E61" s="505">
        <f t="shared" si="4"/>
        <v>0</v>
      </c>
      <c r="F61" s="504"/>
      <c r="G61" s="504"/>
      <c r="H61" s="506">
        <f t="shared" si="5"/>
        <v>0</v>
      </c>
    </row>
    <row r="62" spans="1:8">
      <c r="A62" s="501">
        <v>28</v>
      </c>
      <c r="B62" s="354" t="s">
        <v>614</v>
      </c>
      <c r="C62" s="504"/>
      <c r="D62" s="504"/>
      <c r="E62" s="505">
        <f t="shared" si="4"/>
        <v>0</v>
      </c>
      <c r="F62" s="504"/>
      <c r="G62" s="504"/>
      <c r="H62" s="506">
        <f t="shared" si="5"/>
        <v>0</v>
      </c>
    </row>
    <row r="63" spans="1:8">
      <c r="A63" s="501">
        <v>29</v>
      </c>
      <c r="B63" s="355" t="s">
        <v>615</v>
      </c>
      <c r="C63" s="504">
        <f>SUM(C64:C66)</f>
        <v>0</v>
      </c>
      <c r="D63" s="504">
        <f>SUM(D64:D66)</f>
        <v>0</v>
      </c>
      <c r="E63" s="505">
        <f t="shared" si="4"/>
        <v>0</v>
      </c>
      <c r="F63" s="504"/>
      <c r="G63" s="504"/>
      <c r="H63" s="506">
        <f t="shared" si="5"/>
        <v>0</v>
      </c>
    </row>
    <row r="64" spans="1:8">
      <c r="A64" s="501">
        <v>29.1</v>
      </c>
      <c r="B64" s="375" t="s">
        <v>616</v>
      </c>
      <c r="C64" s="504"/>
      <c r="D64" s="504"/>
      <c r="E64" s="505">
        <f t="shared" si="4"/>
        <v>0</v>
      </c>
      <c r="F64" s="504"/>
      <c r="G64" s="504"/>
      <c r="H64" s="506">
        <f t="shared" si="5"/>
        <v>0</v>
      </c>
    </row>
    <row r="65" spans="1:8" ht="25.05" customHeight="1">
      <c r="A65" s="501">
        <v>29.2</v>
      </c>
      <c r="B65" s="373" t="s">
        <v>617</v>
      </c>
      <c r="C65" s="504"/>
      <c r="D65" s="504"/>
      <c r="E65" s="505">
        <f t="shared" si="4"/>
        <v>0</v>
      </c>
      <c r="F65" s="504"/>
      <c r="G65" s="504"/>
      <c r="H65" s="506">
        <f t="shared" si="5"/>
        <v>0</v>
      </c>
    </row>
    <row r="66" spans="1:8" ht="22.5" customHeight="1">
      <c r="A66" s="501">
        <v>29.3</v>
      </c>
      <c r="B66" s="373" t="s">
        <v>618</v>
      </c>
      <c r="C66" s="504"/>
      <c r="D66" s="504"/>
      <c r="E66" s="505">
        <f t="shared" si="4"/>
        <v>0</v>
      </c>
      <c r="F66" s="504"/>
      <c r="G66" s="504"/>
      <c r="H66" s="506">
        <f t="shared" si="5"/>
        <v>0</v>
      </c>
    </row>
    <row r="67" spans="1:8">
      <c r="A67" s="501">
        <v>30</v>
      </c>
      <c r="B67" s="355" t="s">
        <v>619</v>
      </c>
      <c r="C67" s="504">
        <f>-25642001.25+1.5</f>
        <v>-25641999.75</v>
      </c>
      <c r="D67" s="504"/>
      <c r="E67" s="505">
        <f t="shared" si="4"/>
        <v>-25641999.75</v>
      </c>
      <c r="F67" s="504">
        <v>-27171453.232103299</v>
      </c>
      <c r="G67" s="504"/>
      <c r="H67" s="506">
        <f t="shared" si="5"/>
        <v>-27171453.232103299</v>
      </c>
    </row>
    <row r="68" spans="1:8">
      <c r="A68" s="501">
        <v>31</v>
      </c>
      <c r="B68" s="376" t="s">
        <v>620</v>
      </c>
      <c r="C68" s="504">
        <f>SUM(C55,C56,C57,C58,C59,C62,C63,C67)</f>
        <v>112312910.75</v>
      </c>
      <c r="D68" s="504">
        <f>SUM(D55,D56,D57,D58,D59,D62,D63,D67)</f>
        <v>0</v>
      </c>
      <c r="E68" s="505">
        <f t="shared" si="4"/>
        <v>112312910.75</v>
      </c>
      <c r="F68" s="504">
        <f>SUM(F55,F56,F57,F58,F59,F62,F63,F67)</f>
        <v>102983457.2678967</v>
      </c>
      <c r="G68" s="504">
        <f>SUM(G55,G56,G57,G58,G59,G62,G63,G67)</f>
        <v>0</v>
      </c>
      <c r="H68" s="506">
        <f t="shared" si="5"/>
        <v>102983457.2678967</v>
      </c>
    </row>
    <row r="69" spans="1:8" ht="15" thickBot="1">
      <c r="A69" s="502">
        <v>32</v>
      </c>
      <c r="B69" s="503" t="s">
        <v>621</v>
      </c>
      <c r="C69" s="510">
        <f>SUM(C53,C68)</f>
        <v>256029950.20449999</v>
      </c>
      <c r="D69" s="510">
        <f>SUM(D53,D68)</f>
        <v>278679060.98689997</v>
      </c>
      <c r="E69" s="511">
        <f t="shared" si="4"/>
        <v>534709011.19139993</v>
      </c>
      <c r="F69" s="510">
        <f>SUM(F53,F68)</f>
        <v>229052654.70669669</v>
      </c>
      <c r="G69" s="510">
        <f>SUM(G53,G68)</f>
        <v>290038762.53329998</v>
      </c>
      <c r="H69" s="512">
        <f t="shared" si="5"/>
        <v>519091417.23999667</v>
      </c>
    </row>
  </sheetData>
  <mergeCells count="7">
    <mergeCell ref="C54:H54"/>
    <mergeCell ref="A4:A6"/>
    <mergeCell ref="B4:B5"/>
    <mergeCell ref="C4:E4"/>
    <mergeCell ref="F4:H4"/>
    <mergeCell ref="C6:H6"/>
    <mergeCell ref="C37:H37"/>
  </mergeCells>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zoomScale="80" zoomScaleNormal="80" workbookViewId="0"/>
  </sheetViews>
  <sheetFormatPr defaultRowHeight="14.4"/>
  <cols>
    <col min="2" max="2" width="66.6640625" customWidth="1"/>
    <col min="3" max="8" width="17.77734375" customWidth="1"/>
  </cols>
  <sheetData>
    <row r="1" spans="1:8" s="5" customFormat="1" ht="13.8">
      <c r="A1" s="2" t="s">
        <v>31</v>
      </c>
      <c r="B1" s="3" t="str">
        <f>'Info '!C2</f>
        <v>JSC PASHA Bank Georgia</v>
      </c>
      <c r="C1" s="3"/>
      <c r="D1" s="4"/>
      <c r="E1" s="4"/>
      <c r="F1" s="4"/>
      <c r="G1" s="4"/>
    </row>
    <row r="2" spans="1:8" s="5" customFormat="1" ht="13.8">
      <c r="A2" s="2" t="s">
        <v>32</v>
      </c>
      <c r="B2" s="309">
        <f>'1. key ratios '!B2</f>
        <v>45291</v>
      </c>
      <c r="C2" s="3"/>
      <c r="D2" s="4"/>
      <c r="E2" s="4"/>
      <c r="F2" s="4"/>
      <c r="G2" s="4"/>
    </row>
    <row r="3" spans="1:8" ht="15" thickBot="1"/>
    <row r="4" spans="1:8">
      <c r="A4" s="676" t="s">
        <v>7</v>
      </c>
      <c r="B4" s="678" t="s">
        <v>622</v>
      </c>
      <c r="C4" s="672" t="s">
        <v>559</v>
      </c>
      <c r="D4" s="672"/>
      <c r="E4" s="672"/>
      <c r="F4" s="672" t="s">
        <v>560</v>
      </c>
      <c r="G4" s="672"/>
      <c r="H4" s="673"/>
    </row>
    <row r="5" spans="1:8" ht="15.45" customHeight="1">
      <c r="A5" s="677"/>
      <c r="B5" s="679"/>
      <c r="C5" s="358" t="s">
        <v>33</v>
      </c>
      <c r="D5" s="358" t="s">
        <v>34</v>
      </c>
      <c r="E5" s="358" t="s">
        <v>35</v>
      </c>
      <c r="F5" s="358" t="s">
        <v>33</v>
      </c>
      <c r="G5" s="358" t="s">
        <v>34</v>
      </c>
      <c r="H5" s="500" t="s">
        <v>35</v>
      </c>
    </row>
    <row r="6" spans="1:8">
      <c r="A6" s="499">
        <v>1</v>
      </c>
      <c r="B6" s="513" t="s">
        <v>623</v>
      </c>
      <c r="C6" s="504">
        <f>SUM(C7:C12)</f>
        <v>34217603.539999999</v>
      </c>
      <c r="D6" s="504">
        <f>SUM(D7:D12)</f>
        <v>19080264.199999999</v>
      </c>
      <c r="E6" s="505">
        <f>C6+D6</f>
        <v>53297867.739999995</v>
      </c>
      <c r="F6" s="504">
        <f>SUM(F7:F12)</f>
        <v>25609320.66871208</v>
      </c>
      <c r="G6" s="504">
        <f>SUM(G7:G12)</f>
        <v>17763341.820563558</v>
      </c>
      <c r="H6" s="506">
        <f>F6+G6</f>
        <v>43372662.489275634</v>
      </c>
    </row>
    <row r="7" spans="1:8">
      <c r="A7" s="499">
        <v>1.1000000000000001</v>
      </c>
      <c r="B7" s="373" t="s">
        <v>566</v>
      </c>
      <c r="C7" s="504"/>
      <c r="D7" s="504"/>
      <c r="E7" s="505">
        <f t="shared" ref="E7:E45" si="0">C7+D7</f>
        <v>0</v>
      </c>
      <c r="F7" s="504"/>
      <c r="G7" s="504"/>
      <c r="H7" s="506">
        <f t="shared" ref="H7:H45" si="1">F7+G7</f>
        <v>0</v>
      </c>
    </row>
    <row r="8" spans="1:8">
      <c r="A8" s="499">
        <v>1.2</v>
      </c>
      <c r="B8" s="373" t="s">
        <v>568</v>
      </c>
      <c r="C8" s="504"/>
      <c r="D8" s="504"/>
      <c r="E8" s="505">
        <f t="shared" si="0"/>
        <v>0</v>
      </c>
      <c r="F8" s="504"/>
      <c r="G8" s="504"/>
      <c r="H8" s="506">
        <f t="shared" si="1"/>
        <v>0</v>
      </c>
    </row>
    <row r="9" spans="1:8" ht="21.45" customHeight="1">
      <c r="A9" s="499">
        <v>1.3</v>
      </c>
      <c r="B9" s="373" t="s">
        <v>624</v>
      </c>
      <c r="C9" s="504"/>
      <c r="D9" s="504"/>
      <c r="E9" s="505">
        <f t="shared" si="0"/>
        <v>0</v>
      </c>
      <c r="F9" s="504"/>
      <c r="G9" s="504"/>
      <c r="H9" s="506">
        <f t="shared" si="1"/>
        <v>0</v>
      </c>
    </row>
    <row r="10" spans="1:8">
      <c r="A10" s="499">
        <v>1.4</v>
      </c>
      <c r="B10" s="373" t="s">
        <v>570</v>
      </c>
      <c r="C10" s="504"/>
      <c r="D10" s="504"/>
      <c r="E10" s="505">
        <f t="shared" si="0"/>
        <v>0</v>
      </c>
      <c r="F10" s="504"/>
      <c r="G10" s="504"/>
      <c r="H10" s="506">
        <f t="shared" si="1"/>
        <v>0</v>
      </c>
    </row>
    <row r="11" spans="1:8">
      <c r="A11" s="499">
        <v>1.5</v>
      </c>
      <c r="B11" s="373" t="s">
        <v>574</v>
      </c>
      <c r="C11" s="504">
        <v>34217603.539999999</v>
      </c>
      <c r="D11" s="504">
        <v>19080264.199999999</v>
      </c>
      <c r="E11" s="505">
        <f t="shared" si="0"/>
        <v>53297867.739999995</v>
      </c>
      <c r="F11" s="504">
        <v>25609320.66871208</v>
      </c>
      <c r="G11" s="504">
        <v>17763341.820563558</v>
      </c>
      <c r="H11" s="506">
        <f t="shared" si="1"/>
        <v>43372662.489275634</v>
      </c>
    </row>
    <row r="12" spans="1:8">
      <c r="A12" s="499">
        <v>1.6</v>
      </c>
      <c r="B12" s="373" t="s">
        <v>456</v>
      </c>
      <c r="C12" s="504"/>
      <c r="D12" s="504"/>
      <c r="E12" s="505">
        <f t="shared" si="0"/>
        <v>0</v>
      </c>
      <c r="F12" s="504"/>
      <c r="G12" s="504"/>
      <c r="H12" s="506">
        <f t="shared" si="1"/>
        <v>0</v>
      </c>
    </row>
    <row r="13" spans="1:8">
      <c r="A13" s="499">
        <v>2</v>
      </c>
      <c r="B13" s="513" t="s">
        <v>625</v>
      </c>
      <c r="C13" s="504">
        <f>SUM(C14:C17)</f>
        <v>-10931609.960000001</v>
      </c>
      <c r="D13" s="504">
        <f>SUM(D14:D17)</f>
        <v>-8154529.3719000006</v>
      </c>
      <c r="E13" s="505">
        <f t="shared" si="0"/>
        <v>-19086139.331900001</v>
      </c>
      <c r="F13" s="504">
        <f>SUM(F14:F17)</f>
        <v>-8072404.4700000007</v>
      </c>
      <c r="G13" s="504">
        <f>SUM(G14:G17)</f>
        <v>-8875329.5999999996</v>
      </c>
      <c r="H13" s="506">
        <f t="shared" si="1"/>
        <v>-16947734.07</v>
      </c>
    </row>
    <row r="14" spans="1:8">
      <c r="A14" s="499">
        <v>2.1</v>
      </c>
      <c r="B14" s="373" t="s">
        <v>626</v>
      </c>
      <c r="C14" s="504"/>
      <c r="D14" s="504"/>
      <c r="E14" s="505">
        <f t="shared" si="0"/>
        <v>0</v>
      </c>
      <c r="F14" s="504"/>
      <c r="G14" s="504"/>
      <c r="H14" s="506">
        <f t="shared" si="1"/>
        <v>0</v>
      </c>
    </row>
    <row r="15" spans="1:8" ht="24.45" customHeight="1">
      <c r="A15" s="499">
        <v>2.2000000000000002</v>
      </c>
      <c r="B15" s="373" t="s">
        <v>627</v>
      </c>
      <c r="C15" s="504"/>
      <c r="D15" s="504"/>
      <c r="E15" s="505">
        <f t="shared" si="0"/>
        <v>0</v>
      </c>
      <c r="F15" s="504"/>
      <c r="G15" s="504"/>
      <c r="H15" s="506">
        <f t="shared" si="1"/>
        <v>0</v>
      </c>
    </row>
    <row r="16" spans="1:8" ht="20.55" customHeight="1">
      <c r="A16" s="499">
        <v>2.2999999999999998</v>
      </c>
      <c r="B16" s="373" t="s">
        <v>628</v>
      </c>
      <c r="C16" s="504">
        <v>-10931609.960000001</v>
      </c>
      <c r="D16" s="504">
        <v>-8154529.3719000006</v>
      </c>
      <c r="E16" s="505">
        <f t="shared" si="0"/>
        <v>-19086139.331900001</v>
      </c>
      <c r="F16" s="504">
        <v>-8072404.4700000007</v>
      </c>
      <c r="G16" s="504">
        <v>-8875329.5999999996</v>
      </c>
      <c r="H16" s="506">
        <f t="shared" si="1"/>
        <v>-16947734.07</v>
      </c>
    </row>
    <row r="17" spans="1:8">
      <c r="A17" s="499">
        <v>2.4</v>
      </c>
      <c r="B17" s="373" t="s">
        <v>629</v>
      </c>
      <c r="C17" s="504"/>
      <c r="D17" s="504"/>
      <c r="E17" s="505">
        <f t="shared" si="0"/>
        <v>0</v>
      </c>
      <c r="F17" s="504"/>
      <c r="G17" s="504"/>
      <c r="H17" s="506">
        <f t="shared" si="1"/>
        <v>0</v>
      </c>
    </row>
    <row r="18" spans="1:8">
      <c r="A18" s="499">
        <v>3</v>
      </c>
      <c r="B18" s="513" t="s">
        <v>630</v>
      </c>
      <c r="C18" s="504"/>
      <c r="D18" s="504"/>
      <c r="E18" s="505">
        <f t="shared" si="0"/>
        <v>0</v>
      </c>
      <c r="F18" s="504"/>
      <c r="G18" s="504"/>
      <c r="H18" s="506">
        <f t="shared" si="1"/>
        <v>0</v>
      </c>
    </row>
    <row r="19" spans="1:8">
      <c r="A19" s="499">
        <v>4</v>
      </c>
      <c r="B19" s="513" t="s">
        <v>631</v>
      </c>
      <c r="C19" s="504">
        <v>3183420.56</v>
      </c>
      <c r="D19" s="504">
        <v>1690358.2173000001</v>
      </c>
      <c r="E19" s="505">
        <f t="shared" si="0"/>
        <v>4873778.7773000002</v>
      </c>
      <c r="F19" s="504">
        <v>890922.32999999938</v>
      </c>
      <c r="G19" s="504">
        <v>1126652.7025479998</v>
      </c>
      <c r="H19" s="506">
        <f t="shared" si="1"/>
        <v>2017575.0325479992</v>
      </c>
    </row>
    <row r="20" spans="1:8">
      <c r="A20" s="499">
        <v>5</v>
      </c>
      <c r="B20" s="513" t="s">
        <v>632</v>
      </c>
      <c r="C20" s="504">
        <v>-946023.28999999992</v>
      </c>
      <c r="D20" s="504">
        <v>-1619805.5099999998</v>
      </c>
      <c r="E20" s="505">
        <f t="shared" si="0"/>
        <v>-2565828.7999999998</v>
      </c>
      <c r="F20" s="504">
        <v>-74993.38</v>
      </c>
      <c r="G20" s="504">
        <v>-1367509.1400000001</v>
      </c>
      <c r="H20" s="506">
        <f t="shared" si="1"/>
        <v>-1442502.52</v>
      </c>
    </row>
    <row r="21" spans="1:8" ht="24" customHeight="1">
      <c r="A21" s="499">
        <v>6</v>
      </c>
      <c r="B21" s="513" t="s">
        <v>633</v>
      </c>
      <c r="C21" s="504"/>
      <c r="D21" s="504"/>
      <c r="E21" s="505">
        <f t="shared" si="0"/>
        <v>0</v>
      </c>
      <c r="F21" s="504"/>
      <c r="G21" s="504"/>
      <c r="H21" s="506">
        <f t="shared" si="1"/>
        <v>0</v>
      </c>
    </row>
    <row r="22" spans="1:8" ht="18.45" customHeight="1">
      <c r="A22" s="499">
        <v>7</v>
      </c>
      <c r="B22" s="513" t="s">
        <v>634</v>
      </c>
      <c r="C22" s="504"/>
      <c r="D22" s="504"/>
      <c r="E22" s="505">
        <f t="shared" si="0"/>
        <v>0</v>
      </c>
      <c r="F22" s="504"/>
      <c r="G22" s="504"/>
      <c r="H22" s="506">
        <f t="shared" si="1"/>
        <v>0</v>
      </c>
    </row>
    <row r="23" spans="1:8" ht="25.5" customHeight="1">
      <c r="A23" s="499">
        <v>8</v>
      </c>
      <c r="B23" s="514" t="s">
        <v>635</v>
      </c>
      <c r="C23" s="504"/>
      <c r="D23" s="504"/>
      <c r="E23" s="505">
        <f t="shared" si="0"/>
        <v>0</v>
      </c>
      <c r="F23" s="504"/>
      <c r="G23" s="504"/>
      <c r="H23" s="506">
        <f t="shared" si="1"/>
        <v>0</v>
      </c>
    </row>
    <row r="24" spans="1:8" ht="34.5" customHeight="1">
      <c r="A24" s="499">
        <v>9</v>
      </c>
      <c r="B24" s="514" t="s">
        <v>636</v>
      </c>
      <c r="C24" s="504"/>
      <c r="D24" s="504"/>
      <c r="E24" s="505">
        <f t="shared" si="0"/>
        <v>0</v>
      </c>
      <c r="F24" s="504"/>
      <c r="G24" s="504"/>
      <c r="H24" s="506">
        <f t="shared" si="1"/>
        <v>0</v>
      </c>
    </row>
    <row r="25" spans="1:8">
      <c r="A25" s="499">
        <v>10</v>
      </c>
      <c r="B25" s="513" t="s">
        <v>637</v>
      </c>
      <c r="C25" s="504">
        <v>9443175.480000006</v>
      </c>
      <c r="D25" s="504">
        <v>0</v>
      </c>
      <c r="E25" s="505">
        <f t="shared" si="0"/>
        <v>9443175.480000006</v>
      </c>
      <c r="F25" s="504">
        <v>10517299.869999997</v>
      </c>
      <c r="G25" s="504">
        <v>-580694.32999999449</v>
      </c>
      <c r="H25" s="506">
        <f t="shared" si="1"/>
        <v>9936605.5400000028</v>
      </c>
    </row>
    <row r="26" spans="1:8">
      <c r="A26" s="499">
        <v>11</v>
      </c>
      <c r="B26" s="515" t="s">
        <v>638</v>
      </c>
      <c r="C26" s="504"/>
      <c r="D26" s="504"/>
      <c r="E26" s="505">
        <f t="shared" si="0"/>
        <v>0</v>
      </c>
      <c r="F26" s="504"/>
      <c r="G26" s="504"/>
      <c r="H26" s="506">
        <f t="shared" si="1"/>
        <v>0</v>
      </c>
    </row>
    <row r="27" spans="1:8">
      <c r="A27" s="499">
        <v>12</v>
      </c>
      <c r="B27" s="513" t="s">
        <v>639</v>
      </c>
      <c r="C27" s="504">
        <v>95844.89</v>
      </c>
      <c r="D27" s="504"/>
      <c r="E27" s="505">
        <f t="shared" si="0"/>
        <v>95844.89</v>
      </c>
      <c r="F27" s="504">
        <v>-58616.750000000007</v>
      </c>
      <c r="G27" s="504"/>
      <c r="H27" s="506">
        <f t="shared" si="1"/>
        <v>-58616.750000000007</v>
      </c>
    </row>
    <row r="28" spans="1:8">
      <c r="A28" s="499">
        <v>13</v>
      </c>
      <c r="B28" s="513" t="s">
        <v>640</v>
      </c>
      <c r="C28" s="504">
        <v>-6122952.9000000004</v>
      </c>
      <c r="D28" s="504">
        <v>53813.1</v>
      </c>
      <c r="E28" s="505">
        <f t="shared" si="0"/>
        <v>-6069139.8000000007</v>
      </c>
      <c r="F28" s="504">
        <v>-4642433.72</v>
      </c>
      <c r="G28" s="504">
        <v>-18632.859999999997</v>
      </c>
      <c r="H28" s="506">
        <f t="shared" si="1"/>
        <v>-4661066.58</v>
      </c>
    </row>
    <row r="29" spans="1:8">
      <c r="A29" s="499">
        <v>14</v>
      </c>
      <c r="B29" s="513" t="s">
        <v>641</v>
      </c>
      <c r="C29" s="504">
        <f>SUM(C30:C31)</f>
        <v>-27895166.300000001</v>
      </c>
      <c r="D29" s="504">
        <f>SUM(D30:D31)</f>
        <v>0</v>
      </c>
      <c r="E29" s="505">
        <f t="shared" si="0"/>
        <v>-27895166.300000001</v>
      </c>
      <c r="F29" s="504">
        <f>SUM(F30:F31)</f>
        <v>-23751705.300000004</v>
      </c>
      <c r="G29" s="504">
        <f>SUM(G30:G31)</f>
        <v>0</v>
      </c>
      <c r="H29" s="506">
        <f t="shared" si="1"/>
        <v>-23751705.300000004</v>
      </c>
    </row>
    <row r="30" spans="1:8">
      <c r="A30" s="499">
        <v>14.1</v>
      </c>
      <c r="B30" s="495" t="s">
        <v>642</v>
      </c>
      <c r="C30" s="504">
        <v>-23832768.289999999</v>
      </c>
      <c r="D30" s="504"/>
      <c r="E30" s="505">
        <f t="shared" si="0"/>
        <v>-23832768.289999999</v>
      </c>
      <c r="F30" s="504">
        <v>-18926877.020000003</v>
      </c>
      <c r="G30" s="504"/>
      <c r="H30" s="506">
        <f t="shared" si="1"/>
        <v>-18926877.020000003</v>
      </c>
    </row>
    <row r="31" spans="1:8">
      <c r="A31" s="499">
        <v>14.2</v>
      </c>
      <c r="B31" s="495" t="s">
        <v>643</v>
      </c>
      <c r="C31" s="504">
        <v>-4062398.0100000002</v>
      </c>
      <c r="D31" s="504"/>
      <c r="E31" s="505">
        <f t="shared" si="0"/>
        <v>-4062398.0100000002</v>
      </c>
      <c r="F31" s="504">
        <v>-4824828.28</v>
      </c>
      <c r="G31" s="504"/>
      <c r="H31" s="506">
        <f t="shared" si="1"/>
        <v>-4824828.28</v>
      </c>
    </row>
    <row r="32" spans="1:8">
      <c r="A32" s="499">
        <v>15</v>
      </c>
      <c r="B32" s="513" t="s">
        <v>644</v>
      </c>
      <c r="C32" s="504">
        <v>-4941240.2700000005</v>
      </c>
      <c r="D32" s="504"/>
      <c r="E32" s="505">
        <f t="shared" si="0"/>
        <v>-4941240.2700000005</v>
      </c>
      <c r="F32" s="504">
        <v>-5544417.7799999993</v>
      </c>
      <c r="G32" s="504"/>
      <c r="H32" s="506">
        <f t="shared" si="1"/>
        <v>-5544417.7799999993</v>
      </c>
    </row>
    <row r="33" spans="1:8" ht="22.5" customHeight="1">
      <c r="A33" s="499">
        <v>16</v>
      </c>
      <c r="B33" s="355" t="s">
        <v>645</v>
      </c>
      <c r="C33" s="504"/>
      <c r="D33" s="504"/>
      <c r="E33" s="505">
        <f t="shared" si="0"/>
        <v>0</v>
      </c>
      <c r="F33" s="504"/>
      <c r="G33" s="504"/>
      <c r="H33" s="506">
        <f t="shared" si="1"/>
        <v>0</v>
      </c>
    </row>
    <row r="34" spans="1:8">
      <c r="A34" s="499">
        <v>17</v>
      </c>
      <c r="B34" s="513" t="s">
        <v>646</v>
      </c>
      <c r="C34" s="504">
        <f>SUM(C35:C36)</f>
        <v>-5625030.3873703415</v>
      </c>
      <c r="D34" s="504">
        <f>SUM(D35:D36)</f>
        <v>170713.26747052791</v>
      </c>
      <c r="E34" s="505">
        <f t="shared" si="0"/>
        <v>-5454317.1198998131</v>
      </c>
      <c r="F34" s="504">
        <f>SUM(F35:F36)</f>
        <v>-7320649.970603223</v>
      </c>
      <c r="G34" s="504">
        <f>SUM(G35:G36)</f>
        <v>2306503.9201939432</v>
      </c>
      <c r="H34" s="506">
        <f t="shared" si="1"/>
        <v>-5014146.0504092798</v>
      </c>
    </row>
    <row r="35" spans="1:8">
      <c r="A35" s="499">
        <v>17.100000000000001</v>
      </c>
      <c r="B35" s="495" t="s">
        <v>647</v>
      </c>
      <c r="C35" s="504">
        <v>-360404.76688747195</v>
      </c>
      <c r="D35" s="504">
        <v>-279486.01413908001</v>
      </c>
      <c r="E35" s="505">
        <f t="shared" si="0"/>
        <v>-639890.78102655197</v>
      </c>
      <c r="F35" s="504">
        <v>-121275.08410000007</v>
      </c>
      <c r="G35" s="504">
        <v>179215.82295927999</v>
      </c>
      <c r="H35" s="506">
        <f t="shared" si="1"/>
        <v>57940.738859279925</v>
      </c>
    </row>
    <row r="36" spans="1:8">
      <c r="A36" s="499">
        <v>17.2</v>
      </c>
      <c r="B36" s="495" t="s">
        <v>648</v>
      </c>
      <c r="C36" s="504">
        <v>-5264625.6204828694</v>
      </c>
      <c r="D36" s="504">
        <v>450199.28160960792</v>
      </c>
      <c r="E36" s="505">
        <f t="shared" si="0"/>
        <v>-4814426.3388732616</v>
      </c>
      <c r="F36" s="504">
        <v>-7199374.8865032233</v>
      </c>
      <c r="G36" s="504">
        <v>2127288.0972346631</v>
      </c>
      <c r="H36" s="506">
        <f t="shared" si="1"/>
        <v>-5072086.7892685607</v>
      </c>
    </row>
    <row r="37" spans="1:8" ht="41.55" customHeight="1">
      <c r="A37" s="499">
        <v>18</v>
      </c>
      <c r="B37" s="516" t="s">
        <v>649</v>
      </c>
      <c r="C37" s="504">
        <f>SUM(C38:C39)</f>
        <v>0</v>
      </c>
      <c r="D37" s="504">
        <f>SUM(D38:D39)</f>
        <v>0</v>
      </c>
      <c r="E37" s="505">
        <f t="shared" si="0"/>
        <v>0</v>
      </c>
      <c r="F37" s="504">
        <f>SUM(F38:F39)</f>
        <v>0</v>
      </c>
      <c r="G37" s="504">
        <f>SUM(G38:G39)</f>
        <v>0</v>
      </c>
      <c r="H37" s="506">
        <f t="shared" si="1"/>
        <v>0</v>
      </c>
    </row>
    <row r="38" spans="1:8">
      <c r="A38" s="499">
        <v>18.100000000000001</v>
      </c>
      <c r="B38" s="517" t="s">
        <v>650</v>
      </c>
      <c r="C38" s="504"/>
      <c r="D38" s="504"/>
      <c r="E38" s="505">
        <f t="shared" si="0"/>
        <v>0</v>
      </c>
      <c r="F38" s="504"/>
      <c r="G38" s="504"/>
      <c r="H38" s="506">
        <f t="shared" si="1"/>
        <v>0</v>
      </c>
    </row>
    <row r="39" spans="1:8">
      <c r="A39" s="499">
        <v>18.2</v>
      </c>
      <c r="B39" s="517" t="s">
        <v>651</v>
      </c>
      <c r="C39" s="504"/>
      <c r="D39" s="504"/>
      <c r="E39" s="505">
        <f t="shared" si="0"/>
        <v>0</v>
      </c>
      <c r="F39" s="504"/>
      <c r="G39" s="504"/>
      <c r="H39" s="506">
        <f t="shared" si="1"/>
        <v>0</v>
      </c>
    </row>
    <row r="40" spans="1:8" ht="24.45" customHeight="1">
      <c r="A40" s="499">
        <v>19</v>
      </c>
      <c r="B40" s="516" t="s">
        <v>652</v>
      </c>
      <c r="C40" s="504"/>
      <c r="D40" s="504"/>
      <c r="E40" s="505">
        <f t="shared" si="0"/>
        <v>0</v>
      </c>
      <c r="F40" s="504"/>
      <c r="G40" s="504"/>
      <c r="H40" s="506">
        <f t="shared" si="1"/>
        <v>0</v>
      </c>
    </row>
    <row r="41" spans="1:8" ht="17.55" customHeight="1">
      <c r="A41" s="499">
        <v>20</v>
      </c>
      <c r="B41" s="516" t="s">
        <v>653</v>
      </c>
      <c r="C41" s="504"/>
      <c r="D41" s="504"/>
      <c r="E41" s="505">
        <f t="shared" si="0"/>
        <v>0</v>
      </c>
      <c r="F41" s="504"/>
      <c r="G41" s="504"/>
      <c r="H41" s="506">
        <f t="shared" si="1"/>
        <v>0</v>
      </c>
    </row>
    <row r="42" spans="1:8" ht="26.55" customHeight="1">
      <c r="A42" s="499">
        <v>21</v>
      </c>
      <c r="B42" s="516" t="s">
        <v>654</v>
      </c>
      <c r="C42" s="504"/>
      <c r="D42" s="504"/>
      <c r="E42" s="505">
        <f t="shared" si="0"/>
        <v>0</v>
      </c>
      <c r="F42" s="504"/>
      <c r="G42" s="504"/>
      <c r="H42" s="506">
        <f t="shared" si="1"/>
        <v>0</v>
      </c>
    </row>
    <row r="43" spans="1:8">
      <c r="A43" s="499">
        <v>22</v>
      </c>
      <c r="B43" s="352" t="s">
        <v>655</v>
      </c>
      <c r="C43" s="504">
        <f>SUM(C6,C13,C18,C19,C20,C21,C22,C23,C24,C25,C26,C27,C28,C29,C32,C33,C34,C37,C40,C41,C42)</f>
        <v>-9521978.6373703349</v>
      </c>
      <c r="D43" s="504">
        <f>SUM(D6,D13,D18,D19,D20,D21,D22,D23,D24,D25,D26,D27,D28,D29,D32,D33,D34,D37,D40,D41,D42)</f>
        <v>11220813.902870527</v>
      </c>
      <c r="E43" s="505">
        <f t="shared" si="0"/>
        <v>1698835.2655001916</v>
      </c>
      <c r="F43" s="504">
        <f>SUM(F6,F13,F18,F19,F20,F21,F22,F23,F24,F25,F26,F27,F28,F29,F32,F33,F34,F37,F40,F41,F42)</f>
        <v>-12447678.501891147</v>
      </c>
      <c r="G43" s="504">
        <f>SUM(G6,G13,G18,G19,G20,G21,G22,G23,G24,G25,G26,G27,G28,G29,G32,G33,G34,G37,G40,G41,G42)</f>
        <v>10354332.513305506</v>
      </c>
      <c r="H43" s="506">
        <f t="shared" si="1"/>
        <v>-2093345.9885856416</v>
      </c>
    </row>
    <row r="44" spans="1:8">
      <c r="A44" s="499">
        <v>23</v>
      </c>
      <c r="B44" s="352" t="s">
        <v>656</v>
      </c>
      <c r="C44" s="504"/>
      <c r="D44" s="504"/>
      <c r="E44" s="505">
        <f t="shared" si="0"/>
        <v>0</v>
      </c>
      <c r="F44" s="504"/>
      <c r="G44" s="504"/>
      <c r="H44" s="506">
        <f t="shared" si="1"/>
        <v>0</v>
      </c>
    </row>
    <row r="45" spans="1:8" ht="15" thickBot="1">
      <c r="A45" s="518">
        <v>24</v>
      </c>
      <c r="B45" s="519" t="s">
        <v>657</v>
      </c>
      <c r="C45" s="510">
        <f>C43-C44</f>
        <v>-9521978.6373703349</v>
      </c>
      <c r="D45" s="510">
        <f>D43-D44</f>
        <v>11220813.902870527</v>
      </c>
      <c r="E45" s="511">
        <f t="shared" si="0"/>
        <v>1698835.2655001916</v>
      </c>
      <c r="F45" s="510">
        <f>F43-F44</f>
        <v>-12447678.501891147</v>
      </c>
      <c r="G45" s="510">
        <f>G43-G44</f>
        <v>10354332.513305506</v>
      </c>
      <c r="H45" s="512">
        <f t="shared" si="1"/>
        <v>-2093345.9885856416</v>
      </c>
    </row>
  </sheetData>
  <mergeCells count="4">
    <mergeCell ref="A4:A5"/>
    <mergeCell ref="B4:B5"/>
    <mergeCell ref="C4:E4"/>
    <mergeCell ref="F4:H4"/>
  </mergeCells>
  <pageMargins left="0.7" right="0.7" top="0.75" bottom="0.75" header="0.3" footer="0.3"/>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zoomScale="70" zoomScaleNormal="70" workbookViewId="0"/>
  </sheetViews>
  <sheetFormatPr defaultRowHeight="14.4"/>
  <cols>
    <col min="1" max="1" width="8.77734375" style="356"/>
    <col min="2" max="2" width="87.6640625" bestFit="1" customWidth="1"/>
    <col min="3" max="8" width="15.44140625" customWidth="1"/>
  </cols>
  <sheetData>
    <row r="1" spans="1:8" s="5" customFormat="1" ht="13.8">
      <c r="A1" s="2" t="s">
        <v>31</v>
      </c>
      <c r="B1" s="3" t="str">
        <f>'Info '!C2</f>
        <v>JSC PASHA Bank Georgia</v>
      </c>
      <c r="C1" s="3"/>
      <c r="D1" s="4"/>
      <c r="E1" s="4"/>
      <c r="F1" s="4"/>
      <c r="G1" s="4"/>
    </row>
    <row r="2" spans="1:8" s="5" customFormat="1" ht="13.8">
      <c r="A2" s="2" t="s">
        <v>32</v>
      </c>
      <c r="B2" s="309">
        <f>'1. key ratios '!B2</f>
        <v>45291</v>
      </c>
      <c r="C2" s="3"/>
      <c r="D2" s="4"/>
      <c r="E2" s="4"/>
      <c r="F2" s="4"/>
      <c r="G2" s="4"/>
    </row>
    <row r="3" spans="1:8" ht="15" thickBot="1">
      <c r="A3"/>
    </row>
    <row r="4" spans="1:8">
      <c r="A4" s="668" t="s">
        <v>7</v>
      </c>
      <c r="B4" s="680" t="s">
        <v>95</v>
      </c>
      <c r="C4" s="672" t="s">
        <v>559</v>
      </c>
      <c r="D4" s="672"/>
      <c r="E4" s="672"/>
      <c r="F4" s="672" t="s">
        <v>560</v>
      </c>
      <c r="G4" s="672"/>
      <c r="H4" s="673"/>
    </row>
    <row r="5" spans="1:8">
      <c r="A5" s="669"/>
      <c r="B5" s="681"/>
      <c r="C5" s="358" t="s">
        <v>33</v>
      </c>
      <c r="D5" s="358" t="s">
        <v>34</v>
      </c>
      <c r="E5" s="358" t="s">
        <v>35</v>
      </c>
      <c r="F5" s="358" t="s">
        <v>33</v>
      </c>
      <c r="G5" s="358" t="s">
        <v>34</v>
      </c>
      <c r="H5" s="500" t="s">
        <v>35</v>
      </c>
    </row>
    <row r="6" spans="1:8">
      <c r="A6" s="501">
        <v>1</v>
      </c>
      <c r="B6" s="359" t="s">
        <v>658</v>
      </c>
      <c r="C6" s="360"/>
      <c r="D6" s="360"/>
      <c r="E6" s="361">
        <f t="shared" ref="E6:E42" si="0">C6+D6</f>
        <v>0</v>
      </c>
      <c r="F6" s="360"/>
      <c r="G6" s="360"/>
      <c r="H6" s="362">
        <f t="shared" ref="H6:H42" si="1">F6+G6</f>
        <v>0</v>
      </c>
    </row>
    <row r="7" spans="1:8">
      <c r="A7" s="501">
        <v>2</v>
      </c>
      <c r="B7" s="359" t="s">
        <v>197</v>
      </c>
      <c r="C7" s="360"/>
      <c r="D7" s="360"/>
      <c r="E7" s="361">
        <f t="shared" si="0"/>
        <v>0</v>
      </c>
      <c r="F7" s="360"/>
      <c r="G7" s="360"/>
      <c r="H7" s="362">
        <f t="shared" si="1"/>
        <v>0</v>
      </c>
    </row>
    <row r="8" spans="1:8">
      <c r="A8" s="501">
        <v>3</v>
      </c>
      <c r="B8" s="359" t="s">
        <v>207</v>
      </c>
      <c r="C8" s="360">
        <f>C9+C10</f>
        <v>305777710.62310004</v>
      </c>
      <c r="D8" s="360">
        <f>D9+D10</f>
        <v>382753071.72100002</v>
      </c>
      <c r="E8" s="361">
        <f t="shared" si="0"/>
        <v>688530782.3441</v>
      </c>
      <c r="F8" s="360">
        <f>F9+F10</f>
        <v>17045052</v>
      </c>
      <c r="G8" s="360">
        <f>G9+G10</f>
        <v>329595086</v>
      </c>
      <c r="H8" s="362">
        <f t="shared" si="1"/>
        <v>346640138</v>
      </c>
    </row>
    <row r="9" spans="1:8">
      <c r="A9" s="501">
        <v>3.1</v>
      </c>
      <c r="B9" s="363" t="s">
        <v>198</v>
      </c>
      <c r="C9" s="523">
        <v>283988714.21310002</v>
      </c>
      <c r="D9" s="523">
        <v>355816501.8301</v>
      </c>
      <c r="E9" s="361">
        <f t="shared" si="0"/>
        <v>639805216.04320002</v>
      </c>
      <c r="F9" s="360">
        <v>30100</v>
      </c>
      <c r="G9" s="360">
        <v>317843856</v>
      </c>
      <c r="H9" s="362">
        <f t="shared" si="1"/>
        <v>317873956</v>
      </c>
    </row>
    <row r="10" spans="1:8">
      <c r="A10" s="501">
        <v>3.2</v>
      </c>
      <c r="B10" s="363" t="s">
        <v>194</v>
      </c>
      <c r="C10" s="523">
        <v>21788996.41</v>
      </c>
      <c r="D10" s="523">
        <v>26936569.890900001</v>
      </c>
      <c r="E10" s="361">
        <f t="shared" si="0"/>
        <v>48725566.300899997</v>
      </c>
      <c r="F10" s="360">
        <v>17014952</v>
      </c>
      <c r="G10" s="360">
        <v>11751230</v>
      </c>
      <c r="H10" s="362">
        <f t="shared" si="1"/>
        <v>28766182</v>
      </c>
    </row>
    <row r="11" spans="1:8">
      <c r="A11" s="501">
        <v>4</v>
      </c>
      <c r="B11" s="364" t="s">
        <v>196</v>
      </c>
      <c r="C11" s="360">
        <f>C12+C13</f>
        <v>0</v>
      </c>
      <c r="D11" s="360">
        <f>D12+D13</f>
        <v>0</v>
      </c>
      <c r="E11" s="361">
        <f t="shared" si="0"/>
        <v>0</v>
      </c>
      <c r="F11" s="360">
        <f>F12+F13</f>
        <v>0</v>
      </c>
      <c r="G11" s="360">
        <f>G12+G13</f>
        <v>0</v>
      </c>
      <c r="H11" s="362">
        <f t="shared" si="1"/>
        <v>0</v>
      </c>
    </row>
    <row r="12" spans="1:8">
      <c r="A12" s="501">
        <v>4.0999999999999996</v>
      </c>
      <c r="B12" s="363" t="s">
        <v>180</v>
      </c>
      <c r="C12" s="360"/>
      <c r="D12" s="360"/>
      <c r="E12" s="361">
        <f t="shared" si="0"/>
        <v>0</v>
      </c>
      <c r="F12" s="360"/>
      <c r="G12" s="360"/>
      <c r="H12" s="362">
        <f t="shared" si="1"/>
        <v>0</v>
      </c>
    </row>
    <row r="13" spans="1:8">
      <c r="A13" s="501">
        <v>4.2</v>
      </c>
      <c r="B13" s="363" t="s">
        <v>181</v>
      </c>
      <c r="C13" s="360"/>
      <c r="D13" s="360"/>
      <c r="E13" s="361">
        <f t="shared" si="0"/>
        <v>0</v>
      </c>
      <c r="F13" s="360"/>
      <c r="G13" s="360"/>
      <c r="H13" s="362">
        <f t="shared" si="1"/>
        <v>0</v>
      </c>
    </row>
    <row r="14" spans="1:8">
      <c r="A14" s="501">
        <v>5</v>
      </c>
      <c r="B14" s="364" t="s">
        <v>206</v>
      </c>
      <c r="C14" s="360">
        <f>C15+C16+C17+C23+C24+C25+C26</f>
        <v>104057007.47999999</v>
      </c>
      <c r="D14" s="360">
        <f>D15+D16+D17+D23+D24+D25+D26</f>
        <v>376374630.80479997</v>
      </c>
      <c r="E14" s="361">
        <f t="shared" si="0"/>
        <v>480431638.28479993</v>
      </c>
      <c r="F14" s="360">
        <f>F15+F16+F17+F23+F24+F25+F26</f>
        <v>90573419</v>
      </c>
      <c r="G14" s="360">
        <f>G15+G16+G17+G23+G24+G25+G26</f>
        <v>369593283</v>
      </c>
      <c r="H14" s="362">
        <f t="shared" si="1"/>
        <v>460166702</v>
      </c>
    </row>
    <row r="15" spans="1:8">
      <c r="A15" s="501">
        <v>5.0999999999999996</v>
      </c>
      <c r="B15" s="365" t="s">
        <v>184</v>
      </c>
      <c r="C15" s="360">
        <v>2310984.67</v>
      </c>
      <c r="D15" s="360">
        <v>4139115.1264</v>
      </c>
      <c r="E15" s="361">
        <f t="shared" si="0"/>
        <v>6450099.7963999994</v>
      </c>
      <c r="F15" s="360">
        <v>2039896</v>
      </c>
      <c r="G15" s="360">
        <v>3999693</v>
      </c>
      <c r="H15" s="362">
        <f t="shared" si="1"/>
        <v>6039589</v>
      </c>
    </row>
    <row r="16" spans="1:8">
      <c r="A16" s="501">
        <v>5.2</v>
      </c>
      <c r="B16" s="365" t="s">
        <v>183</v>
      </c>
      <c r="C16" s="360"/>
      <c r="D16" s="360"/>
      <c r="E16" s="361">
        <f t="shared" si="0"/>
        <v>0</v>
      </c>
      <c r="F16" s="360"/>
      <c r="G16" s="360"/>
      <c r="H16" s="362">
        <f t="shared" si="1"/>
        <v>0</v>
      </c>
    </row>
    <row r="17" spans="1:8">
      <c r="A17" s="501">
        <v>5.3</v>
      </c>
      <c r="B17" s="365" t="s">
        <v>182</v>
      </c>
      <c r="C17" s="360">
        <f>C18+C19+C20+C21+C22</f>
        <v>33800000</v>
      </c>
      <c r="D17" s="360">
        <f>D18+D19+D20+D21+D22</f>
        <v>286046819.86290002</v>
      </c>
      <c r="E17" s="361">
        <f t="shared" si="0"/>
        <v>319846819.86290002</v>
      </c>
      <c r="F17" s="360">
        <f>F18+F19+F20+F21+F22</f>
        <v>33800000</v>
      </c>
      <c r="G17" s="360">
        <f>G18+G19+G20+G21+G22</f>
        <v>287998210</v>
      </c>
      <c r="H17" s="362">
        <f t="shared" si="1"/>
        <v>321798210</v>
      </c>
    </row>
    <row r="18" spans="1:8">
      <c r="A18" s="501" t="s">
        <v>16</v>
      </c>
      <c r="B18" s="366" t="s">
        <v>37</v>
      </c>
      <c r="C18" s="360">
        <v>1</v>
      </c>
      <c r="D18" s="360">
        <v>31588580.467300002</v>
      </c>
      <c r="E18" s="361">
        <f t="shared" si="0"/>
        <v>31588581.467300002</v>
      </c>
      <c r="F18" s="360">
        <v>1</v>
      </c>
      <c r="G18" s="360">
        <v>35309406</v>
      </c>
      <c r="H18" s="362">
        <f t="shared" si="1"/>
        <v>35309407</v>
      </c>
    </row>
    <row r="19" spans="1:8">
      <c r="A19" s="501" t="s">
        <v>17</v>
      </c>
      <c r="B19" s="366" t="s">
        <v>38</v>
      </c>
      <c r="C19" s="360">
        <v>0</v>
      </c>
      <c r="D19" s="360">
        <v>187491320.93560001</v>
      </c>
      <c r="E19" s="361">
        <f t="shared" si="0"/>
        <v>187491320.93560001</v>
      </c>
      <c r="F19" s="360">
        <v>0</v>
      </c>
      <c r="G19" s="360">
        <v>189742121</v>
      </c>
      <c r="H19" s="362">
        <f t="shared" si="1"/>
        <v>189742121</v>
      </c>
    </row>
    <row r="20" spans="1:8">
      <c r="A20" s="501" t="s">
        <v>18</v>
      </c>
      <c r="B20" s="366" t="s">
        <v>39</v>
      </c>
      <c r="C20" s="360">
        <v>0</v>
      </c>
      <c r="D20" s="360">
        <v>0</v>
      </c>
      <c r="E20" s="361">
        <f t="shared" si="0"/>
        <v>0</v>
      </c>
      <c r="F20" s="360"/>
      <c r="G20" s="360"/>
      <c r="H20" s="362">
        <f t="shared" si="1"/>
        <v>0</v>
      </c>
    </row>
    <row r="21" spans="1:8">
      <c r="A21" s="501" t="s">
        <v>19</v>
      </c>
      <c r="B21" s="366" t="s">
        <v>40</v>
      </c>
      <c r="C21" s="360">
        <v>0</v>
      </c>
      <c r="D21" s="360">
        <v>48825916.777599998</v>
      </c>
      <c r="E21" s="361">
        <f t="shared" si="0"/>
        <v>48825916.777599998</v>
      </c>
      <c r="F21" s="360">
        <v>0</v>
      </c>
      <c r="G21" s="360">
        <v>47306356</v>
      </c>
      <c r="H21" s="362">
        <f t="shared" si="1"/>
        <v>47306356</v>
      </c>
    </row>
    <row r="22" spans="1:8">
      <c r="A22" s="501" t="s">
        <v>20</v>
      </c>
      <c r="B22" s="366" t="s">
        <v>41</v>
      </c>
      <c r="C22" s="360">
        <v>33799999</v>
      </c>
      <c r="D22" s="360">
        <v>18141001.682399999</v>
      </c>
      <c r="E22" s="361">
        <f t="shared" si="0"/>
        <v>51941000.682400003</v>
      </c>
      <c r="F22" s="360">
        <v>33799999</v>
      </c>
      <c r="G22" s="360">
        <v>15640327</v>
      </c>
      <c r="H22" s="362">
        <f t="shared" si="1"/>
        <v>49440326</v>
      </c>
    </row>
    <row r="23" spans="1:8">
      <c r="A23" s="501">
        <v>5.4</v>
      </c>
      <c r="B23" s="365" t="s">
        <v>185</v>
      </c>
      <c r="C23" s="360">
        <v>6000001</v>
      </c>
      <c r="D23" s="360">
        <v>38216427.411499999</v>
      </c>
      <c r="E23" s="361">
        <f t="shared" si="0"/>
        <v>44216428.411499999</v>
      </c>
      <c r="F23" s="360">
        <v>0</v>
      </c>
      <c r="G23" s="360">
        <v>43391010</v>
      </c>
      <c r="H23" s="362">
        <f t="shared" si="1"/>
        <v>43391010</v>
      </c>
    </row>
    <row r="24" spans="1:8">
      <c r="A24" s="501">
        <v>5.5</v>
      </c>
      <c r="B24" s="365" t="s">
        <v>186</v>
      </c>
      <c r="C24" s="360">
        <v>0.01</v>
      </c>
      <c r="D24" s="360">
        <v>69.924400000000006</v>
      </c>
      <c r="E24" s="361">
        <f t="shared" si="0"/>
        <v>69.934400000000011</v>
      </c>
      <c r="F24" s="360">
        <v>0</v>
      </c>
      <c r="G24" s="360">
        <v>95</v>
      </c>
      <c r="H24" s="362">
        <f t="shared" si="1"/>
        <v>95</v>
      </c>
    </row>
    <row r="25" spans="1:8">
      <c r="A25" s="501">
        <v>5.6</v>
      </c>
      <c r="B25" s="365" t="s">
        <v>187</v>
      </c>
      <c r="C25" s="360">
        <v>0</v>
      </c>
      <c r="D25" s="360">
        <v>0</v>
      </c>
      <c r="E25" s="361">
        <f t="shared" si="0"/>
        <v>0</v>
      </c>
      <c r="F25" s="360">
        <v>0</v>
      </c>
      <c r="G25" s="360">
        <v>14</v>
      </c>
      <c r="H25" s="362">
        <f t="shared" si="1"/>
        <v>14</v>
      </c>
    </row>
    <row r="26" spans="1:8">
      <c r="A26" s="501">
        <v>5.7</v>
      </c>
      <c r="B26" s="365" t="s">
        <v>41</v>
      </c>
      <c r="C26" s="360">
        <v>61946021.799999997</v>
      </c>
      <c r="D26" s="360">
        <v>47972198.479599997</v>
      </c>
      <c r="E26" s="361">
        <f t="shared" si="0"/>
        <v>109918220.27959999</v>
      </c>
      <c r="F26" s="360">
        <v>54733523</v>
      </c>
      <c r="G26" s="360">
        <v>34204261</v>
      </c>
      <c r="H26" s="362">
        <f t="shared" si="1"/>
        <v>88937784</v>
      </c>
    </row>
    <row r="27" spans="1:8">
      <c r="A27" s="501">
        <v>6</v>
      </c>
      <c r="B27" s="367" t="s">
        <v>659</v>
      </c>
      <c r="C27" s="360">
        <v>79963731.049999997</v>
      </c>
      <c r="D27" s="360">
        <v>17580907.272500001</v>
      </c>
      <c r="E27" s="361">
        <f t="shared" si="0"/>
        <v>97544638.32249999</v>
      </c>
      <c r="F27" s="360">
        <v>52036746</v>
      </c>
      <c r="G27" s="360">
        <v>10116758</v>
      </c>
      <c r="H27" s="362">
        <f t="shared" si="1"/>
        <v>62153504</v>
      </c>
    </row>
    <row r="28" spans="1:8">
      <c r="A28" s="501">
        <v>7</v>
      </c>
      <c r="B28" s="367" t="s">
        <v>660</v>
      </c>
      <c r="C28" s="360">
        <v>45337342.68</v>
      </c>
      <c r="D28" s="360">
        <v>41584148.953299999</v>
      </c>
      <c r="E28" s="361">
        <f t="shared" si="0"/>
        <v>86921491.633300006</v>
      </c>
      <c r="F28" s="360">
        <v>43077385</v>
      </c>
      <c r="G28" s="360">
        <v>18041906</v>
      </c>
      <c r="H28" s="362">
        <f t="shared" si="1"/>
        <v>61119291</v>
      </c>
    </row>
    <row r="29" spans="1:8">
      <c r="A29" s="501">
        <v>8</v>
      </c>
      <c r="B29" s="367" t="s">
        <v>195</v>
      </c>
      <c r="C29" s="360"/>
      <c r="D29" s="360"/>
      <c r="E29" s="361">
        <f t="shared" si="0"/>
        <v>0</v>
      </c>
      <c r="F29" s="360"/>
      <c r="G29" s="360">
        <v>260981</v>
      </c>
      <c r="H29" s="362">
        <f t="shared" si="1"/>
        <v>260981</v>
      </c>
    </row>
    <row r="30" spans="1:8">
      <c r="A30" s="501">
        <v>9</v>
      </c>
      <c r="B30" s="368" t="s">
        <v>212</v>
      </c>
      <c r="C30" s="360">
        <f>C31+C32+C33+C34+C35+C36+C37</f>
        <v>86310745.400000006</v>
      </c>
      <c r="D30" s="360">
        <f>D31+D32+D33+D34+D35+D36+D37</f>
        <v>222859407.4639</v>
      </c>
      <c r="E30" s="361">
        <f t="shared" si="0"/>
        <v>309170152.86390001</v>
      </c>
      <c r="F30" s="360">
        <f>F31+F32+F33+F34+F35+F36+F37</f>
        <v>54692130</v>
      </c>
      <c r="G30" s="360">
        <f>G31+G32+G33+G34+G35+G36+G37</f>
        <v>272650604</v>
      </c>
      <c r="H30" s="362">
        <f t="shared" si="1"/>
        <v>327342734</v>
      </c>
    </row>
    <row r="31" spans="1:8">
      <c r="A31" s="501">
        <v>9.1</v>
      </c>
      <c r="B31" s="369" t="s">
        <v>202</v>
      </c>
      <c r="C31" s="360">
        <v>46604146.600000001</v>
      </c>
      <c r="D31" s="360">
        <v>107913487.4639</v>
      </c>
      <c r="E31" s="361">
        <f t="shared" si="0"/>
        <v>154517634.06389999</v>
      </c>
      <c r="F31" s="360">
        <v>28447098</v>
      </c>
      <c r="G31" s="360">
        <v>134952234</v>
      </c>
      <c r="H31" s="362">
        <f t="shared" si="1"/>
        <v>163399332</v>
      </c>
    </row>
    <row r="32" spans="1:8">
      <c r="A32" s="501">
        <v>9.1999999999999993</v>
      </c>
      <c r="B32" s="369" t="s">
        <v>203</v>
      </c>
      <c r="C32" s="360">
        <v>39706598.799999997</v>
      </c>
      <c r="D32" s="360">
        <v>114945920</v>
      </c>
      <c r="E32" s="361">
        <f t="shared" si="0"/>
        <v>154652518.80000001</v>
      </c>
      <c r="F32" s="360">
        <v>26245032</v>
      </c>
      <c r="G32" s="360">
        <v>137698370</v>
      </c>
      <c r="H32" s="362">
        <f t="shared" si="1"/>
        <v>163943402</v>
      </c>
    </row>
    <row r="33" spans="1:8">
      <c r="A33" s="501">
        <v>9.3000000000000007</v>
      </c>
      <c r="B33" s="369" t="s">
        <v>199</v>
      </c>
      <c r="C33" s="360"/>
      <c r="D33" s="360"/>
      <c r="E33" s="361">
        <f t="shared" si="0"/>
        <v>0</v>
      </c>
      <c r="F33" s="360"/>
      <c r="G33" s="360"/>
      <c r="H33" s="362">
        <f t="shared" si="1"/>
        <v>0</v>
      </c>
    </row>
    <row r="34" spans="1:8">
      <c r="A34" s="501">
        <v>9.4</v>
      </c>
      <c r="B34" s="369" t="s">
        <v>200</v>
      </c>
      <c r="C34" s="360"/>
      <c r="D34" s="360"/>
      <c r="E34" s="361">
        <f t="shared" si="0"/>
        <v>0</v>
      </c>
      <c r="F34" s="360"/>
      <c r="G34" s="360"/>
      <c r="H34" s="362">
        <f t="shared" si="1"/>
        <v>0</v>
      </c>
    </row>
    <row r="35" spans="1:8">
      <c r="A35" s="501">
        <v>9.5</v>
      </c>
      <c r="B35" s="369" t="s">
        <v>201</v>
      </c>
      <c r="C35" s="360"/>
      <c r="D35" s="360"/>
      <c r="E35" s="361">
        <f t="shared" si="0"/>
        <v>0</v>
      </c>
      <c r="F35" s="360"/>
      <c r="G35" s="360"/>
      <c r="H35" s="362">
        <f t="shared" si="1"/>
        <v>0</v>
      </c>
    </row>
    <row r="36" spans="1:8">
      <c r="A36" s="501">
        <v>9.6</v>
      </c>
      <c r="B36" s="369" t="s">
        <v>204</v>
      </c>
      <c r="C36" s="360"/>
      <c r="D36" s="360"/>
      <c r="E36" s="361">
        <f t="shared" si="0"/>
        <v>0</v>
      </c>
      <c r="F36" s="360"/>
      <c r="G36" s="360"/>
      <c r="H36" s="362">
        <f t="shared" si="1"/>
        <v>0</v>
      </c>
    </row>
    <row r="37" spans="1:8">
      <c r="A37" s="501">
        <v>9.6999999999999993</v>
      </c>
      <c r="B37" s="369" t="s">
        <v>205</v>
      </c>
      <c r="C37" s="360"/>
      <c r="D37" s="360"/>
      <c r="E37" s="361">
        <f t="shared" si="0"/>
        <v>0</v>
      </c>
      <c r="F37" s="360"/>
      <c r="G37" s="360"/>
      <c r="H37" s="362">
        <f t="shared" si="1"/>
        <v>0</v>
      </c>
    </row>
    <row r="38" spans="1:8">
      <c r="A38" s="501">
        <v>10</v>
      </c>
      <c r="B38" s="364" t="s">
        <v>208</v>
      </c>
      <c r="C38" s="360">
        <f>C39+C40+C41+C42</f>
        <v>22209056.279999997</v>
      </c>
      <c r="D38" s="360">
        <f>D39+D40+D41+D42</f>
        <v>22418474.516199999</v>
      </c>
      <c r="E38" s="361">
        <f t="shared" si="0"/>
        <v>44627530.796199992</v>
      </c>
      <c r="F38" s="360">
        <f>F39+F40+F41+F42</f>
        <v>7978560</v>
      </c>
      <c r="G38" s="360">
        <f>G39+G40+G41+G42</f>
        <v>9189808</v>
      </c>
      <c r="H38" s="362">
        <f t="shared" si="1"/>
        <v>17168368</v>
      </c>
    </row>
    <row r="39" spans="1:8">
      <c r="A39" s="501">
        <v>10.1</v>
      </c>
      <c r="B39" s="370" t="s">
        <v>209</v>
      </c>
      <c r="C39" s="524">
        <v>1735676.21</v>
      </c>
      <c r="D39" s="524">
        <v>0</v>
      </c>
      <c r="E39" s="361">
        <f t="shared" si="0"/>
        <v>1735676.21</v>
      </c>
      <c r="F39" s="360">
        <v>564744</v>
      </c>
      <c r="G39" s="360">
        <v>0</v>
      </c>
      <c r="H39" s="362">
        <f t="shared" si="1"/>
        <v>564744</v>
      </c>
    </row>
    <row r="40" spans="1:8">
      <c r="A40" s="501">
        <v>10.199999999999999</v>
      </c>
      <c r="B40" s="370" t="s">
        <v>210</v>
      </c>
      <c r="C40" s="524">
        <v>1813403.93</v>
      </c>
      <c r="D40" s="524">
        <v>2146131.6269</v>
      </c>
      <c r="E40" s="361">
        <f t="shared" si="0"/>
        <v>3959535.5569000002</v>
      </c>
      <c r="F40" s="360">
        <v>615151</v>
      </c>
      <c r="G40" s="360">
        <v>1940956</v>
      </c>
      <c r="H40" s="362">
        <f t="shared" si="1"/>
        <v>2556107</v>
      </c>
    </row>
    <row r="41" spans="1:8">
      <c r="A41" s="501">
        <v>10.3</v>
      </c>
      <c r="B41" s="370" t="s">
        <v>213</v>
      </c>
      <c r="C41" s="524">
        <v>6434141.8499999996</v>
      </c>
      <c r="D41" s="524">
        <v>0</v>
      </c>
      <c r="E41" s="361">
        <f t="shared" si="0"/>
        <v>6434141.8499999996</v>
      </c>
      <c r="F41" s="360">
        <v>3024722</v>
      </c>
      <c r="G41" s="360">
        <v>0</v>
      </c>
      <c r="H41" s="362">
        <f t="shared" si="1"/>
        <v>3024722</v>
      </c>
    </row>
    <row r="42" spans="1:8" ht="26.4">
      <c r="A42" s="501">
        <v>10.4</v>
      </c>
      <c r="B42" s="370" t="s">
        <v>214</v>
      </c>
      <c r="C42" s="524">
        <v>12225834.289999999</v>
      </c>
      <c r="D42" s="524">
        <v>20272342.8893</v>
      </c>
      <c r="E42" s="361">
        <f t="shared" si="0"/>
        <v>32498177.179299999</v>
      </c>
      <c r="F42" s="360">
        <v>3773943</v>
      </c>
      <c r="G42" s="360">
        <v>7248852</v>
      </c>
      <c r="H42" s="362">
        <f t="shared" si="1"/>
        <v>11022795</v>
      </c>
    </row>
    <row r="43" spans="1:8" ht="15" thickBot="1">
      <c r="A43" s="502">
        <v>11</v>
      </c>
      <c r="B43" s="125" t="s">
        <v>211</v>
      </c>
      <c r="C43" s="520"/>
      <c r="D43" s="520"/>
      <c r="E43" s="521">
        <f t="shared" ref="E43" si="2">C43+D43</f>
        <v>0</v>
      </c>
      <c r="F43" s="520"/>
      <c r="G43" s="520"/>
      <c r="H43" s="522">
        <f t="shared" ref="H43" si="3">F43+G43</f>
        <v>0</v>
      </c>
    </row>
    <row r="44" spans="1:8">
      <c r="C44" s="371"/>
      <c r="D44" s="371"/>
      <c r="E44" s="371"/>
      <c r="F44" s="371"/>
      <c r="G44" s="371"/>
      <c r="H44" s="371"/>
    </row>
    <row r="45" spans="1:8">
      <c r="C45" s="371"/>
      <c r="D45" s="371"/>
      <c r="E45" s="371"/>
      <c r="F45" s="371"/>
      <c r="G45" s="371"/>
      <c r="H45" s="371"/>
    </row>
    <row r="46" spans="1:8">
      <c r="C46" s="371"/>
      <c r="D46" s="371"/>
      <c r="E46" s="371"/>
      <c r="F46" s="371"/>
      <c r="G46" s="371"/>
      <c r="H46" s="371"/>
    </row>
    <row r="47" spans="1:8">
      <c r="C47" s="371"/>
      <c r="D47" s="371"/>
      <c r="E47" s="371"/>
      <c r="F47" s="371"/>
      <c r="G47" s="371"/>
      <c r="H47" s="371"/>
    </row>
  </sheetData>
  <mergeCells count="4">
    <mergeCell ref="A4:A5"/>
    <mergeCell ref="B4:B5"/>
    <mergeCell ref="C4:E4"/>
    <mergeCell ref="F4:H4"/>
  </mergeCells>
  <pageMargins left="0.7" right="0.7" top="0.75" bottom="0.75" header="0.3" footer="0.3"/>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pane="topRight"/>
      <selection pane="bottomLeft"/>
      <selection pane="bottomRight"/>
    </sheetView>
  </sheetViews>
  <sheetFormatPr defaultColWidth="9.21875" defaultRowHeight="13.2"/>
  <cols>
    <col min="1" max="1" width="9.5546875" style="4" bestFit="1" customWidth="1"/>
    <col min="2" max="2" width="93.5546875" style="4" customWidth="1"/>
    <col min="3" max="4" width="10.77734375" style="4" customWidth="1"/>
    <col min="5" max="5" width="12.21875" style="13" customWidth="1"/>
    <col min="6" max="6" width="12.88671875" style="13" customWidth="1"/>
    <col min="7" max="8" width="11.88671875" style="13" customWidth="1"/>
    <col min="9" max="11" width="9.77734375" style="13" customWidth="1"/>
    <col min="12" max="16384" width="9.21875" style="13"/>
  </cols>
  <sheetData>
    <row r="1" spans="1:7">
      <c r="A1" s="2" t="s">
        <v>31</v>
      </c>
      <c r="B1" s="3" t="str">
        <f>'Info '!C2</f>
        <v>JSC PASHA Bank Georgia</v>
      </c>
      <c r="C1" s="3"/>
    </row>
    <row r="2" spans="1:7">
      <c r="A2" s="2" t="s">
        <v>32</v>
      </c>
      <c r="B2" s="309">
        <f>'1. key ratios '!B2</f>
        <v>45291</v>
      </c>
      <c r="C2" s="3"/>
    </row>
    <row r="3" spans="1:7">
      <c r="A3" s="2"/>
      <c r="B3" s="3"/>
      <c r="C3" s="3"/>
    </row>
    <row r="4" spans="1:7" ht="15" customHeight="1" thickBot="1">
      <c r="A4" s="4" t="s">
        <v>97</v>
      </c>
      <c r="B4" s="72" t="s">
        <v>188</v>
      </c>
      <c r="C4" s="16" t="s">
        <v>36</v>
      </c>
    </row>
    <row r="5" spans="1:7" ht="15" customHeight="1">
      <c r="A5" s="149" t="s">
        <v>7</v>
      </c>
      <c r="B5" s="150"/>
      <c r="C5" s="307" t="str">
        <f>INT((MONTH($B$2))/3)&amp;"Q"&amp;"-"&amp;YEAR($B$2)</f>
        <v>4Q-2023</v>
      </c>
      <c r="D5" s="307" t="str">
        <f>IF(INT(MONTH($B$2))=3, "4"&amp;"Q"&amp;"-"&amp;YEAR($B$2)-1, IF(INT(MONTH($B$2))=6, "1"&amp;"Q"&amp;"-"&amp;YEAR($B$2), IF(INT(MONTH($B$2))=9, "2"&amp;"Q"&amp;"-"&amp;YEAR($B$2),IF(INT(MONTH($B$2))=12, "3"&amp;"Q"&amp;"-"&amp;YEAR($B$2), 0))))</f>
        <v>3Q-2023</v>
      </c>
      <c r="E5" s="307" t="str">
        <f>IF(INT(MONTH($B$2))=3, "3"&amp;"Q"&amp;"-"&amp;YEAR($B$2)-1, IF(INT(MONTH($B$2))=6, "4"&amp;"Q"&amp;"-"&amp;YEAR($B$2)-1, IF(INT(MONTH($B$2))=9, "1"&amp;"Q"&amp;"-"&amp;YEAR($B$2),IF(INT(MONTH($B$2))=12, "2"&amp;"Q"&amp;"-"&amp;YEAR($B$2), 0))))</f>
        <v>2Q-2023</v>
      </c>
      <c r="F5" s="307" t="str">
        <f>IF(INT(MONTH($B$2))=3, "2"&amp;"Q"&amp;"-"&amp;YEAR($B$2)-1, IF(INT(MONTH($B$2))=6, "3"&amp;"Q"&amp;"-"&amp;YEAR($B$2)-1, IF(INT(MONTH($B$2))=9, "4"&amp;"Q"&amp;"-"&amp;YEAR($B$2)-1,IF(INT(MONTH($B$2))=12, "1"&amp;"Q"&amp;"-"&amp;YEAR($B$2), 0))))</f>
        <v>1Q-2023</v>
      </c>
      <c r="G5" s="308" t="str">
        <f>IF(INT(MONTH($B$2))=3, "1"&amp;"Q"&amp;"-"&amp;YEAR($B$2)-1, IF(INT(MONTH($B$2))=6, "2"&amp;"Q"&amp;"-"&amp;YEAR($B$2)-1, IF(INT(MONTH($B$2))=9, "3"&amp;"Q"&amp;"-"&amp;YEAR($B$2)-1,IF(INT(MONTH($B$2))=12, "4"&amp;"Q"&amp;"-"&amp;YEAR($B$2)-1, 0))))</f>
        <v>4Q-2022</v>
      </c>
    </row>
    <row r="6" spans="1:7" ht="15" customHeight="1">
      <c r="A6" s="17">
        <v>1</v>
      </c>
      <c r="B6" s="234" t="s">
        <v>192</v>
      </c>
      <c r="C6" s="299">
        <f>C7+C9+C10</f>
        <v>519229548</v>
      </c>
      <c r="D6" s="301">
        <f>D7+D9+D10</f>
        <v>471994722</v>
      </c>
      <c r="E6" s="236">
        <f t="shared" ref="E6:G6" si="0">E7+E9+E10</f>
        <v>481763583</v>
      </c>
      <c r="F6" s="299">
        <f t="shared" si="0"/>
        <v>471726745</v>
      </c>
      <c r="G6" s="304">
        <f t="shared" si="0"/>
        <v>497737311</v>
      </c>
    </row>
    <row r="7" spans="1:7" ht="15" customHeight="1">
      <c r="A7" s="17">
        <v>1.1000000000000001</v>
      </c>
      <c r="B7" s="234" t="s">
        <v>358</v>
      </c>
      <c r="C7" s="300">
        <v>460925278</v>
      </c>
      <c r="D7" s="302">
        <v>424770530</v>
      </c>
      <c r="E7" s="300">
        <v>439546921</v>
      </c>
      <c r="F7" s="300">
        <v>434813748</v>
      </c>
      <c r="G7" s="305">
        <v>455940401</v>
      </c>
    </row>
    <row r="8" spans="1:7">
      <c r="A8" s="17" t="s">
        <v>15</v>
      </c>
      <c r="B8" s="234" t="s">
        <v>96</v>
      </c>
      <c r="C8" s="300"/>
      <c r="D8" s="302"/>
      <c r="E8" s="300"/>
      <c r="F8" s="300"/>
      <c r="G8" s="305"/>
    </row>
    <row r="9" spans="1:7" ht="15" customHeight="1">
      <c r="A9" s="17">
        <v>1.2</v>
      </c>
      <c r="B9" s="235" t="s">
        <v>95</v>
      </c>
      <c r="C9" s="300">
        <v>56173579</v>
      </c>
      <c r="D9" s="302">
        <v>45805923</v>
      </c>
      <c r="E9" s="300">
        <v>40476472</v>
      </c>
      <c r="F9" s="300">
        <v>33895649</v>
      </c>
      <c r="G9" s="305">
        <v>38528923</v>
      </c>
    </row>
    <row r="10" spans="1:7" ht="15" customHeight="1">
      <c r="A10" s="17">
        <v>1.3</v>
      </c>
      <c r="B10" s="234" t="s">
        <v>29</v>
      </c>
      <c r="C10" s="300">
        <v>2130691</v>
      </c>
      <c r="D10" s="302">
        <v>1418269</v>
      </c>
      <c r="E10" s="300">
        <v>1740190</v>
      </c>
      <c r="F10" s="300">
        <v>3017348</v>
      </c>
      <c r="G10" s="305">
        <v>3267987</v>
      </c>
    </row>
    <row r="11" spans="1:7" ht="15" customHeight="1">
      <c r="A11" s="17">
        <v>2</v>
      </c>
      <c r="B11" s="234" t="s">
        <v>189</v>
      </c>
      <c r="C11" s="300">
        <v>1366371</v>
      </c>
      <c r="D11" s="302">
        <v>3046947</v>
      </c>
      <c r="E11" s="300">
        <v>4811648</v>
      </c>
      <c r="F11" s="300">
        <v>3040200</v>
      </c>
      <c r="G11" s="305">
        <v>4997167</v>
      </c>
    </row>
    <row r="12" spans="1:7" ht="15" customHeight="1">
      <c r="A12" s="17">
        <v>3</v>
      </c>
      <c r="B12" s="234" t="s">
        <v>190</v>
      </c>
      <c r="C12" s="300">
        <v>66393322</v>
      </c>
      <c r="D12" s="302">
        <v>52612002</v>
      </c>
      <c r="E12" s="300">
        <v>52612002</v>
      </c>
      <c r="F12" s="300">
        <v>52612002</v>
      </c>
      <c r="G12" s="305">
        <v>52523668</v>
      </c>
    </row>
    <row r="13" spans="1:7" ht="15" customHeight="1" thickBot="1">
      <c r="A13" s="19">
        <v>4</v>
      </c>
      <c r="B13" s="20" t="s">
        <v>191</v>
      </c>
      <c r="C13" s="237">
        <f>C6+C11+C12</f>
        <v>586989241</v>
      </c>
      <c r="D13" s="303">
        <f>D6+D11+D12</f>
        <v>527653671</v>
      </c>
      <c r="E13" s="238">
        <f t="shared" ref="E13:G13" si="1">E6+E11+E12</f>
        <v>539187233</v>
      </c>
      <c r="F13" s="237">
        <f t="shared" si="1"/>
        <v>527378947</v>
      </c>
      <c r="G13" s="306">
        <f t="shared" si="1"/>
        <v>555258146</v>
      </c>
    </row>
    <row r="14" spans="1:7">
      <c r="B14" s="23"/>
    </row>
    <row r="15" spans="1:7" ht="26.4">
      <c r="B15" s="23" t="s">
        <v>359</v>
      </c>
    </row>
    <row r="16" spans="1:7">
      <c r="B16" s="23"/>
    </row>
    <row r="17" s="13" customFormat="1" ht="10.199999999999999"/>
    <row r="18" s="13" customFormat="1" ht="10.199999999999999"/>
    <row r="19" s="13" customFormat="1" ht="10.199999999999999"/>
    <row r="20" s="13" customFormat="1" ht="10.199999999999999"/>
    <row r="21" s="13" customFormat="1" ht="10.199999999999999"/>
    <row r="22" s="13" customFormat="1" ht="10.199999999999999"/>
    <row r="23" s="13" customFormat="1" ht="10.199999999999999"/>
    <row r="24" s="13" customFormat="1" ht="10.199999999999999"/>
    <row r="25" s="13" customFormat="1" ht="10.199999999999999"/>
    <row r="26" s="13" customFormat="1" ht="10.199999999999999"/>
    <row r="27" s="13" customFormat="1" ht="10.199999999999999"/>
    <row r="28" s="13" customFormat="1" ht="10.199999999999999"/>
    <row r="29" s="13" customFormat="1" ht="10.199999999999999"/>
  </sheetData>
  <pageMargins left="0.7" right="0.7" top="0.75" bottom="0.75" header="0.3" footer="0.3"/>
  <pageSetup paperSize="9" scale="4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zoomScaleNormal="100" workbookViewId="0">
      <pane xSplit="1" ySplit="4" topLeftCell="B5" activePane="bottomRight" state="frozen"/>
      <selection pane="topRight"/>
      <selection pane="bottomLeft"/>
      <selection pane="bottomRight"/>
    </sheetView>
  </sheetViews>
  <sheetFormatPr defaultColWidth="9.21875" defaultRowHeight="13.8"/>
  <cols>
    <col min="1" max="1" width="9.5546875" style="4" bestFit="1" customWidth="1"/>
    <col min="2" max="2" width="50.21875" style="4" customWidth="1"/>
    <col min="3" max="3" width="50.5546875" style="4" customWidth="1"/>
    <col min="4" max="16384" width="9.21875" style="5"/>
  </cols>
  <sheetData>
    <row r="1" spans="1:8">
      <c r="A1" s="2" t="s">
        <v>31</v>
      </c>
      <c r="B1" s="3" t="str">
        <f>'Info '!C2</f>
        <v>JSC PASHA Bank Georgia</v>
      </c>
    </row>
    <row r="2" spans="1:8">
      <c r="A2" s="2" t="s">
        <v>32</v>
      </c>
      <c r="B2" s="309">
        <f>'1. key ratios '!B2</f>
        <v>45291</v>
      </c>
    </row>
    <row r="4" spans="1:8" ht="28.05" customHeight="1" thickBot="1">
      <c r="A4" s="24" t="s">
        <v>42</v>
      </c>
      <c r="B4" s="25" t="s">
        <v>164</v>
      </c>
      <c r="C4" s="26"/>
    </row>
    <row r="5" spans="1:8">
      <c r="A5" s="27"/>
      <c r="B5" s="297" t="s">
        <v>43</v>
      </c>
      <c r="C5" s="298" t="s">
        <v>372</v>
      </c>
    </row>
    <row r="6" spans="1:8">
      <c r="A6" s="28">
        <v>1</v>
      </c>
      <c r="B6" s="597" t="s">
        <v>725</v>
      </c>
      <c r="C6" s="598" t="s">
        <v>724</v>
      </c>
    </row>
    <row r="7" spans="1:8">
      <c r="A7" s="28">
        <v>2</v>
      </c>
      <c r="B7" s="597" t="s">
        <v>726</v>
      </c>
      <c r="C7" s="598" t="s">
        <v>723</v>
      </c>
    </row>
    <row r="8" spans="1:8">
      <c r="A8" s="28">
        <v>3</v>
      </c>
      <c r="B8" s="597" t="s">
        <v>727</v>
      </c>
      <c r="C8" s="598" t="s">
        <v>723</v>
      </c>
    </row>
    <row r="9" spans="1:8">
      <c r="A9" s="28">
        <v>4</v>
      </c>
      <c r="B9" s="597" t="s">
        <v>728</v>
      </c>
      <c r="C9" s="598" t="s">
        <v>724</v>
      </c>
    </row>
    <row r="10" spans="1:8">
      <c r="A10" s="28">
        <v>5</v>
      </c>
      <c r="B10" s="597" t="s">
        <v>716</v>
      </c>
      <c r="C10" s="598" t="s">
        <v>722</v>
      </c>
    </row>
    <row r="11" spans="1:8">
      <c r="A11" s="28">
        <v>6</v>
      </c>
      <c r="B11" s="597"/>
      <c r="C11" s="598"/>
    </row>
    <row r="12" spans="1:8">
      <c r="A12" s="28">
        <v>7</v>
      </c>
      <c r="B12" s="597"/>
      <c r="C12" s="598"/>
      <c r="H12" s="29"/>
    </row>
    <row r="13" spans="1:8">
      <c r="A13" s="28">
        <v>8</v>
      </c>
      <c r="B13" s="597"/>
      <c r="C13" s="598"/>
    </row>
    <row r="14" spans="1:8">
      <c r="A14" s="28">
        <v>9</v>
      </c>
      <c r="B14" s="597"/>
      <c r="C14" s="598"/>
    </row>
    <row r="15" spans="1:8">
      <c r="A15" s="28">
        <v>10</v>
      </c>
      <c r="B15" s="597"/>
      <c r="C15" s="598"/>
    </row>
    <row r="16" spans="1:8">
      <c r="A16" s="28"/>
      <c r="B16" s="599"/>
      <c r="C16" s="554"/>
    </row>
    <row r="17" spans="1:3">
      <c r="A17" s="28"/>
      <c r="B17" s="600" t="s">
        <v>44</v>
      </c>
      <c r="C17" s="601" t="s">
        <v>373</v>
      </c>
    </row>
    <row r="18" spans="1:3">
      <c r="A18" s="28">
        <v>1</v>
      </c>
      <c r="B18" s="597" t="s">
        <v>715</v>
      </c>
      <c r="C18" s="602" t="s">
        <v>739</v>
      </c>
    </row>
    <row r="19" spans="1:3">
      <c r="A19" s="28">
        <v>2</v>
      </c>
      <c r="B19" s="597" t="s">
        <v>745</v>
      </c>
      <c r="C19" s="602" t="s">
        <v>729</v>
      </c>
    </row>
    <row r="20" spans="1:3">
      <c r="A20" s="28">
        <v>3</v>
      </c>
      <c r="B20" s="597" t="s">
        <v>730</v>
      </c>
      <c r="C20" s="602" t="s">
        <v>731</v>
      </c>
    </row>
    <row r="21" spans="1:3">
      <c r="A21" s="28">
        <v>4</v>
      </c>
      <c r="B21" s="597" t="s">
        <v>732</v>
      </c>
      <c r="C21" s="602" t="s">
        <v>740</v>
      </c>
    </row>
    <row r="22" spans="1:3">
      <c r="A22" s="28">
        <v>5</v>
      </c>
      <c r="B22" s="597" t="s">
        <v>5</v>
      </c>
      <c r="C22" s="602"/>
    </row>
    <row r="23" spans="1:3">
      <c r="A23" s="28">
        <v>6</v>
      </c>
      <c r="B23" s="597"/>
      <c r="C23" s="602"/>
    </row>
    <row r="24" spans="1:3">
      <c r="A24" s="28">
        <v>7</v>
      </c>
      <c r="B24" s="597"/>
      <c r="C24" s="602"/>
    </row>
    <row r="25" spans="1:3">
      <c r="A25" s="28">
        <v>8</v>
      </c>
      <c r="B25" s="597"/>
      <c r="C25" s="602"/>
    </row>
    <row r="26" spans="1:3">
      <c r="A26" s="28">
        <v>9</v>
      </c>
      <c r="B26" s="597"/>
      <c r="C26" s="602"/>
    </row>
    <row r="27" spans="1:3" ht="15.75" customHeight="1">
      <c r="A27" s="28">
        <v>10</v>
      </c>
      <c r="B27" s="597"/>
      <c r="C27" s="603"/>
    </row>
    <row r="28" spans="1:3" ht="15.75" customHeight="1">
      <c r="A28" s="28"/>
      <c r="B28" s="597"/>
      <c r="C28" s="603"/>
    </row>
    <row r="29" spans="1:3" ht="30" customHeight="1">
      <c r="A29" s="28"/>
      <c r="B29" s="682" t="s">
        <v>45</v>
      </c>
      <c r="C29" s="683"/>
    </row>
    <row r="30" spans="1:3" ht="14.4">
      <c r="A30" s="28">
        <v>1</v>
      </c>
      <c r="B30" s="597" t="s">
        <v>737</v>
      </c>
      <c r="C30" s="607">
        <v>0.85058799707602339</v>
      </c>
    </row>
    <row r="31" spans="1:3" ht="15.75" customHeight="1">
      <c r="A31" s="28">
        <v>2</v>
      </c>
      <c r="B31" s="597" t="s">
        <v>738</v>
      </c>
      <c r="C31" s="607">
        <v>0.14941200292397661</v>
      </c>
    </row>
    <row r="32" spans="1:3" ht="29.25" customHeight="1">
      <c r="A32" s="28"/>
      <c r="B32" s="682" t="s">
        <v>46</v>
      </c>
      <c r="C32" s="683"/>
    </row>
    <row r="33" spans="1:3" ht="22.8" customHeight="1">
      <c r="A33" s="28">
        <v>1</v>
      </c>
      <c r="B33" s="597" t="s">
        <v>733</v>
      </c>
      <c r="C33" s="604">
        <v>0.18988394736842104</v>
      </c>
    </row>
    <row r="34" spans="1:3" ht="18.600000000000001" customHeight="1">
      <c r="A34" s="28">
        <v>2</v>
      </c>
      <c r="B34" s="597" t="s">
        <v>734</v>
      </c>
      <c r="C34" s="605">
        <v>0.35211520467836255</v>
      </c>
    </row>
    <row r="35" spans="1:3" ht="14.4">
      <c r="A35" s="28">
        <v>3</v>
      </c>
      <c r="B35" s="597" t="s">
        <v>735</v>
      </c>
      <c r="C35" s="605">
        <v>0.35211520467836255</v>
      </c>
    </row>
    <row r="36" spans="1:3" ht="15" thickBot="1">
      <c r="A36" s="30">
        <v>4</v>
      </c>
      <c r="B36" s="31" t="s">
        <v>736</v>
      </c>
      <c r="C36" s="606">
        <v>0.10588564327485381</v>
      </c>
    </row>
  </sheetData>
  <mergeCells count="2">
    <mergeCell ref="B32:C32"/>
    <mergeCell ref="B29:C29"/>
  </mergeCells>
  <dataValidations disablePrompts="1"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pageSetup paperSize="9" scale="4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70" zoomScaleNormal="70" workbookViewId="0">
      <pane xSplit="1" ySplit="5" topLeftCell="B6" activePane="bottomRight" state="frozen"/>
      <selection pane="topRight"/>
      <selection pane="bottomLeft"/>
      <selection pane="bottomRight"/>
    </sheetView>
  </sheetViews>
  <sheetFormatPr defaultColWidth="9.21875" defaultRowHeight="13.8"/>
  <cols>
    <col min="1" max="1" width="9.5546875" style="4" bestFit="1" customWidth="1"/>
    <col min="2" max="2" width="54.21875" style="4" customWidth="1"/>
    <col min="3" max="3" width="28" style="4" customWidth="1"/>
    <col min="4" max="4" width="22.44140625" style="4" customWidth="1"/>
    <col min="5" max="5" width="22.21875" style="4" customWidth="1"/>
    <col min="6" max="6" width="12" style="5" bestFit="1" customWidth="1"/>
    <col min="7" max="7" width="12.5546875" style="5" bestFit="1" customWidth="1"/>
    <col min="8" max="16384" width="9.21875" style="5"/>
  </cols>
  <sheetData>
    <row r="1" spans="1:5">
      <c r="A1" s="22" t="s">
        <v>31</v>
      </c>
      <c r="B1" s="3" t="str">
        <f>'Info '!C2</f>
        <v>JSC PASHA Bank Georgia</v>
      </c>
    </row>
    <row r="2" spans="1:5" s="2" customFormat="1" ht="15.75" customHeight="1">
      <c r="A2" s="22" t="s">
        <v>32</v>
      </c>
      <c r="B2" s="309">
        <f>'1. key ratios '!B2</f>
        <v>45291</v>
      </c>
    </row>
    <row r="3" spans="1:5" s="2" customFormat="1" ht="15.75" customHeight="1">
      <c r="A3" s="22"/>
    </row>
    <row r="4" spans="1:5" s="2" customFormat="1" ht="15.75" customHeight="1" thickBot="1">
      <c r="A4" s="187" t="s">
        <v>100</v>
      </c>
      <c r="B4" s="688" t="s">
        <v>226</v>
      </c>
      <c r="C4" s="689"/>
      <c r="D4" s="689"/>
      <c r="E4" s="689"/>
    </row>
    <row r="5" spans="1:5" s="35" customFormat="1" ht="17.55" customHeight="1">
      <c r="A5" s="134"/>
      <c r="B5" s="135"/>
      <c r="C5" s="33" t="s">
        <v>0</v>
      </c>
      <c r="D5" s="33" t="s">
        <v>1</v>
      </c>
      <c r="E5" s="34" t="s">
        <v>2</v>
      </c>
    </row>
    <row r="6" spans="1:5" ht="14.55" customHeight="1">
      <c r="A6" s="89"/>
      <c r="B6" s="684" t="s">
        <v>233</v>
      </c>
      <c r="C6" s="684" t="s">
        <v>661</v>
      </c>
      <c r="D6" s="686" t="s">
        <v>99</v>
      </c>
      <c r="E6" s="687"/>
    </row>
    <row r="7" spans="1:5" ht="99.6" customHeight="1">
      <c r="A7" s="89"/>
      <c r="B7" s="685"/>
      <c r="C7" s="684"/>
      <c r="D7" s="529" t="s">
        <v>98</v>
      </c>
      <c r="E7" s="221" t="s">
        <v>234</v>
      </c>
    </row>
    <row r="8" spans="1:5" ht="20.399999999999999">
      <c r="A8" s="501">
        <v>1</v>
      </c>
      <c r="B8" s="498" t="s">
        <v>562</v>
      </c>
      <c r="C8" s="525">
        <f>SUM(C9:C11)</f>
        <v>101575518.70719999</v>
      </c>
      <c r="D8" s="525">
        <f t="shared" ref="D8:E8" si="0">SUM(D9:D11)</f>
        <v>0</v>
      </c>
      <c r="E8" s="526">
        <f t="shared" si="0"/>
        <v>101575518.70719999</v>
      </c>
    </row>
    <row r="9" spans="1:5" ht="14.4">
      <c r="A9" s="501">
        <v>1.1000000000000001</v>
      </c>
      <c r="B9" s="350" t="s">
        <v>563</v>
      </c>
      <c r="C9" s="525">
        <v>2919174.8731000004</v>
      </c>
      <c r="D9" s="525"/>
      <c r="E9" s="526">
        <f>C9-D9</f>
        <v>2919174.8731000004</v>
      </c>
    </row>
    <row r="10" spans="1:5" ht="14.4">
      <c r="A10" s="501">
        <v>1.2</v>
      </c>
      <c r="B10" s="350" t="s">
        <v>564</v>
      </c>
      <c r="C10" s="525">
        <v>31226313.320999999</v>
      </c>
      <c r="D10" s="525"/>
      <c r="E10" s="526">
        <f>C10-D10</f>
        <v>31226313.320999999</v>
      </c>
    </row>
    <row r="11" spans="1:5" ht="14.4">
      <c r="A11" s="501">
        <v>1.3</v>
      </c>
      <c r="B11" s="350" t="s">
        <v>565</v>
      </c>
      <c r="C11" s="525">
        <v>67430030.513099998</v>
      </c>
      <c r="D11" s="525"/>
      <c r="E11" s="526">
        <f>C11-D11</f>
        <v>67430030.513099998</v>
      </c>
    </row>
    <row r="12" spans="1:5" ht="14.4">
      <c r="A12" s="501">
        <v>2</v>
      </c>
      <c r="B12" s="374" t="s">
        <v>566</v>
      </c>
      <c r="C12" s="525">
        <f>C13</f>
        <v>690915.74</v>
      </c>
      <c r="D12" s="525">
        <f>D13</f>
        <v>0</v>
      </c>
      <c r="E12" s="526">
        <f>E13</f>
        <v>690915.74</v>
      </c>
    </row>
    <row r="13" spans="1:5" ht="14.4">
      <c r="A13" s="501">
        <v>2.1</v>
      </c>
      <c r="B13" s="349" t="s">
        <v>567</v>
      </c>
      <c r="C13" s="525">
        <v>690915.74</v>
      </c>
      <c r="D13" s="525"/>
      <c r="E13" s="526">
        <f>C13-D13</f>
        <v>690915.74</v>
      </c>
    </row>
    <row r="14" spans="1:5" ht="20.399999999999999">
      <c r="A14" s="501">
        <v>3</v>
      </c>
      <c r="B14" s="494" t="s">
        <v>568</v>
      </c>
      <c r="C14" s="525"/>
      <c r="D14" s="525"/>
      <c r="E14" s="526"/>
    </row>
    <row r="15" spans="1:5" ht="14.4">
      <c r="A15" s="501">
        <v>4</v>
      </c>
      <c r="B15" s="355" t="s">
        <v>569</v>
      </c>
      <c r="C15" s="525"/>
      <c r="D15" s="525"/>
      <c r="E15" s="526"/>
    </row>
    <row r="16" spans="1:5" ht="20.399999999999999">
      <c r="A16" s="501">
        <v>5</v>
      </c>
      <c r="B16" s="352" t="s">
        <v>570</v>
      </c>
      <c r="C16" s="525">
        <f>SUM(C17:C19)</f>
        <v>0</v>
      </c>
      <c r="D16" s="525">
        <f t="shared" ref="D16:E16" si="1">SUM(D17:D19)</f>
        <v>0</v>
      </c>
      <c r="E16" s="526">
        <f t="shared" si="1"/>
        <v>0</v>
      </c>
    </row>
    <row r="17" spans="1:5" ht="14.4">
      <c r="A17" s="501">
        <v>5.0999999999999996</v>
      </c>
      <c r="B17" s="495" t="s">
        <v>571</v>
      </c>
      <c r="C17" s="525"/>
      <c r="D17" s="525"/>
      <c r="E17" s="526"/>
    </row>
    <row r="18" spans="1:5" ht="14.4">
      <c r="A18" s="501">
        <v>5.2</v>
      </c>
      <c r="B18" s="495" t="s">
        <v>572</v>
      </c>
      <c r="C18" s="525"/>
      <c r="D18" s="525"/>
      <c r="E18" s="526"/>
    </row>
    <row r="19" spans="1:5" ht="14.4">
      <c r="A19" s="501">
        <v>5.3</v>
      </c>
      <c r="B19" s="375" t="s">
        <v>573</v>
      </c>
      <c r="C19" s="525"/>
      <c r="D19" s="525"/>
      <c r="E19" s="526"/>
    </row>
    <row r="20" spans="1:5" ht="14.4">
      <c r="A20" s="501">
        <v>6</v>
      </c>
      <c r="B20" s="494" t="s">
        <v>574</v>
      </c>
      <c r="C20" s="525">
        <f>SUM(C21:C22)</f>
        <v>401336512.84969991</v>
      </c>
      <c r="D20" s="525">
        <f t="shared" ref="D20:E20" si="2">SUM(D21:D22)</f>
        <v>0</v>
      </c>
      <c r="E20" s="526">
        <f t="shared" si="2"/>
        <v>401336512.84969991</v>
      </c>
    </row>
    <row r="21" spans="1:5" ht="14.4">
      <c r="A21" s="501">
        <v>6.1</v>
      </c>
      <c r="B21" s="495" t="s">
        <v>572</v>
      </c>
      <c r="C21" s="527">
        <v>65230020.842900001</v>
      </c>
      <c r="D21" s="527"/>
      <c r="E21" s="526">
        <f>C21-D21</f>
        <v>65230020.842900001</v>
      </c>
    </row>
    <row r="22" spans="1:5" ht="14.4">
      <c r="A22" s="501">
        <v>6.2</v>
      </c>
      <c r="B22" s="375" t="s">
        <v>573</v>
      </c>
      <c r="C22" s="527">
        <v>336106492.00679994</v>
      </c>
      <c r="D22" s="527"/>
      <c r="E22" s="526">
        <f>C22-D22</f>
        <v>336106492.00679994</v>
      </c>
    </row>
    <row r="23" spans="1:5" ht="14.4">
      <c r="A23" s="501">
        <v>7</v>
      </c>
      <c r="B23" s="374" t="s">
        <v>575</v>
      </c>
      <c r="C23" s="527">
        <v>0</v>
      </c>
      <c r="D23" s="527"/>
      <c r="E23" s="528">
        <f>C23-D23</f>
        <v>0</v>
      </c>
    </row>
    <row r="24" spans="1:5" ht="20.399999999999999">
      <c r="A24" s="501">
        <v>8</v>
      </c>
      <c r="B24" s="374" t="s">
        <v>576</v>
      </c>
      <c r="C24" s="527">
        <v>11631520.42</v>
      </c>
      <c r="D24" s="527"/>
      <c r="E24" s="526">
        <f>C24-D24</f>
        <v>11631520.42</v>
      </c>
    </row>
    <row r="25" spans="1:5" ht="14.4">
      <c r="A25" s="501">
        <v>9</v>
      </c>
      <c r="B25" s="355" t="s">
        <v>577</v>
      </c>
      <c r="C25" s="527">
        <f>SUM(C26:C27)</f>
        <v>9048070.0600000005</v>
      </c>
      <c r="D25" s="527">
        <f t="shared" ref="D25:E25" si="3">SUM(D26:D27)</f>
        <v>0</v>
      </c>
      <c r="E25" s="528">
        <f t="shared" si="3"/>
        <v>9048070.0600000005</v>
      </c>
    </row>
    <row r="26" spans="1:5" ht="14.4">
      <c r="A26" s="501">
        <v>9.1</v>
      </c>
      <c r="B26" s="495" t="s">
        <v>578</v>
      </c>
      <c r="C26" s="527">
        <v>4969672.78</v>
      </c>
      <c r="D26" s="527"/>
      <c r="E26" s="526">
        <f>C26-D26</f>
        <v>4969672.78</v>
      </c>
    </row>
    <row r="27" spans="1:5" ht="14.4">
      <c r="A27" s="501">
        <v>9.1999999999999993</v>
      </c>
      <c r="B27" s="495" t="s">
        <v>579</v>
      </c>
      <c r="C27" s="527">
        <v>4078397.28</v>
      </c>
      <c r="D27" s="527"/>
      <c r="E27" s="528">
        <f>C27-D27</f>
        <v>4078397.28</v>
      </c>
    </row>
    <row r="28" spans="1:5" ht="14.4">
      <c r="A28" s="501">
        <v>10</v>
      </c>
      <c r="B28" s="355" t="s">
        <v>580</v>
      </c>
      <c r="C28" s="527">
        <f>SUM(C29:C30)</f>
        <v>4894841.96</v>
      </c>
      <c r="D28" s="527">
        <f t="shared" ref="D28:E28" si="4">SUM(D29:D30)</f>
        <v>4894841.96</v>
      </c>
      <c r="E28" s="528">
        <f t="shared" si="4"/>
        <v>0</v>
      </c>
    </row>
    <row r="29" spans="1:5" ht="14.4">
      <c r="A29" s="501">
        <v>10.1</v>
      </c>
      <c r="B29" s="495" t="s">
        <v>581</v>
      </c>
      <c r="C29" s="527"/>
      <c r="D29" s="527"/>
      <c r="E29" s="528"/>
    </row>
    <row r="30" spans="1:5" ht="14.4">
      <c r="A30" s="501">
        <v>10.199999999999999</v>
      </c>
      <c r="B30" s="495" t="s">
        <v>582</v>
      </c>
      <c r="C30" s="527">
        <v>4894841.96</v>
      </c>
      <c r="D30" s="527">
        <v>4894841.96</v>
      </c>
      <c r="E30" s="526">
        <f>C30-D30</f>
        <v>0</v>
      </c>
    </row>
    <row r="31" spans="1:5" ht="14.4">
      <c r="A31" s="501">
        <v>11</v>
      </c>
      <c r="B31" s="355" t="s">
        <v>583</v>
      </c>
      <c r="C31" s="527">
        <f>SUM(C32:C33)</f>
        <v>0</v>
      </c>
      <c r="D31" s="527">
        <f t="shared" ref="D31:E31" si="5">SUM(D32:D33)</f>
        <v>0</v>
      </c>
      <c r="E31" s="528">
        <f t="shared" si="5"/>
        <v>0</v>
      </c>
    </row>
    <row r="32" spans="1:5" ht="14.4">
      <c r="A32" s="501">
        <v>11.1</v>
      </c>
      <c r="B32" s="495" t="s">
        <v>584</v>
      </c>
      <c r="C32" s="527"/>
      <c r="D32" s="527"/>
      <c r="E32" s="528"/>
    </row>
    <row r="33" spans="1:7" ht="14.4">
      <c r="A33" s="501">
        <v>11.2</v>
      </c>
      <c r="B33" s="495" t="s">
        <v>585</v>
      </c>
      <c r="C33" s="527"/>
      <c r="D33" s="527"/>
      <c r="E33" s="528"/>
    </row>
    <row r="34" spans="1:7" ht="14.4">
      <c r="A34" s="501">
        <v>13</v>
      </c>
      <c r="B34" s="355" t="s">
        <v>586</v>
      </c>
      <c r="C34" s="527">
        <v>5531631.4583999999</v>
      </c>
      <c r="D34" s="527"/>
      <c r="E34" s="526">
        <f>C34-D34</f>
        <v>5531631.4583999999</v>
      </c>
    </row>
    <row r="35" spans="1:7" ht="14.4">
      <c r="A35" s="501">
        <v>13.1</v>
      </c>
      <c r="B35" s="496" t="s">
        <v>587</v>
      </c>
      <c r="C35" s="527"/>
      <c r="D35" s="527"/>
      <c r="E35" s="528"/>
    </row>
    <row r="36" spans="1:7" ht="14.4">
      <c r="A36" s="501">
        <v>13.2</v>
      </c>
      <c r="B36" s="496" t="s">
        <v>588</v>
      </c>
      <c r="C36" s="527"/>
      <c r="D36" s="527"/>
      <c r="E36" s="528"/>
    </row>
    <row r="37" spans="1:7" ht="27" thickBot="1">
      <c r="A37" s="92"/>
      <c r="B37" s="188" t="s">
        <v>235</v>
      </c>
      <c r="C37" s="136">
        <f>SUM(C8,C12,C14,C15,C16,C20,C23,C24,C25,C28,C31,C34)</f>
        <v>534709011.19529992</v>
      </c>
      <c r="D37" s="136">
        <f t="shared" ref="D37:E37" si="6">SUM(D8,D12,D14,D15,D16,D20,D23,D24,D25,D28,D31,D34)</f>
        <v>4894841.96</v>
      </c>
      <c r="E37" s="530">
        <f t="shared" si="6"/>
        <v>529814169.23529994</v>
      </c>
    </row>
    <row r="38" spans="1:7">
      <c r="A38" s="5"/>
      <c r="B38" s="5"/>
      <c r="C38" s="5"/>
      <c r="D38" s="5"/>
      <c r="E38" s="5"/>
    </row>
    <row r="39" spans="1:7">
      <c r="A39" s="5"/>
      <c r="B39" s="5"/>
      <c r="C39" s="5"/>
      <c r="D39" s="5"/>
      <c r="E39" s="5"/>
    </row>
    <row r="41" spans="1:7" s="4" customFormat="1">
      <c r="B41" s="37"/>
      <c r="F41" s="5"/>
      <c r="G41" s="5"/>
    </row>
    <row r="42" spans="1:7" s="4" customFormat="1">
      <c r="B42" s="37"/>
      <c r="F42" s="5"/>
      <c r="G42" s="5"/>
    </row>
    <row r="43" spans="1:7" s="4" customFormat="1">
      <c r="B43" s="37"/>
      <c r="F43" s="5"/>
      <c r="G43" s="5"/>
    </row>
    <row r="44" spans="1:7" s="4" customFormat="1">
      <c r="B44" s="37"/>
      <c r="F44" s="5"/>
      <c r="G44" s="5"/>
    </row>
    <row r="45" spans="1:7" s="4" customFormat="1">
      <c r="B45" s="37"/>
      <c r="F45" s="5"/>
      <c r="G45" s="5"/>
    </row>
    <row r="46" spans="1:7" s="4" customFormat="1">
      <c r="B46" s="37"/>
      <c r="F46" s="5"/>
      <c r="G46" s="5"/>
    </row>
    <row r="47" spans="1:7" s="4" customFormat="1">
      <c r="B47" s="37"/>
      <c r="F47" s="5"/>
      <c r="G47" s="5"/>
    </row>
    <row r="48" spans="1:7" s="4" customFormat="1">
      <c r="B48" s="37"/>
      <c r="F48" s="5"/>
      <c r="G48" s="5"/>
    </row>
    <row r="49" spans="2:7" s="4" customFormat="1">
      <c r="B49" s="37"/>
      <c r="F49" s="5"/>
      <c r="G49" s="5"/>
    </row>
    <row r="50" spans="2:7" s="4" customFormat="1">
      <c r="B50" s="37"/>
      <c r="F50" s="5"/>
      <c r="G50" s="5"/>
    </row>
    <row r="51" spans="2:7" s="4" customFormat="1">
      <c r="B51" s="37"/>
      <c r="F51" s="5"/>
      <c r="G51" s="5"/>
    </row>
    <row r="52" spans="2:7" s="4" customFormat="1">
      <c r="B52" s="37"/>
      <c r="F52" s="5"/>
      <c r="G52" s="5"/>
    </row>
    <row r="53" spans="2:7" s="4" customFormat="1">
      <c r="B53" s="37"/>
      <c r="F53" s="5"/>
      <c r="G53" s="5"/>
    </row>
  </sheetData>
  <mergeCells count="4">
    <mergeCell ref="B6:B7"/>
    <mergeCell ref="C6:C7"/>
    <mergeCell ref="D6:E6"/>
    <mergeCell ref="B4:E4"/>
  </mergeCells>
  <pageMargins left="0.7" right="0.7" top="0.75" bottom="0.75" header="0.3" footer="0.3"/>
  <pageSetup paperSize="9"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pane="topRight"/>
      <selection pane="bottomLeft"/>
      <selection pane="bottomRight"/>
    </sheetView>
  </sheetViews>
  <sheetFormatPr defaultColWidth="9.21875" defaultRowHeight="13.2" outlineLevelRow="1"/>
  <cols>
    <col min="1" max="1" width="9.5546875" style="4" bestFit="1" customWidth="1"/>
    <col min="2" max="2" width="114.21875" style="4" customWidth="1"/>
    <col min="3" max="3" width="18.77734375" style="4" customWidth="1"/>
    <col min="4" max="4" width="25.44140625" style="4" customWidth="1"/>
    <col min="5" max="5" width="24.21875" style="4" customWidth="1"/>
    <col min="6" max="6" width="24" style="4" customWidth="1"/>
    <col min="7" max="7" width="10" style="4" bestFit="1" customWidth="1"/>
    <col min="8" max="8" width="12" style="4" bestFit="1" customWidth="1"/>
    <col min="9" max="9" width="12.5546875" style="4" bestFit="1" customWidth="1"/>
    <col min="10" max="16384" width="9.21875" style="4"/>
  </cols>
  <sheetData>
    <row r="1" spans="1:6">
      <c r="A1" s="2" t="s">
        <v>31</v>
      </c>
      <c r="B1" s="3" t="str">
        <f>'Info '!C2</f>
        <v>JSC PASHA Bank Georgia</v>
      </c>
    </row>
    <row r="2" spans="1:6" s="2" customFormat="1" ht="15.75" customHeight="1">
      <c r="A2" s="2" t="s">
        <v>32</v>
      </c>
      <c r="B2" s="309">
        <f>'1. key ratios '!B2</f>
        <v>45291</v>
      </c>
      <c r="C2" s="4"/>
      <c r="D2" s="4"/>
      <c r="E2" s="4"/>
      <c r="F2" s="4"/>
    </row>
    <row r="3" spans="1:6" s="2" customFormat="1" ht="15.75" customHeight="1">
      <c r="C3" s="4"/>
      <c r="D3" s="4"/>
      <c r="E3" s="4"/>
      <c r="F3" s="4"/>
    </row>
    <row r="4" spans="1:6" s="2" customFormat="1" ht="13.8" thickBot="1">
      <c r="A4" s="2" t="s">
        <v>47</v>
      </c>
      <c r="B4" s="189" t="s">
        <v>555</v>
      </c>
      <c r="C4" s="32" t="s">
        <v>36</v>
      </c>
      <c r="D4" s="4"/>
      <c r="E4" s="4"/>
      <c r="F4" s="4"/>
    </row>
    <row r="5" spans="1:6">
      <c r="A5" s="140">
        <v>1</v>
      </c>
      <c r="B5" s="190" t="s">
        <v>557</v>
      </c>
      <c r="C5" s="141">
        <f>'7. LI1 '!E37</f>
        <v>529814169.23529994</v>
      </c>
    </row>
    <row r="6" spans="1:6">
      <c r="A6" s="38">
        <v>2.1</v>
      </c>
      <c r="B6" s="90" t="s">
        <v>215</v>
      </c>
      <c r="C6" s="81">
        <v>183552119</v>
      </c>
    </row>
    <row r="7" spans="1:6" s="23" customFormat="1" outlineLevel="1">
      <c r="A7" s="17">
        <v>2.2000000000000002</v>
      </c>
      <c r="B7" s="18" t="s">
        <v>216</v>
      </c>
      <c r="C7" s="142">
        <v>106534568</v>
      </c>
    </row>
    <row r="8" spans="1:6" s="23" customFormat="1">
      <c r="A8" s="17">
        <v>3</v>
      </c>
      <c r="B8" s="138" t="s">
        <v>556</v>
      </c>
      <c r="C8" s="143">
        <f>SUM(C5:C7)</f>
        <v>819900856.23529994</v>
      </c>
    </row>
    <row r="9" spans="1:6">
      <c r="A9" s="38">
        <v>4</v>
      </c>
      <c r="B9" s="39" t="s">
        <v>49</v>
      </c>
      <c r="C9" s="81"/>
    </row>
    <row r="10" spans="1:6" s="23" customFormat="1" outlineLevel="1">
      <c r="A10" s="17">
        <v>5.0999999999999996</v>
      </c>
      <c r="B10" s="18" t="s">
        <v>217</v>
      </c>
      <c r="C10" s="142">
        <v>-125707933</v>
      </c>
    </row>
    <row r="11" spans="1:6" s="23" customFormat="1" outlineLevel="1">
      <c r="A11" s="17">
        <v>5.2</v>
      </c>
      <c r="B11" s="18" t="s">
        <v>218</v>
      </c>
      <c r="C11" s="142">
        <v>-104403877</v>
      </c>
    </row>
    <row r="12" spans="1:6" s="23" customFormat="1">
      <c r="A12" s="17">
        <v>6</v>
      </c>
      <c r="B12" s="137" t="s">
        <v>360</v>
      </c>
      <c r="C12" s="142"/>
    </row>
    <row r="13" spans="1:6" s="23" customFormat="1" ht="13.8" thickBot="1">
      <c r="A13" s="19">
        <v>7</v>
      </c>
      <c r="B13" s="139" t="s">
        <v>178</v>
      </c>
      <c r="C13" s="144">
        <f>SUM(C8:C12)</f>
        <v>589789046.23529994</v>
      </c>
    </row>
    <row r="15" spans="1:6" ht="26.4">
      <c r="B15" s="23" t="s">
        <v>361</v>
      </c>
    </row>
    <row r="17" spans="1:2" ht="13.8">
      <c r="A17" s="151"/>
      <c r="B17" s="152"/>
    </row>
    <row r="18" spans="1:2" ht="14.4">
      <c r="A18" s="156"/>
      <c r="B18" s="157"/>
    </row>
    <row r="19" spans="1:2" ht="13.8">
      <c r="A19" s="158"/>
      <c r="B19" s="153"/>
    </row>
    <row r="20" spans="1:2" ht="13.8">
      <c r="A20" s="159"/>
      <c r="B20" s="154"/>
    </row>
    <row r="21" spans="1:2" ht="13.8">
      <c r="A21" s="159"/>
      <c r="B21" s="157"/>
    </row>
    <row r="22" spans="1:2" ht="13.8">
      <c r="A22" s="158"/>
      <c r="B22" s="155"/>
    </row>
    <row r="23" spans="1:2" ht="13.8">
      <c r="A23" s="159"/>
      <c r="B23" s="154"/>
    </row>
    <row r="24" spans="1:2" ht="13.8">
      <c r="A24" s="159"/>
      <c r="B24" s="154"/>
    </row>
    <row r="25" spans="1:2" ht="13.8">
      <c r="A25" s="159"/>
      <c r="B25" s="160"/>
    </row>
    <row r="26" spans="1:2" ht="13.8">
      <c r="A26" s="159"/>
      <c r="B26" s="157"/>
    </row>
    <row r="27" spans="1:2">
      <c r="B27" s="37"/>
    </row>
    <row r="28" spans="1:2">
      <c r="B28" s="37"/>
    </row>
    <row r="29" spans="1:2">
      <c r="B29" s="37"/>
    </row>
    <row r="30" spans="1:2">
      <c r="B30" s="37"/>
    </row>
    <row r="31" spans="1:2">
      <c r="B31" s="37"/>
    </row>
    <row r="32" spans="1:2">
      <c r="B32" s="37"/>
    </row>
    <row r="33" spans="2:2">
      <c r="B33" s="37"/>
    </row>
  </sheetData>
  <pageMargins left="0.7" right="0.7" top="0.75" bottom="0.75" header="0.3" footer="0.3"/>
  <pageSetup paperSize="9" scale="46"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U0fesEFM1DkF/WnJ0zizM8AOM12cxm7uKpHILZ5YQKo=</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TkeFMqZ0K994fpXdH0QMRbo4yacLJN7eKSJaeZ5AE0g=</DigestValue>
    </Reference>
  </SignedInfo>
  <SignatureValue>GpbIw6s8+sDhXu8K1ggLNVl1hjFhAzwvIeR4CYw5bMeaVE7oCZkevHRNaJqQqDxkXOIV/wnA6bcP
yavYb3N5yECwpBvRHtBY9Qdqs3dYGbFtGYuIfkILdys9/GTnf/SWn72W142V2gcz7nwJJ33rJMbw
nLlg0LlQdN1mTVIDUpgaW6diaaChtOxuOQFEMpbBHd8m0FmZ5UzZwlwIMBIr4I7OWKjxaxn2AcA/
j6+ylwOLcMa0FnwpnWAm8z+llPUejbEWR7DuFRnagQOlmY8XCYPbcKv0PsWAYKFjw8r9NFCUsaWt
ShCl2DU1hXTk0Q4bOX9Hg8sjtCsZo//QIJoTsw==</SignatureValue>
  <KeyInfo>
    <X509Data>
      <X509Certificate>MIIGRDCCBSygAwIBAgIKOR1q0AADAAIU9jANBgkqhkiG9w0BAQsFADBKMRIwEAYKCZImiZPyLGQBGRYCZ2UxEzARBgoJkiaJk/IsZAEZFgNuYmcxHzAdBgNVBAMTFk5CRyBDbGFzcyAyIElOVCBTdWIgQ0EwHhcNMjIwNTEwMTIyOTE5WhcNMjQwNTA5MTIyOTE5WjBCMR8wHQYDVQQKExZKU0MgUGFzaGEgQmFuayBHZW9yZ2lhMR8wHQYDVQQDExZCUEIgLSBMZWxhIEdvZ2lhc2h2aWxpMIIBIjANBgkqhkiG9w0BAQEFAAOCAQ8AMIIBCgKCAQEA0ddczz12HceaHg0KDFduu5pEaRvWaOgOCwdGO5L+fFzmRdp03FY11crIhXvvHRrwCKf+EKhhZ2QfTJbMxchRBgPCvfLh+RGnAYDqaUhRpALjhMX3+rIumvgyHsoUQ2U1YOjlCJQGAQmT4ssymvfuoslcicRNJ7kbibSeksmAN3u/Gr4FSteZBK1zm3JBF5h83oYC2S+EPEEp+nbhR6A2TljdP85Jnyr2fd4vqLuvbS4e9t/O/j4R7mfvRhzYj3/mMKExEMsTHU+hD+d0CMFm/OtSCUtSMxAPavOjzMRaINLSj5oYKsVGqW92AkL0P4AAcF+CiFbTgYtkZSW0qcfQxQIDAQABo4IDMjCCAy4wPAYJKwYBBAGCNxUHBC8wLQYlKwYBBAGCNxUI5rJgg431RIaBmQmDuKFKg76EcQSDxJEzhIOIXQIBZAIBIzAdBgNVHSUEFjAUBggrBgEFBQcDAgYIKwYBBQUHAwQwCwYDVR0PBAQDAgeAMCcGCSsGAQQBgjcVCgQaMBgwCgYIKwYBBQUHAwIwCgYIKwYBBQUHAwQwHQYDVR0OBBYEFFVBokIxsg8lEBxj8lzlz05tnfPr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T+74PsHBj8lcaDmAovHaedEeJ/Kg0VtdFGeCVBq7R055LaYs7hlZveO8CAQvCFCmWwyYzYSppmIfKB5pXmOUs0i5hMgqiKwEHJbzyJlVQw71gz2rwcc6KR9j/FqQ+gsB7HAbdX+05Rgywq2Jx72DaZcKCcJ9FRd8XYt9xSwhSvScGp8tKVza/Yq+hhfw0AAaUClX1qcnrf0WdKZmEXYQoDBahO+ewsuN4aIuPRCXedsT4APKKnEhtt85yLXiapLTpMHKpyrJXjwtKPkyAnr1+51VyX3cEqBgYzmk4mGD9Lp6K85h0mW8oGIb8UJxj7lnetQSBjQd3VskIMCm1iIE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9FMPiJk2tYP0bY2tZ2fXKikVcw5OiLnSze6fhK81dQc=</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xOveWHm41S1Um5h7OC8or36MOOgIGvJePpzLMokXKHE=</DigestValue>
      </Reference>
      <Reference URI="/xl/printerSettings/printerSettings10.bin?ContentType=application/vnd.openxmlformats-officedocument.spreadsheetml.printerSettings">
        <DigestMethod Algorithm="http://www.w3.org/2001/04/xmlenc#sha256"/>
        <DigestValue>qmHNoez3+2z1eZqgvieIhWNcGO6DBUsKFl23U1yG11g=</DigestValue>
      </Reference>
      <Reference URI="/xl/printerSettings/printerSettings11.bin?ContentType=application/vnd.openxmlformats-officedocument.spreadsheetml.printerSettings">
        <DigestMethod Algorithm="http://www.w3.org/2001/04/xmlenc#sha256"/>
        <DigestValue>qmHNoez3+2z1eZqgvieIhWNcGO6DBUsKFl23U1yG11g=</DigestValue>
      </Reference>
      <Reference URI="/xl/printerSettings/printerSettings12.bin?ContentType=application/vnd.openxmlformats-officedocument.spreadsheetml.printerSettings">
        <DigestMethod Algorithm="http://www.w3.org/2001/04/xmlenc#sha256"/>
        <DigestValue>qmHNoez3+2z1eZqgvieIhWNcGO6DBUsKFl23U1yG11g=</DigestValue>
      </Reference>
      <Reference URI="/xl/printerSettings/printerSettings13.bin?ContentType=application/vnd.openxmlformats-officedocument.spreadsheetml.printerSettings">
        <DigestMethod Algorithm="http://www.w3.org/2001/04/xmlenc#sha256"/>
        <DigestValue>qmHNoez3+2z1eZqgvieIhWNcGO6DBUsKFl23U1yG11g=</DigestValue>
      </Reference>
      <Reference URI="/xl/printerSettings/printerSettings14.bin?ContentType=application/vnd.openxmlformats-officedocument.spreadsheetml.printerSettings">
        <DigestMethod Algorithm="http://www.w3.org/2001/04/xmlenc#sha256"/>
        <DigestValue>qmHNoez3+2z1eZqgvieIhWNcGO6DBUsKFl23U1yG11g=</DigestValue>
      </Reference>
      <Reference URI="/xl/printerSettings/printerSettings15.bin?ContentType=application/vnd.openxmlformats-officedocument.spreadsheetml.printerSettings">
        <DigestMethod Algorithm="http://www.w3.org/2001/04/xmlenc#sha256"/>
        <DigestValue>qmHNoez3+2z1eZqgvieIhWNcGO6DBUsKFl23U1yG11g=</DigestValue>
      </Reference>
      <Reference URI="/xl/printerSettings/printerSettings16.bin?ContentType=application/vnd.openxmlformats-officedocument.spreadsheetml.printerSettings">
        <DigestMethod Algorithm="http://www.w3.org/2001/04/xmlenc#sha256"/>
        <DigestValue>qmHNoez3+2z1eZqgvieIhWNcGO6DBUsKFl23U1yG11g=</DigestValue>
      </Reference>
      <Reference URI="/xl/printerSettings/printerSettings17.bin?ContentType=application/vnd.openxmlformats-officedocument.spreadsheetml.printerSettings">
        <DigestMethod Algorithm="http://www.w3.org/2001/04/xmlenc#sha256"/>
        <DigestValue>qmHNoez3+2z1eZqgvieIhWNcGO6DBUsKFl23U1yG11g=</DigestValue>
      </Reference>
      <Reference URI="/xl/printerSettings/printerSettings18.bin?ContentType=application/vnd.openxmlformats-officedocument.spreadsheetml.printerSettings">
        <DigestMethod Algorithm="http://www.w3.org/2001/04/xmlenc#sha256"/>
        <DigestValue>qmHNoez3+2z1eZqgvieIhWNcGO6DBUsKFl23U1yG11g=</DigestValue>
      </Reference>
      <Reference URI="/xl/printerSettings/printerSettings19.bin?ContentType=application/vnd.openxmlformats-officedocument.spreadsheetml.printerSettings">
        <DigestMethod Algorithm="http://www.w3.org/2001/04/xmlenc#sha256"/>
        <DigestValue>qmHNoez3+2z1eZqgvieIhWNcGO6DBUsKFl23U1yG11g=</DigestValue>
      </Reference>
      <Reference URI="/xl/printerSettings/printerSettings2.bin?ContentType=application/vnd.openxmlformats-officedocument.spreadsheetml.printerSettings">
        <DigestMethod Algorithm="http://www.w3.org/2001/04/xmlenc#sha256"/>
        <DigestValue>qmHNoez3+2z1eZqgvieIhWNcGO6DBUsKFl23U1yG11g=</DigestValue>
      </Reference>
      <Reference URI="/xl/printerSettings/printerSettings20.bin?ContentType=application/vnd.openxmlformats-officedocument.spreadsheetml.printerSettings">
        <DigestMethod Algorithm="http://www.w3.org/2001/04/xmlenc#sha256"/>
        <DigestValue>xOveWHm41S1Um5h7OC8or36MOOgIGvJePpzLMokXKHE=</DigestValue>
      </Reference>
      <Reference URI="/xl/printerSettings/printerSettings21.bin?ContentType=application/vnd.openxmlformats-officedocument.spreadsheetml.printerSettings">
        <DigestMethod Algorithm="http://www.w3.org/2001/04/xmlenc#sha256"/>
        <DigestValue>qmHNoez3+2z1eZqgvieIhWNcGO6DBUsKFl23U1yG11g=</DigestValue>
      </Reference>
      <Reference URI="/xl/printerSettings/printerSettings22.bin?ContentType=application/vnd.openxmlformats-officedocument.spreadsheetml.printerSettings">
        <DigestMethod Algorithm="http://www.w3.org/2001/04/xmlenc#sha256"/>
        <DigestValue>qmHNoez3+2z1eZqgvieIhWNcGO6DBUsKFl23U1yG11g=</DigestValue>
      </Reference>
      <Reference URI="/xl/printerSettings/printerSettings23.bin?ContentType=application/vnd.openxmlformats-officedocument.spreadsheetml.printerSettings">
        <DigestMethod Algorithm="http://www.w3.org/2001/04/xmlenc#sha256"/>
        <DigestValue>qmHNoez3+2z1eZqgvieIhWNcGO6DBUsKFl23U1yG11g=</DigestValue>
      </Reference>
      <Reference URI="/xl/printerSettings/printerSettings24.bin?ContentType=application/vnd.openxmlformats-officedocument.spreadsheetml.printerSettings">
        <DigestMethod Algorithm="http://www.w3.org/2001/04/xmlenc#sha256"/>
        <DigestValue>qmHNoez3+2z1eZqgvieIhWNcGO6DBUsKFl23U1yG11g=</DigestValue>
      </Reference>
      <Reference URI="/xl/printerSettings/printerSettings25.bin?ContentType=application/vnd.openxmlformats-officedocument.spreadsheetml.printerSettings">
        <DigestMethod Algorithm="http://www.w3.org/2001/04/xmlenc#sha256"/>
        <DigestValue>qmHNoez3+2z1eZqgvieIhWNcGO6DBUsKFl23U1yG11g=</DigestValue>
      </Reference>
      <Reference URI="/xl/printerSettings/printerSettings26.bin?ContentType=application/vnd.openxmlformats-officedocument.spreadsheetml.printerSettings">
        <DigestMethod Algorithm="http://www.w3.org/2001/04/xmlenc#sha256"/>
        <DigestValue>qmHNoez3+2z1eZqgvieIhWNcGO6DBUsKFl23U1yG11g=</DigestValue>
      </Reference>
      <Reference URI="/xl/printerSettings/printerSettings27.bin?ContentType=application/vnd.openxmlformats-officedocument.spreadsheetml.printerSettings">
        <DigestMethod Algorithm="http://www.w3.org/2001/04/xmlenc#sha256"/>
        <DigestValue>qmHNoez3+2z1eZqgvieIhWNcGO6DBUsKFl23U1yG11g=</DigestValue>
      </Reference>
      <Reference URI="/xl/printerSettings/printerSettings28.bin?ContentType=application/vnd.openxmlformats-officedocument.spreadsheetml.printerSettings">
        <DigestMethod Algorithm="http://www.w3.org/2001/04/xmlenc#sha256"/>
        <DigestValue>qmHNoez3+2z1eZqgvieIhWNcGO6DBUsKFl23U1yG11g=</DigestValue>
      </Reference>
      <Reference URI="/xl/printerSettings/printerSettings29.bin?ContentType=application/vnd.openxmlformats-officedocument.spreadsheetml.printerSettings">
        <DigestMethod Algorithm="http://www.w3.org/2001/04/xmlenc#sha256"/>
        <DigestValue>qmHNoez3+2z1eZqgvieIhWNcGO6DBUsKFl23U1yG11g=</DigestValue>
      </Reference>
      <Reference URI="/xl/printerSettings/printerSettings3.bin?ContentType=application/vnd.openxmlformats-officedocument.spreadsheetml.printerSettings">
        <DigestMethod Algorithm="http://www.w3.org/2001/04/xmlenc#sha256"/>
        <DigestValue>qmHNoez3+2z1eZqgvieIhWNcGO6DBUsKFl23U1yG11g=</DigestValue>
      </Reference>
      <Reference URI="/xl/printerSettings/printerSettings4.bin?ContentType=application/vnd.openxmlformats-officedocument.spreadsheetml.printerSettings">
        <DigestMethod Algorithm="http://www.w3.org/2001/04/xmlenc#sha256"/>
        <DigestValue>qmHNoez3+2z1eZqgvieIhWNcGO6DBUsKFl23U1yG11g=</DigestValue>
      </Reference>
      <Reference URI="/xl/printerSettings/printerSettings5.bin?ContentType=application/vnd.openxmlformats-officedocument.spreadsheetml.printerSettings">
        <DigestMethod Algorithm="http://www.w3.org/2001/04/xmlenc#sha256"/>
        <DigestValue>qmHNoez3+2z1eZqgvieIhWNcGO6DBUsKFl23U1yG11g=</DigestValue>
      </Reference>
      <Reference URI="/xl/printerSettings/printerSettings6.bin?ContentType=application/vnd.openxmlformats-officedocument.spreadsheetml.printerSettings">
        <DigestMethod Algorithm="http://www.w3.org/2001/04/xmlenc#sha256"/>
        <DigestValue>qmHNoez3+2z1eZqgvieIhWNcGO6DBUsKFl23U1yG11g=</DigestValue>
      </Reference>
      <Reference URI="/xl/printerSettings/printerSettings7.bin?ContentType=application/vnd.openxmlformats-officedocument.spreadsheetml.printerSettings">
        <DigestMethod Algorithm="http://www.w3.org/2001/04/xmlenc#sha256"/>
        <DigestValue>qmHNoez3+2z1eZqgvieIhWNcGO6DBUsKFl23U1yG11g=</DigestValue>
      </Reference>
      <Reference URI="/xl/printerSettings/printerSettings8.bin?ContentType=application/vnd.openxmlformats-officedocument.spreadsheetml.printerSettings">
        <DigestMethod Algorithm="http://www.w3.org/2001/04/xmlenc#sha256"/>
        <DigestValue>qmHNoez3+2z1eZqgvieIhWNcGO6DBUsKFl23U1yG11g=</DigestValue>
      </Reference>
      <Reference URI="/xl/printerSettings/printerSettings9.bin?ContentType=application/vnd.openxmlformats-officedocument.spreadsheetml.printerSettings">
        <DigestMethod Algorithm="http://www.w3.org/2001/04/xmlenc#sha256"/>
        <DigestValue>qmHNoez3+2z1eZqgvieIhWNcGO6DBUsKFl23U1yG11g=</DigestValue>
      </Reference>
      <Reference URI="/xl/sharedStrings.xml?ContentType=application/vnd.openxmlformats-officedocument.spreadsheetml.sharedStrings+xml">
        <DigestMethod Algorithm="http://www.w3.org/2001/04/xmlenc#sha256"/>
        <DigestValue>iTlOPeXLkw9QGdTX0EpAPf0bpI8violyEPRrhoNDjBg=</DigestValue>
      </Reference>
      <Reference URI="/xl/styles.xml?ContentType=application/vnd.openxmlformats-officedocument.spreadsheetml.styles+xml">
        <DigestMethod Algorithm="http://www.w3.org/2001/04/xmlenc#sha256"/>
        <DigestValue>1NzE/UWzO+XvmkuAH8lB8DMoNC6gy2xmwaNiwAec96g=</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Nm+9zS+DcE3+r02oSOO5WiMfy3yK/Z12FQWHEtwxFsc=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Mnjf2X38pC1GAAxAuR6gsSXsUIgo2VGHWwjxwlNABBM=</DigestValue>
      </Reference>
      <Reference URI="/xl/worksheets/sheet10.xml?ContentType=application/vnd.openxmlformats-officedocument.spreadsheetml.worksheet+xml">
        <DigestMethod Algorithm="http://www.w3.org/2001/04/xmlenc#sha256"/>
        <DigestValue>ew3TwjGR/D+322FSeiqfdriD0/muY6wk/wCj+Sc4Cws=</DigestValue>
      </Reference>
      <Reference URI="/xl/worksheets/sheet11.xml?ContentType=application/vnd.openxmlformats-officedocument.spreadsheetml.worksheet+xml">
        <DigestMethod Algorithm="http://www.w3.org/2001/04/xmlenc#sha256"/>
        <DigestValue>0OTPLn/uV+2WNogca4YdJi82ZH6seG1MTOvc/FN0bxs=</DigestValue>
      </Reference>
      <Reference URI="/xl/worksheets/sheet12.xml?ContentType=application/vnd.openxmlformats-officedocument.spreadsheetml.worksheet+xml">
        <DigestMethod Algorithm="http://www.w3.org/2001/04/xmlenc#sha256"/>
        <DigestValue>EY5Lpo/qcAJPtMccBAN0Oa1JZgaFtsPJVa6fBGfuOLo=</DigestValue>
      </Reference>
      <Reference URI="/xl/worksheets/sheet13.xml?ContentType=application/vnd.openxmlformats-officedocument.spreadsheetml.worksheet+xml">
        <DigestMethod Algorithm="http://www.w3.org/2001/04/xmlenc#sha256"/>
        <DigestValue>NOcrcFFstJVh6PESyPhJlc1Tmv1Lug1cLNAlAddIquk=</DigestValue>
      </Reference>
      <Reference URI="/xl/worksheets/sheet14.xml?ContentType=application/vnd.openxmlformats-officedocument.spreadsheetml.worksheet+xml">
        <DigestMethod Algorithm="http://www.w3.org/2001/04/xmlenc#sha256"/>
        <DigestValue>MZAz5F03no7OpDK1wupVA18RD6SVHfCi5waUnYFfcyE=</DigestValue>
      </Reference>
      <Reference URI="/xl/worksheets/sheet15.xml?ContentType=application/vnd.openxmlformats-officedocument.spreadsheetml.worksheet+xml">
        <DigestMethod Algorithm="http://www.w3.org/2001/04/xmlenc#sha256"/>
        <DigestValue>+hNgzUVi7YX7VbduzscEnoAlTx48ka7VGsoexnMzHKw=</DigestValue>
      </Reference>
      <Reference URI="/xl/worksheets/sheet16.xml?ContentType=application/vnd.openxmlformats-officedocument.spreadsheetml.worksheet+xml">
        <DigestMethod Algorithm="http://www.w3.org/2001/04/xmlenc#sha256"/>
        <DigestValue>/Kc9myDfU2L4uwHxUJJQR91/cGpL1m6fNMM6SS+oHHw=</DigestValue>
      </Reference>
      <Reference URI="/xl/worksheets/sheet17.xml?ContentType=application/vnd.openxmlformats-officedocument.spreadsheetml.worksheet+xml">
        <DigestMethod Algorithm="http://www.w3.org/2001/04/xmlenc#sha256"/>
        <DigestValue>1cLEqMKxcJJDauasaPaIlN8RXjs8wW3G7yb4ZNvzlqk=</DigestValue>
      </Reference>
      <Reference URI="/xl/worksheets/sheet18.xml?ContentType=application/vnd.openxmlformats-officedocument.spreadsheetml.worksheet+xml">
        <DigestMethod Algorithm="http://www.w3.org/2001/04/xmlenc#sha256"/>
        <DigestValue>LEakIsd5bsx4oTvmfB2x9HAFXGe6z0PaLT+yClfr3CY=</DigestValue>
      </Reference>
      <Reference URI="/xl/worksheets/sheet19.xml?ContentType=application/vnd.openxmlformats-officedocument.spreadsheetml.worksheet+xml">
        <DigestMethod Algorithm="http://www.w3.org/2001/04/xmlenc#sha256"/>
        <DigestValue>TSVN2XbPR1HjrSfh9cKwP3R50GmmatM127o+ztnXiC8=</DigestValue>
      </Reference>
      <Reference URI="/xl/worksheets/sheet2.xml?ContentType=application/vnd.openxmlformats-officedocument.spreadsheetml.worksheet+xml">
        <DigestMethod Algorithm="http://www.w3.org/2001/04/xmlenc#sha256"/>
        <DigestValue>2+/0CDS4Cio5wf387tdD4L7U9Z1KEKnQsTFsx7iUoN0=</DigestValue>
      </Reference>
      <Reference URI="/xl/worksheets/sheet20.xml?ContentType=application/vnd.openxmlformats-officedocument.spreadsheetml.worksheet+xml">
        <DigestMethod Algorithm="http://www.w3.org/2001/04/xmlenc#sha256"/>
        <DigestValue>ibW4u3S/Y0GEgn6K447t5Pr9K/6wdK+QXjkR2uNZD5U=</DigestValue>
      </Reference>
      <Reference URI="/xl/worksheets/sheet21.xml?ContentType=application/vnd.openxmlformats-officedocument.spreadsheetml.worksheet+xml">
        <DigestMethod Algorithm="http://www.w3.org/2001/04/xmlenc#sha256"/>
        <DigestValue>2wu/J1YcBsjwPxvG8Ddqa6h5OlPKEpO1N6q2ra0yWfI=</DigestValue>
      </Reference>
      <Reference URI="/xl/worksheets/sheet22.xml?ContentType=application/vnd.openxmlformats-officedocument.spreadsheetml.worksheet+xml">
        <DigestMethod Algorithm="http://www.w3.org/2001/04/xmlenc#sha256"/>
        <DigestValue>vg1qWIo118qgoBQfu48Z5Ba51Yvqitpupiu3EYrG0Gc=</DigestValue>
      </Reference>
      <Reference URI="/xl/worksheets/sheet23.xml?ContentType=application/vnd.openxmlformats-officedocument.spreadsheetml.worksheet+xml">
        <DigestMethod Algorithm="http://www.w3.org/2001/04/xmlenc#sha256"/>
        <DigestValue>/yWWlhxpBw8HIS4/ASssAm66gGSwJiVwyfbOfBHtR54=</DigestValue>
      </Reference>
      <Reference URI="/xl/worksheets/sheet24.xml?ContentType=application/vnd.openxmlformats-officedocument.spreadsheetml.worksheet+xml">
        <DigestMethod Algorithm="http://www.w3.org/2001/04/xmlenc#sha256"/>
        <DigestValue>MR15W5SYyTrxM9IJGJlo64N+nkQ5wEViujqlCOpmV/Y=</DigestValue>
      </Reference>
      <Reference URI="/xl/worksheets/sheet25.xml?ContentType=application/vnd.openxmlformats-officedocument.spreadsheetml.worksheet+xml">
        <DigestMethod Algorithm="http://www.w3.org/2001/04/xmlenc#sha256"/>
        <DigestValue>Kix9f+hbF+B/0zxP0aZOKhDp57933reJ2kmk+cW0vlY=</DigestValue>
      </Reference>
      <Reference URI="/xl/worksheets/sheet26.xml?ContentType=application/vnd.openxmlformats-officedocument.spreadsheetml.worksheet+xml">
        <DigestMethod Algorithm="http://www.w3.org/2001/04/xmlenc#sha256"/>
        <DigestValue>LOqqQGRpZ/VpSegEWB06J4KR7bKU9RvLjiaQTIHjtpQ=</DigestValue>
      </Reference>
      <Reference URI="/xl/worksheets/sheet27.xml?ContentType=application/vnd.openxmlformats-officedocument.spreadsheetml.worksheet+xml">
        <DigestMethod Algorithm="http://www.w3.org/2001/04/xmlenc#sha256"/>
        <DigestValue>NA3OC3Ck4dBdeBWVKf9bdS4IZ7ZBIscSjpGrSMvmKCY=</DigestValue>
      </Reference>
      <Reference URI="/xl/worksheets/sheet28.xml?ContentType=application/vnd.openxmlformats-officedocument.spreadsheetml.worksheet+xml">
        <DigestMethod Algorithm="http://www.w3.org/2001/04/xmlenc#sha256"/>
        <DigestValue>eLmiEHHjWGmsVJXWMTXY5R5NuLkwrxYEspzOR9phuKE=</DigestValue>
      </Reference>
      <Reference URI="/xl/worksheets/sheet29.xml?ContentType=application/vnd.openxmlformats-officedocument.spreadsheetml.worksheet+xml">
        <DigestMethod Algorithm="http://www.w3.org/2001/04/xmlenc#sha256"/>
        <DigestValue>b3jvYuV5aJI3lOb51LX9+1bD7ZWaOsT5+l/1iNI2saU=</DigestValue>
      </Reference>
      <Reference URI="/xl/worksheets/sheet3.xml?ContentType=application/vnd.openxmlformats-officedocument.spreadsheetml.worksheet+xml">
        <DigestMethod Algorithm="http://www.w3.org/2001/04/xmlenc#sha256"/>
        <DigestValue>VHOsetq58Sm6Ny4afsbu4kkcdCxNaaS7mItg1WXdVgg=</DigestValue>
      </Reference>
      <Reference URI="/xl/worksheets/sheet4.xml?ContentType=application/vnd.openxmlformats-officedocument.spreadsheetml.worksheet+xml">
        <DigestMethod Algorithm="http://www.w3.org/2001/04/xmlenc#sha256"/>
        <DigestValue>otq1YtpK+es6MJSd/nLuitJztsq4xdVtJqGLlbn9gH8=</DigestValue>
      </Reference>
      <Reference URI="/xl/worksheets/sheet5.xml?ContentType=application/vnd.openxmlformats-officedocument.spreadsheetml.worksheet+xml">
        <DigestMethod Algorithm="http://www.w3.org/2001/04/xmlenc#sha256"/>
        <DigestValue>LgkY2H2tQzT2BW9cae2PZuBHBCeFP4x902oxBa2TNYU=</DigestValue>
      </Reference>
      <Reference URI="/xl/worksheets/sheet6.xml?ContentType=application/vnd.openxmlformats-officedocument.spreadsheetml.worksheet+xml">
        <DigestMethod Algorithm="http://www.w3.org/2001/04/xmlenc#sha256"/>
        <DigestValue>b1SojFiRftWKnDLqG2/PALC0Z2bUNvThC97M1VgeOHM=</DigestValue>
      </Reference>
      <Reference URI="/xl/worksheets/sheet7.xml?ContentType=application/vnd.openxmlformats-officedocument.spreadsheetml.worksheet+xml">
        <DigestMethod Algorithm="http://www.w3.org/2001/04/xmlenc#sha256"/>
        <DigestValue>jZZ3ALDgiRYn+tnZ8DXpiE4uXvK0rB+VNBlp0GFabIQ=</DigestValue>
      </Reference>
      <Reference URI="/xl/worksheets/sheet8.xml?ContentType=application/vnd.openxmlformats-officedocument.spreadsheetml.worksheet+xml">
        <DigestMethod Algorithm="http://www.w3.org/2001/04/xmlenc#sha256"/>
        <DigestValue>gPii4dq+nmx6joB6NT4YrrmtZ8yxA4EzlmYqPx/pjWc=</DigestValue>
      </Reference>
      <Reference URI="/xl/worksheets/sheet9.xml?ContentType=application/vnd.openxmlformats-officedocument.spreadsheetml.worksheet+xml">
        <DigestMethod Algorithm="http://www.w3.org/2001/04/xmlenc#sha256"/>
        <DigestValue>hThx7HCrD8l64UtBchCxoMCXFZv8Yo9DiyZY1rjP5fU=</DigestValue>
      </Reference>
    </Manifest>
    <SignatureProperties>
      <SignatureProperty Id="idSignatureTime" Target="#idPackageSignature">
        <mdssi:SignatureTime xmlns:mdssi="http://schemas.openxmlformats.org/package/2006/digital-signature">
          <mdssi:Format>YYYY-MM-DDThh:mm:ssTZD</mdssi:Format>
          <mdssi:Value>2024-01-31T10:00:23Z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2024-01-31T10:00:23Z</xd:SigningTime>
          <xd:SigningCertificate>
            <xd:Cert>
              <xd:CertDigest>
                <DigestMethod Algorithm="http://www.w3.org/2001/04/xmlenc#sha256"/>
                <DigestValue>6V1++79Qr/cLBXm7sWgQTCsAgEkJU8Qi3Wf6ZrbZ0bo=</DigestValue>
              </xd:CertDigest>
              <xd:IssuerSerial>
                <X509IssuerName>CN=NBG Class 2 INT Sub CA, DC=nbg, DC=ge</X509IssuerName>
                <X509SerialNumber>269717541753483415393526</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iH3bKsy4aUFuMLArrfKab5npCzbkF6lIzj6vBvckdzs=</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fHtTBAZefKcB8DDkydSEBQkkgjqf0/LXxW/S+AFsp1Q=</DigestValue>
    </Reference>
  </SignedInfo>
  <SignatureValue>egaeRE35w+VrLbiWs5rRVy5TJF4ODBNyLozkkxoTCIH1AVZWYcw0LlxEvxZdk36oMfYa1S6o/Rnr
96wNOhYYC3j2HNK/I8cyD+4+Xa4tRsx//yGfUyCA4rQ7OSuwowPOT/+nXxZ/htqpu/V89MxTH3mu
HRTf15E8aFoGUKFFfVT7NH5PdRhPEk8O+tQ8R7MeuNPoDUFPrU2t0SIUQHxGvwHRc/Lbce9tf2gJ
zuB7hSTO/HunZxvTs/4Or3dwasWGwIvsPXjj8Wxa2XCAS0QCoCuW3y+pPfBbu9zpB2h08Jr13Hja
029y9mJZL4deqSxY+yhCNm6sBQpzDgL/A/dZHQ==</SignatureValue>
  <KeyInfo>
    <X509Data>
      <X509Certificate>MIIGRTCCBS2gAwIBAgIKUWli5wADAAI9xDANBgkqhkiG9w0BAQsFADBKMRIwEAYKCZImiZPyLGQBGRYCZ2UxEzARBgoJkiaJk/IsZAEZFgNuYmcxHzAdBgNVBAMTFk5CRyBDbGFzcyAyIElOVCBTdWIgQ0EwHhcNMjMwOTA2MDc1NDA1WhcNMjUwOTA1MDc1NDA1WjBDMR8wHQYDVQQKExZKU0MgUGFzaGEgQmFuayBHZW9yZ2lhMSAwHgYDVQQDExdCUEIgLSBNaWtoZWlsIElha29iaWR6ZTCCASIwDQYJKoZIhvcNAQEBBQADggEPADCCAQoCggEBAOU0Q5NPqBtLFffHvZdNOZYas36rdPChTULZI6+DQD1P1ASlbXajyAS8+Y+Ur8Rszbh5cLCdfD6R3bu983Gf42eqeDmf/lnRxyvbDpfTX9f90wGcblDcNjRXece9JOAG1ri1RPsSUk/UmUqDKUMbtPC3e96yRFrMD1UjWmUsu3u7ysTZp+X/sr2JW0m+TiqHS4CSncyjSFwDIW8OjdVgdxftl6KR3sCyQVnZ6S+kBcN1eAUtJOR8yLneFGRHyOBsN801k5Hb8O8jWV9W9KM7aDE+DvTAJwSrlUbOfdmavMPwovf/2A9ZQfTg1IiBtAPjdBD17owHyGFifABpRarmbecCAwEAAaOCAzIwggMuMDwGCSsGAQQBgjcVBwQvMC0GJSsGAQQBgjcVCOayYION9USGgZkJg7ihSoO+hHEEg8SRM4SDiF0CAWQCASMwHQYDVR0lBBYwFAYIKwYBBQUHAwIGCCsGAQUFBwMEMAsGA1UdDwQEAwIHgDAnBgkrBgEEAYI3FQoEGjAYMAoGCCsGAQUFBwMCMAoGCCsGAQUFBwMEMB0GA1UdDgQWBBRUNNN4NhsLx5ltvr1mRR6S6SiT4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SSOiyAW22xUtzc24q4NstBK2cgNxTxASuts2hbzcm4lbGhzH9gfwyI5yyn6rPptCGX5cvQ8I7mLYAqQP/rHjaPn1+ixCQKIouBCkH8VLyK3Em8bJO8fcdxh3UP4pUGTN3qJqnYitDnzw0Pkccv4d6hbxEUqgwlVOzKZHfGI40j5XhvR0vYa7QoAAISEWC3kwMATw66rkW5/Dgk8viNj91k+P4kHGfYNXcBdCGeQkHzOV7DQeu6Dz7Go5+GllOvJGxBoPDp5NFLs7emolJW4fYBH5zErY6g00/AzCB5JL791FIOwoyZXTu+spN7TpeDNlcEipR2YHoWNLj1KJZMPvT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9FMPiJk2tYP0bY2tZ2fXKikVcw5OiLnSze6fhK81dQc=</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xOveWHm41S1Um5h7OC8or36MOOgIGvJePpzLMokXKHE=</DigestValue>
      </Reference>
      <Reference URI="/xl/printerSettings/printerSettings10.bin?ContentType=application/vnd.openxmlformats-officedocument.spreadsheetml.printerSettings">
        <DigestMethod Algorithm="http://www.w3.org/2001/04/xmlenc#sha256"/>
        <DigestValue>qmHNoez3+2z1eZqgvieIhWNcGO6DBUsKFl23U1yG11g=</DigestValue>
      </Reference>
      <Reference URI="/xl/printerSettings/printerSettings11.bin?ContentType=application/vnd.openxmlformats-officedocument.spreadsheetml.printerSettings">
        <DigestMethod Algorithm="http://www.w3.org/2001/04/xmlenc#sha256"/>
        <DigestValue>qmHNoez3+2z1eZqgvieIhWNcGO6DBUsKFl23U1yG11g=</DigestValue>
      </Reference>
      <Reference URI="/xl/printerSettings/printerSettings12.bin?ContentType=application/vnd.openxmlformats-officedocument.spreadsheetml.printerSettings">
        <DigestMethod Algorithm="http://www.w3.org/2001/04/xmlenc#sha256"/>
        <DigestValue>qmHNoez3+2z1eZqgvieIhWNcGO6DBUsKFl23U1yG11g=</DigestValue>
      </Reference>
      <Reference URI="/xl/printerSettings/printerSettings13.bin?ContentType=application/vnd.openxmlformats-officedocument.spreadsheetml.printerSettings">
        <DigestMethod Algorithm="http://www.w3.org/2001/04/xmlenc#sha256"/>
        <DigestValue>qmHNoez3+2z1eZqgvieIhWNcGO6DBUsKFl23U1yG11g=</DigestValue>
      </Reference>
      <Reference URI="/xl/printerSettings/printerSettings14.bin?ContentType=application/vnd.openxmlformats-officedocument.spreadsheetml.printerSettings">
        <DigestMethod Algorithm="http://www.w3.org/2001/04/xmlenc#sha256"/>
        <DigestValue>qmHNoez3+2z1eZqgvieIhWNcGO6DBUsKFl23U1yG11g=</DigestValue>
      </Reference>
      <Reference URI="/xl/printerSettings/printerSettings15.bin?ContentType=application/vnd.openxmlformats-officedocument.spreadsheetml.printerSettings">
        <DigestMethod Algorithm="http://www.w3.org/2001/04/xmlenc#sha256"/>
        <DigestValue>qmHNoez3+2z1eZqgvieIhWNcGO6DBUsKFl23U1yG11g=</DigestValue>
      </Reference>
      <Reference URI="/xl/printerSettings/printerSettings16.bin?ContentType=application/vnd.openxmlformats-officedocument.spreadsheetml.printerSettings">
        <DigestMethod Algorithm="http://www.w3.org/2001/04/xmlenc#sha256"/>
        <DigestValue>qmHNoez3+2z1eZqgvieIhWNcGO6DBUsKFl23U1yG11g=</DigestValue>
      </Reference>
      <Reference URI="/xl/printerSettings/printerSettings17.bin?ContentType=application/vnd.openxmlformats-officedocument.spreadsheetml.printerSettings">
        <DigestMethod Algorithm="http://www.w3.org/2001/04/xmlenc#sha256"/>
        <DigestValue>qmHNoez3+2z1eZqgvieIhWNcGO6DBUsKFl23U1yG11g=</DigestValue>
      </Reference>
      <Reference URI="/xl/printerSettings/printerSettings18.bin?ContentType=application/vnd.openxmlformats-officedocument.spreadsheetml.printerSettings">
        <DigestMethod Algorithm="http://www.w3.org/2001/04/xmlenc#sha256"/>
        <DigestValue>qmHNoez3+2z1eZqgvieIhWNcGO6DBUsKFl23U1yG11g=</DigestValue>
      </Reference>
      <Reference URI="/xl/printerSettings/printerSettings19.bin?ContentType=application/vnd.openxmlformats-officedocument.spreadsheetml.printerSettings">
        <DigestMethod Algorithm="http://www.w3.org/2001/04/xmlenc#sha256"/>
        <DigestValue>qmHNoez3+2z1eZqgvieIhWNcGO6DBUsKFl23U1yG11g=</DigestValue>
      </Reference>
      <Reference URI="/xl/printerSettings/printerSettings2.bin?ContentType=application/vnd.openxmlformats-officedocument.spreadsheetml.printerSettings">
        <DigestMethod Algorithm="http://www.w3.org/2001/04/xmlenc#sha256"/>
        <DigestValue>qmHNoez3+2z1eZqgvieIhWNcGO6DBUsKFl23U1yG11g=</DigestValue>
      </Reference>
      <Reference URI="/xl/printerSettings/printerSettings20.bin?ContentType=application/vnd.openxmlformats-officedocument.spreadsheetml.printerSettings">
        <DigestMethod Algorithm="http://www.w3.org/2001/04/xmlenc#sha256"/>
        <DigestValue>xOveWHm41S1Um5h7OC8or36MOOgIGvJePpzLMokXKHE=</DigestValue>
      </Reference>
      <Reference URI="/xl/printerSettings/printerSettings21.bin?ContentType=application/vnd.openxmlformats-officedocument.spreadsheetml.printerSettings">
        <DigestMethod Algorithm="http://www.w3.org/2001/04/xmlenc#sha256"/>
        <DigestValue>qmHNoez3+2z1eZqgvieIhWNcGO6DBUsKFl23U1yG11g=</DigestValue>
      </Reference>
      <Reference URI="/xl/printerSettings/printerSettings22.bin?ContentType=application/vnd.openxmlformats-officedocument.spreadsheetml.printerSettings">
        <DigestMethod Algorithm="http://www.w3.org/2001/04/xmlenc#sha256"/>
        <DigestValue>qmHNoez3+2z1eZqgvieIhWNcGO6DBUsKFl23U1yG11g=</DigestValue>
      </Reference>
      <Reference URI="/xl/printerSettings/printerSettings23.bin?ContentType=application/vnd.openxmlformats-officedocument.spreadsheetml.printerSettings">
        <DigestMethod Algorithm="http://www.w3.org/2001/04/xmlenc#sha256"/>
        <DigestValue>qmHNoez3+2z1eZqgvieIhWNcGO6DBUsKFl23U1yG11g=</DigestValue>
      </Reference>
      <Reference URI="/xl/printerSettings/printerSettings24.bin?ContentType=application/vnd.openxmlformats-officedocument.spreadsheetml.printerSettings">
        <DigestMethod Algorithm="http://www.w3.org/2001/04/xmlenc#sha256"/>
        <DigestValue>qmHNoez3+2z1eZqgvieIhWNcGO6DBUsKFl23U1yG11g=</DigestValue>
      </Reference>
      <Reference URI="/xl/printerSettings/printerSettings25.bin?ContentType=application/vnd.openxmlformats-officedocument.spreadsheetml.printerSettings">
        <DigestMethod Algorithm="http://www.w3.org/2001/04/xmlenc#sha256"/>
        <DigestValue>qmHNoez3+2z1eZqgvieIhWNcGO6DBUsKFl23U1yG11g=</DigestValue>
      </Reference>
      <Reference URI="/xl/printerSettings/printerSettings26.bin?ContentType=application/vnd.openxmlformats-officedocument.spreadsheetml.printerSettings">
        <DigestMethod Algorithm="http://www.w3.org/2001/04/xmlenc#sha256"/>
        <DigestValue>qmHNoez3+2z1eZqgvieIhWNcGO6DBUsKFl23U1yG11g=</DigestValue>
      </Reference>
      <Reference URI="/xl/printerSettings/printerSettings27.bin?ContentType=application/vnd.openxmlformats-officedocument.spreadsheetml.printerSettings">
        <DigestMethod Algorithm="http://www.w3.org/2001/04/xmlenc#sha256"/>
        <DigestValue>qmHNoez3+2z1eZqgvieIhWNcGO6DBUsKFl23U1yG11g=</DigestValue>
      </Reference>
      <Reference URI="/xl/printerSettings/printerSettings28.bin?ContentType=application/vnd.openxmlformats-officedocument.spreadsheetml.printerSettings">
        <DigestMethod Algorithm="http://www.w3.org/2001/04/xmlenc#sha256"/>
        <DigestValue>qmHNoez3+2z1eZqgvieIhWNcGO6DBUsKFl23U1yG11g=</DigestValue>
      </Reference>
      <Reference URI="/xl/printerSettings/printerSettings29.bin?ContentType=application/vnd.openxmlformats-officedocument.spreadsheetml.printerSettings">
        <DigestMethod Algorithm="http://www.w3.org/2001/04/xmlenc#sha256"/>
        <DigestValue>qmHNoez3+2z1eZqgvieIhWNcGO6DBUsKFl23U1yG11g=</DigestValue>
      </Reference>
      <Reference URI="/xl/printerSettings/printerSettings3.bin?ContentType=application/vnd.openxmlformats-officedocument.spreadsheetml.printerSettings">
        <DigestMethod Algorithm="http://www.w3.org/2001/04/xmlenc#sha256"/>
        <DigestValue>qmHNoez3+2z1eZqgvieIhWNcGO6DBUsKFl23U1yG11g=</DigestValue>
      </Reference>
      <Reference URI="/xl/printerSettings/printerSettings4.bin?ContentType=application/vnd.openxmlformats-officedocument.spreadsheetml.printerSettings">
        <DigestMethod Algorithm="http://www.w3.org/2001/04/xmlenc#sha256"/>
        <DigestValue>qmHNoez3+2z1eZqgvieIhWNcGO6DBUsKFl23U1yG11g=</DigestValue>
      </Reference>
      <Reference URI="/xl/printerSettings/printerSettings5.bin?ContentType=application/vnd.openxmlformats-officedocument.spreadsheetml.printerSettings">
        <DigestMethod Algorithm="http://www.w3.org/2001/04/xmlenc#sha256"/>
        <DigestValue>qmHNoez3+2z1eZqgvieIhWNcGO6DBUsKFl23U1yG11g=</DigestValue>
      </Reference>
      <Reference URI="/xl/printerSettings/printerSettings6.bin?ContentType=application/vnd.openxmlformats-officedocument.spreadsheetml.printerSettings">
        <DigestMethod Algorithm="http://www.w3.org/2001/04/xmlenc#sha256"/>
        <DigestValue>qmHNoez3+2z1eZqgvieIhWNcGO6DBUsKFl23U1yG11g=</DigestValue>
      </Reference>
      <Reference URI="/xl/printerSettings/printerSettings7.bin?ContentType=application/vnd.openxmlformats-officedocument.spreadsheetml.printerSettings">
        <DigestMethod Algorithm="http://www.w3.org/2001/04/xmlenc#sha256"/>
        <DigestValue>qmHNoez3+2z1eZqgvieIhWNcGO6DBUsKFl23U1yG11g=</DigestValue>
      </Reference>
      <Reference URI="/xl/printerSettings/printerSettings8.bin?ContentType=application/vnd.openxmlformats-officedocument.spreadsheetml.printerSettings">
        <DigestMethod Algorithm="http://www.w3.org/2001/04/xmlenc#sha256"/>
        <DigestValue>qmHNoez3+2z1eZqgvieIhWNcGO6DBUsKFl23U1yG11g=</DigestValue>
      </Reference>
      <Reference URI="/xl/printerSettings/printerSettings9.bin?ContentType=application/vnd.openxmlformats-officedocument.spreadsheetml.printerSettings">
        <DigestMethod Algorithm="http://www.w3.org/2001/04/xmlenc#sha256"/>
        <DigestValue>qmHNoez3+2z1eZqgvieIhWNcGO6DBUsKFl23U1yG11g=</DigestValue>
      </Reference>
      <Reference URI="/xl/sharedStrings.xml?ContentType=application/vnd.openxmlformats-officedocument.spreadsheetml.sharedStrings+xml">
        <DigestMethod Algorithm="http://www.w3.org/2001/04/xmlenc#sha256"/>
        <DigestValue>iTlOPeXLkw9QGdTX0EpAPf0bpI8violyEPRrhoNDjBg=</DigestValue>
      </Reference>
      <Reference URI="/xl/styles.xml?ContentType=application/vnd.openxmlformats-officedocument.spreadsheetml.styles+xml">
        <DigestMethod Algorithm="http://www.w3.org/2001/04/xmlenc#sha256"/>
        <DigestValue>1NzE/UWzO+XvmkuAH8lB8DMoNC6gy2xmwaNiwAec96g=</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Nm+9zS+DcE3+r02oSOO5WiMfy3yK/Z12FQWHEtwxFsc=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Mnjf2X38pC1GAAxAuR6gsSXsUIgo2VGHWwjxwlNABBM=</DigestValue>
      </Reference>
      <Reference URI="/xl/worksheets/sheet10.xml?ContentType=application/vnd.openxmlformats-officedocument.spreadsheetml.worksheet+xml">
        <DigestMethod Algorithm="http://www.w3.org/2001/04/xmlenc#sha256"/>
        <DigestValue>ew3TwjGR/D+322FSeiqfdriD0/muY6wk/wCj+Sc4Cws=</DigestValue>
      </Reference>
      <Reference URI="/xl/worksheets/sheet11.xml?ContentType=application/vnd.openxmlformats-officedocument.spreadsheetml.worksheet+xml">
        <DigestMethod Algorithm="http://www.w3.org/2001/04/xmlenc#sha256"/>
        <DigestValue>0OTPLn/uV+2WNogca4YdJi82ZH6seG1MTOvc/FN0bxs=</DigestValue>
      </Reference>
      <Reference URI="/xl/worksheets/sheet12.xml?ContentType=application/vnd.openxmlformats-officedocument.spreadsheetml.worksheet+xml">
        <DigestMethod Algorithm="http://www.w3.org/2001/04/xmlenc#sha256"/>
        <DigestValue>EY5Lpo/qcAJPtMccBAN0Oa1JZgaFtsPJVa6fBGfuOLo=</DigestValue>
      </Reference>
      <Reference URI="/xl/worksheets/sheet13.xml?ContentType=application/vnd.openxmlformats-officedocument.spreadsheetml.worksheet+xml">
        <DigestMethod Algorithm="http://www.w3.org/2001/04/xmlenc#sha256"/>
        <DigestValue>NOcrcFFstJVh6PESyPhJlc1Tmv1Lug1cLNAlAddIquk=</DigestValue>
      </Reference>
      <Reference URI="/xl/worksheets/sheet14.xml?ContentType=application/vnd.openxmlformats-officedocument.spreadsheetml.worksheet+xml">
        <DigestMethod Algorithm="http://www.w3.org/2001/04/xmlenc#sha256"/>
        <DigestValue>MZAz5F03no7OpDK1wupVA18RD6SVHfCi5waUnYFfcyE=</DigestValue>
      </Reference>
      <Reference URI="/xl/worksheets/sheet15.xml?ContentType=application/vnd.openxmlformats-officedocument.spreadsheetml.worksheet+xml">
        <DigestMethod Algorithm="http://www.w3.org/2001/04/xmlenc#sha256"/>
        <DigestValue>+hNgzUVi7YX7VbduzscEnoAlTx48ka7VGsoexnMzHKw=</DigestValue>
      </Reference>
      <Reference URI="/xl/worksheets/sheet16.xml?ContentType=application/vnd.openxmlformats-officedocument.spreadsheetml.worksheet+xml">
        <DigestMethod Algorithm="http://www.w3.org/2001/04/xmlenc#sha256"/>
        <DigestValue>/Kc9myDfU2L4uwHxUJJQR91/cGpL1m6fNMM6SS+oHHw=</DigestValue>
      </Reference>
      <Reference URI="/xl/worksheets/sheet17.xml?ContentType=application/vnd.openxmlformats-officedocument.spreadsheetml.worksheet+xml">
        <DigestMethod Algorithm="http://www.w3.org/2001/04/xmlenc#sha256"/>
        <DigestValue>1cLEqMKxcJJDauasaPaIlN8RXjs8wW3G7yb4ZNvzlqk=</DigestValue>
      </Reference>
      <Reference URI="/xl/worksheets/sheet18.xml?ContentType=application/vnd.openxmlformats-officedocument.spreadsheetml.worksheet+xml">
        <DigestMethod Algorithm="http://www.w3.org/2001/04/xmlenc#sha256"/>
        <DigestValue>LEakIsd5bsx4oTvmfB2x9HAFXGe6z0PaLT+yClfr3CY=</DigestValue>
      </Reference>
      <Reference URI="/xl/worksheets/sheet19.xml?ContentType=application/vnd.openxmlformats-officedocument.spreadsheetml.worksheet+xml">
        <DigestMethod Algorithm="http://www.w3.org/2001/04/xmlenc#sha256"/>
        <DigestValue>TSVN2XbPR1HjrSfh9cKwP3R50GmmatM127o+ztnXiC8=</DigestValue>
      </Reference>
      <Reference URI="/xl/worksheets/sheet2.xml?ContentType=application/vnd.openxmlformats-officedocument.spreadsheetml.worksheet+xml">
        <DigestMethod Algorithm="http://www.w3.org/2001/04/xmlenc#sha256"/>
        <DigestValue>2+/0CDS4Cio5wf387tdD4L7U9Z1KEKnQsTFsx7iUoN0=</DigestValue>
      </Reference>
      <Reference URI="/xl/worksheets/sheet20.xml?ContentType=application/vnd.openxmlformats-officedocument.spreadsheetml.worksheet+xml">
        <DigestMethod Algorithm="http://www.w3.org/2001/04/xmlenc#sha256"/>
        <DigestValue>ibW4u3S/Y0GEgn6K447t5Pr9K/6wdK+QXjkR2uNZD5U=</DigestValue>
      </Reference>
      <Reference URI="/xl/worksheets/sheet21.xml?ContentType=application/vnd.openxmlformats-officedocument.spreadsheetml.worksheet+xml">
        <DigestMethod Algorithm="http://www.w3.org/2001/04/xmlenc#sha256"/>
        <DigestValue>2wu/J1YcBsjwPxvG8Ddqa6h5OlPKEpO1N6q2ra0yWfI=</DigestValue>
      </Reference>
      <Reference URI="/xl/worksheets/sheet22.xml?ContentType=application/vnd.openxmlformats-officedocument.spreadsheetml.worksheet+xml">
        <DigestMethod Algorithm="http://www.w3.org/2001/04/xmlenc#sha256"/>
        <DigestValue>vg1qWIo118qgoBQfu48Z5Ba51Yvqitpupiu3EYrG0Gc=</DigestValue>
      </Reference>
      <Reference URI="/xl/worksheets/sheet23.xml?ContentType=application/vnd.openxmlformats-officedocument.spreadsheetml.worksheet+xml">
        <DigestMethod Algorithm="http://www.w3.org/2001/04/xmlenc#sha256"/>
        <DigestValue>/yWWlhxpBw8HIS4/ASssAm66gGSwJiVwyfbOfBHtR54=</DigestValue>
      </Reference>
      <Reference URI="/xl/worksheets/sheet24.xml?ContentType=application/vnd.openxmlformats-officedocument.spreadsheetml.worksheet+xml">
        <DigestMethod Algorithm="http://www.w3.org/2001/04/xmlenc#sha256"/>
        <DigestValue>MR15W5SYyTrxM9IJGJlo64N+nkQ5wEViujqlCOpmV/Y=</DigestValue>
      </Reference>
      <Reference URI="/xl/worksheets/sheet25.xml?ContentType=application/vnd.openxmlformats-officedocument.spreadsheetml.worksheet+xml">
        <DigestMethod Algorithm="http://www.w3.org/2001/04/xmlenc#sha256"/>
        <DigestValue>Kix9f+hbF+B/0zxP0aZOKhDp57933reJ2kmk+cW0vlY=</DigestValue>
      </Reference>
      <Reference URI="/xl/worksheets/sheet26.xml?ContentType=application/vnd.openxmlformats-officedocument.spreadsheetml.worksheet+xml">
        <DigestMethod Algorithm="http://www.w3.org/2001/04/xmlenc#sha256"/>
        <DigestValue>LOqqQGRpZ/VpSegEWB06J4KR7bKU9RvLjiaQTIHjtpQ=</DigestValue>
      </Reference>
      <Reference URI="/xl/worksheets/sheet27.xml?ContentType=application/vnd.openxmlformats-officedocument.spreadsheetml.worksheet+xml">
        <DigestMethod Algorithm="http://www.w3.org/2001/04/xmlenc#sha256"/>
        <DigestValue>NA3OC3Ck4dBdeBWVKf9bdS4IZ7ZBIscSjpGrSMvmKCY=</DigestValue>
      </Reference>
      <Reference URI="/xl/worksheets/sheet28.xml?ContentType=application/vnd.openxmlformats-officedocument.spreadsheetml.worksheet+xml">
        <DigestMethod Algorithm="http://www.w3.org/2001/04/xmlenc#sha256"/>
        <DigestValue>eLmiEHHjWGmsVJXWMTXY5R5NuLkwrxYEspzOR9phuKE=</DigestValue>
      </Reference>
      <Reference URI="/xl/worksheets/sheet29.xml?ContentType=application/vnd.openxmlformats-officedocument.spreadsheetml.worksheet+xml">
        <DigestMethod Algorithm="http://www.w3.org/2001/04/xmlenc#sha256"/>
        <DigestValue>b3jvYuV5aJI3lOb51LX9+1bD7ZWaOsT5+l/1iNI2saU=</DigestValue>
      </Reference>
      <Reference URI="/xl/worksheets/sheet3.xml?ContentType=application/vnd.openxmlformats-officedocument.spreadsheetml.worksheet+xml">
        <DigestMethod Algorithm="http://www.w3.org/2001/04/xmlenc#sha256"/>
        <DigestValue>VHOsetq58Sm6Ny4afsbu4kkcdCxNaaS7mItg1WXdVgg=</DigestValue>
      </Reference>
      <Reference URI="/xl/worksheets/sheet4.xml?ContentType=application/vnd.openxmlformats-officedocument.spreadsheetml.worksheet+xml">
        <DigestMethod Algorithm="http://www.w3.org/2001/04/xmlenc#sha256"/>
        <DigestValue>otq1YtpK+es6MJSd/nLuitJztsq4xdVtJqGLlbn9gH8=</DigestValue>
      </Reference>
      <Reference URI="/xl/worksheets/sheet5.xml?ContentType=application/vnd.openxmlformats-officedocument.spreadsheetml.worksheet+xml">
        <DigestMethod Algorithm="http://www.w3.org/2001/04/xmlenc#sha256"/>
        <DigestValue>LgkY2H2tQzT2BW9cae2PZuBHBCeFP4x902oxBa2TNYU=</DigestValue>
      </Reference>
      <Reference URI="/xl/worksheets/sheet6.xml?ContentType=application/vnd.openxmlformats-officedocument.spreadsheetml.worksheet+xml">
        <DigestMethod Algorithm="http://www.w3.org/2001/04/xmlenc#sha256"/>
        <DigestValue>b1SojFiRftWKnDLqG2/PALC0Z2bUNvThC97M1VgeOHM=</DigestValue>
      </Reference>
      <Reference URI="/xl/worksheets/sheet7.xml?ContentType=application/vnd.openxmlformats-officedocument.spreadsheetml.worksheet+xml">
        <DigestMethod Algorithm="http://www.w3.org/2001/04/xmlenc#sha256"/>
        <DigestValue>jZZ3ALDgiRYn+tnZ8DXpiE4uXvK0rB+VNBlp0GFabIQ=</DigestValue>
      </Reference>
      <Reference URI="/xl/worksheets/sheet8.xml?ContentType=application/vnd.openxmlformats-officedocument.spreadsheetml.worksheet+xml">
        <DigestMethod Algorithm="http://www.w3.org/2001/04/xmlenc#sha256"/>
        <DigestValue>gPii4dq+nmx6joB6NT4YrrmtZ8yxA4EzlmYqPx/pjWc=</DigestValue>
      </Reference>
      <Reference URI="/xl/worksheets/sheet9.xml?ContentType=application/vnd.openxmlformats-officedocument.spreadsheetml.worksheet+xml">
        <DigestMethod Algorithm="http://www.w3.org/2001/04/xmlenc#sha256"/>
        <DigestValue>hThx7HCrD8l64UtBchCxoMCXFZv8Yo9DiyZY1rjP5fU=</DigestValue>
      </Reference>
    </Manifest>
    <SignatureProperties>
      <SignatureProperty Id="idSignatureTime" Target="#idPackageSignature">
        <mdssi:SignatureTime xmlns:mdssi="http://schemas.openxmlformats.org/package/2006/digital-signature">
          <mdssi:Format>YYYY-MM-DDThh:mm:ssTZD</mdssi:Format>
          <mdssi:Value>2024-01-31T10:00:45Z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2024-01-31T10:00:45Z</xd:SigningTime>
          <xd:SigningCertificate>
            <xd:Cert>
              <xd:CertDigest>
                <DigestMethod Algorithm="http://www.w3.org/2001/04/xmlenc#sha256"/>
                <DigestValue>kq96ANjMEh57xbF5Ile7UsSX8PP5m3uaEUKiwgmziS8=</DigestValue>
              </xd:CertDigest>
              <xd:IssuerSerial>
                <X509IssuerName>CN=NBG Class 2 INT Sub CA, DC=nbg, DC=ge</X509IssuerName>
                <X509SerialNumber>384455719905128987377092</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2024-01-31T09:38:09Z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MSIP_Label_706c7ad2-60a5-409e-8203-10f940b19acd_Enabled">
    <vt:lpwstr>true</vt:lpwstr>
  </property>
  <property fmtid="{D5CDD505-2E9C-101B-9397-08002B2CF9AE}" pid="8" name="MSIP_Label_706c7ad2-60a5-409e-8203-10f940b19acd_SetDate">
    <vt:lpwstr>2023-10-23T12:51:23Z</vt:lpwstr>
  </property>
  <property fmtid="{D5CDD505-2E9C-101B-9397-08002B2CF9AE}" pid="9" name="MSIP_Label_706c7ad2-60a5-409e-8203-10f940b19acd_Method">
    <vt:lpwstr>Standard</vt:lpwstr>
  </property>
  <property fmtid="{D5CDD505-2E9C-101B-9397-08002B2CF9AE}" pid="10" name="MSIP_Label_706c7ad2-60a5-409e-8203-10f940b19acd_Name">
    <vt:lpwstr>For internal use only C1</vt:lpwstr>
  </property>
  <property fmtid="{D5CDD505-2E9C-101B-9397-08002B2CF9AE}" pid="11" name="MSIP_Label_706c7ad2-60a5-409e-8203-10f940b19acd_SiteId">
    <vt:lpwstr>91e167b0-e7f3-47d0-b08e-ac1e6b839fc3</vt:lpwstr>
  </property>
  <property fmtid="{D5CDD505-2E9C-101B-9397-08002B2CF9AE}" pid="12" name="MSIP_Label_706c7ad2-60a5-409e-8203-10f940b19acd_ActionId">
    <vt:lpwstr>76cac599-a142-4dec-9b03-d9dbb73dc396</vt:lpwstr>
  </property>
  <property fmtid="{D5CDD505-2E9C-101B-9397-08002B2CF9AE}" pid="13" name="MSIP_Label_706c7ad2-60a5-409e-8203-10f940b19acd_ContentBits">
    <vt:lpwstr>2</vt:lpwstr>
  </property>
</Properties>
</file>