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worksheets/sheet31.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32.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worksheets/sheet16.xml" ContentType="application/vnd.openxmlformats-officedocument.spreadsheetml.worksheet+xml"/>
  <Override PartName="/xl/worksheets/sheet14.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13.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docProps/custom.xml" ContentType="application/vnd.openxmlformats-officedocument.custom-properties+xml"/>
  <Override PartName="/xl/externalLinks/externalLink3.xml" ContentType="application/vnd.openxmlformats-officedocument.spreadsheetml.externalLink+xml"/>
  <Override PartName="/docProps/core.xml" ContentType="application/vnd.openxmlformats-package.core-properties+xml"/>
  <Override PartName="/customXml/itemProps2.xml" ContentType="application/vnd.openxmlformats-officedocument.customXml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040" windowHeight="9195" tabRatio="805"/>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D13" i="64" l="1"/>
  <c r="C10" i="115" l="1"/>
  <c r="C22" i="90" l="1"/>
  <c r="H16" i="109" l="1"/>
  <c r="H7" i="112" l="1"/>
  <c r="H8" i="112"/>
  <c r="H9" i="112"/>
  <c r="H10" i="112"/>
  <c r="H11" i="112"/>
  <c r="H12" i="112"/>
  <c r="H13" i="112"/>
  <c r="H14" i="112"/>
  <c r="H15" i="112"/>
  <c r="H16" i="112"/>
  <c r="H17" i="112"/>
  <c r="H18" i="112"/>
  <c r="H19" i="112"/>
  <c r="H20" i="112"/>
  <c r="D10" i="114" l="1"/>
  <c r="C10" i="114"/>
  <c r="D7" i="114"/>
  <c r="C7" i="114"/>
  <c r="D15" i="114" l="1"/>
  <c r="C15" i="114"/>
  <c r="C18" i="115"/>
  <c r="R13" i="120" l="1"/>
  <c r="R19" i="120" s="1"/>
  <c r="Q13" i="120"/>
  <c r="Q19" i="120" s="1"/>
  <c r="P13" i="120"/>
  <c r="P19" i="120" s="1"/>
  <c r="O13" i="120"/>
  <c r="N13" i="120"/>
  <c r="N19" i="120" s="1"/>
  <c r="M13" i="120"/>
  <c r="M19" i="120" s="1"/>
  <c r="L13" i="120"/>
  <c r="L19" i="120" s="1"/>
  <c r="K13" i="120"/>
  <c r="K19" i="120" s="1"/>
  <c r="J13" i="120"/>
  <c r="J19" i="120" s="1"/>
  <c r="I13" i="120"/>
  <c r="I19" i="120" s="1"/>
  <c r="H13" i="120"/>
  <c r="H19" i="120" s="1"/>
  <c r="G13" i="120"/>
  <c r="G19" i="120" s="1"/>
  <c r="F13" i="120"/>
  <c r="F19" i="120" s="1"/>
  <c r="E13" i="120"/>
  <c r="E19" i="120" s="1"/>
  <c r="D13" i="120"/>
  <c r="D19" i="120" s="1"/>
  <c r="C13" i="120"/>
  <c r="C19" i="120" s="1"/>
  <c r="B2" i="120"/>
  <c r="B1" i="120"/>
  <c r="B2" i="119"/>
  <c r="B1" i="119"/>
  <c r="C33" i="118"/>
  <c r="L33" i="118"/>
  <c r="K33" i="118"/>
  <c r="J33" i="118"/>
  <c r="I33" i="118"/>
  <c r="H33" i="118"/>
  <c r="G33" i="118"/>
  <c r="F33" i="118"/>
  <c r="E33" i="118"/>
  <c r="D33" i="118"/>
  <c r="B2" i="118"/>
  <c r="B1" i="118"/>
  <c r="B2" i="117"/>
  <c r="B1" i="117"/>
  <c r="S22" i="116"/>
  <c r="R22" i="116"/>
  <c r="Q22" i="116"/>
  <c r="P22" i="116"/>
  <c r="O22" i="116"/>
  <c r="N22" i="116"/>
  <c r="M22" i="116"/>
  <c r="L22" i="116"/>
  <c r="K22" i="116"/>
  <c r="J22" i="116"/>
  <c r="I22" i="116"/>
  <c r="H22" i="116"/>
  <c r="G22" i="116"/>
  <c r="F22" i="116"/>
  <c r="E22" i="116"/>
  <c r="D22" i="116"/>
  <c r="C22" i="116"/>
  <c r="S15" i="116"/>
  <c r="R15" i="116"/>
  <c r="Q15" i="116"/>
  <c r="P15" i="116"/>
  <c r="O15" i="116"/>
  <c r="N15" i="116"/>
  <c r="M15" i="116"/>
  <c r="L15" i="116"/>
  <c r="K15" i="116"/>
  <c r="J15" i="116"/>
  <c r="I15" i="116"/>
  <c r="H15" i="116"/>
  <c r="G15" i="116"/>
  <c r="F15" i="116"/>
  <c r="E15" i="116"/>
  <c r="D15" i="116"/>
  <c r="C15" i="116"/>
  <c r="S8" i="116"/>
  <c r="R8" i="116"/>
  <c r="Q8" i="116"/>
  <c r="P8" i="116"/>
  <c r="O8" i="116"/>
  <c r="N8" i="116"/>
  <c r="M8" i="116"/>
  <c r="L8" i="116"/>
  <c r="K8" i="116"/>
  <c r="J8" i="116"/>
  <c r="I8" i="116"/>
  <c r="H8" i="116"/>
  <c r="G8" i="116"/>
  <c r="F8" i="116"/>
  <c r="E8" i="116"/>
  <c r="D8" i="116"/>
  <c r="C8" i="116"/>
  <c r="B2" i="116"/>
  <c r="B1" i="116"/>
  <c r="B2" i="115"/>
  <c r="B1" i="115"/>
  <c r="B2" i="114"/>
  <c r="B1" i="114"/>
  <c r="B2" i="113"/>
  <c r="B1" i="113"/>
  <c r="B2" i="112" l="1"/>
  <c r="B1" i="112"/>
  <c r="B2" i="111" l="1"/>
  <c r="B1" i="111"/>
  <c r="G33" i="97" l="1"/>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F8" i="97"/>
  <c r="E8" i="97"/>
  <c r="D8" i="97"/>
  <c r="C8" i="97"/>
  <c r="B2" i="97"/>
  <c r="B1" i="97"/>
  <c r="B2" i="123"/>
  <c r="B1" i="123"/>
  <c r="B2" i="95"/>
  <c r="B1" i="95"/>
  <c r="B2" i="92"/>
  <c r="B1" i="92"/>
  <c r="G21" i="97" l="1"/>
  <c r="G39" i="97" s="1"/>
  <c r="J23" i="93"/>
  <c r="I23" i="93"/>
  <c r="K23" i="93" s="1"/>
  <c r="G23" i="93"/>
  <c r="F23" i="93"/>
  <c r="H23" i="93" s="1"/>
  <c r="J21" i="93"/>
  <c r="I21" i="93"/>
  <c r="K21" i="93" s="1"/>
  <c r="G21" i="93"/>
  <c r="F21" i="93"/>
  <c r="D21" i="93"/>
  <c r="C21" i="93"/>
  <c r="E21" i="93" s="1"/>
  <c r="K20" i="93"/>
  <c r="H20" i="93"/>
  <c r="E20" i="93"/>
  <c r="K19" i="93"/>
  <c r="H19" i="93"/>
  <c r="E19" i="93"/>
  <c r="K18" i="93"/>
  <c r="H18" i="93"/>
  <c r="E18" i="93"/>
  <c r="J16" i="93"/>
  <c r="J24" i="93" s="1"/>
  <c r="I16" i="93"/>
  <c r="G16" i="93"/>
  <c r="G24" i="93" s="1"/>
  <c r="G25" i="93" s="1"/>
  <c r="F16" i="93"/>
  <c r="D16" i="93"/>
  <c r="C16" i="93"/>
  <c r="E16" i="93" s="1"/>
  <c r="K15" i="93"/>
  <c r="H15" i="93"/>
  <c r="E15" i="93"/>
  <c r="K14" i="93"/>
  <c r="H14" i="93"/>
  <c r="E14" i="93"/>
  <c r="K13" i="93"/>
  <c r="H13" i="93"/>
  <c r="E13" i="93"/>
  <c r="K12" i="93"/>
  <c r="H12" i="93"/>
  <c r="E12" i="93"/>
  <c r="K11" i="93"/>
  <c r="H11" i="93"/>
  <c r="E11" i="93"/>
  <c r="K10" i="93"/>
  <c r="H10" i="93"/>
  <c r="E10" i="93"/>
  <c r="K8" i="93"/>
  <c r="H8" i="93"/>
  <c r="B2" i="93"/>
  <c r="B1" i="93"/>
  <c r="H20" i="91"/>
  <c r="H19" i="91"/>
  <c r="H18" i="91"/>
  <c r="H16" i="91"/>
  <c r="H12" i="91"/>
  <c r="H11" i="91"/>
  <c r="H10" i="91"/>
  <c r="H9" i="91"/>
  <c r="G20" i="91"/>
  <c r="G19" i="91"/>
  <c r="G18" i="91"/>
  <c r="G16" i="91"/>
  <c r="G12" i="91"/>
  <c r="G11" i="91"/>
  <c r="G10" i="91"/>
  <c r="G9" i="91"/>
  <c r="F20" i="91"/>
  <c r="F19" i="91"/>
  <c r="F18" i="91"/>
  <c r="F16" i="91"/>
  <c r="F15" i="91"/>
  <c r="F12" i="91"/>
  <c r="F11" i="91"/>
  <c r="F10" i="91"/>
  <c r="F9" i="91"/>
  <c r="E14" i="91"/>
  <c r="E13" i="91"/>
  <c r="D14" i="91"/>
  <c r="D13" i="91"/>
  <c r="C21" i="91"/>
  <c r="C20" i="91"/>
  <c r="C19" i="91"/>
  <c r="C18" i="91"/>
  <c r="C17" i="91"/>
  <c r="C16" i="91"/>
  <c r="C15" i="91"/>
  <c r="C14" i="91"/>
  <c r="C13" i="91"/>
  <c r="C12" i="91"/>
  <c r="C11" i="91"/>
  <c r="C10" i="91"/>
  <c r="C9" i="91"/>
  <c r="C8" i="91"/>
  <c r="B2" i="91"/>
  <c r="B1" i="91"/>
  <c r="T20" i="64"/>
  <c r="B2" i="64"/>
  <c r="B1" i="64"/>
  <c r="I24" i="93" l="1"/>
  <c r="F24" i="93"/>
  <c r="H24" i="93" s="1"/>
  <c r="H25" i="93" s="1"/>
  <c r="H21" i="93"/>
  <c r="J25" i="93"/>
  <c r="H16" i="93"/>
  <c r="I25" i="93"/>
  <c r="K24" i="93"/>
  <c r="K25" i="93" s="1"/>
  <c r="K16" i="93"/>
  <c r="B2" i="90"/>
  <c r="B1" i="90"/>
  <c r="B2" i="69"/>
  <c r="B1" i="69"/>
  <c r="B2" i="122"/>
  <c r="B1" i="122"/>
  <c r="B2" i="121"/>
  <c r="B1" i="121"/>
  <c r="C6" i="86"/>
  <c r="G17" i="110"/>
  <c r="F17" i="110"/>
  <c r="B1" i="110"/>
  <c r="F25" i="93" l="1"/>
  <c r="C50" i="84"/>
  <c r="C46" i="84"/>
  <c r="C12" i="95" l="1"/>
  <c r="I34" i="92"/>
  <c r="C38" i="110"/>
  <c r="C14" i="95" l="1"/>
  <c r="C13" i="95"/>
  <c r="C11" i="95"/>
  <c r="C10" i="95"/>
  <c r="F6" i="123"/>
  <c r="E6" i="123"/>
  <c r="D6" i="123"/>
  <c r="C6" i="123"/>
  <c r="E34"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Q18" i="92" s="1"/>
  <c r="I20" i="92"/>
  <c r="Q19" i="92"/>
  <c r="I19" i="92"/>
  <c r="I18" i="92"/>
  <c r="Q17" i="92"/>
  <c r="I17" i="92"/>
  <c r="Q16" i="92"/>
  <c r="Q14" i="92" s="1"/>
  <c r="I16" i="92"/>
  <c r="Q15" i="92"/>
  <c r="I15" i="92"/>
  <c r="I14" i="92"/>
  <c r="Q13" i="92"/>
  <c r="Q9" i="92" s="1"/>
  <c r="I13" i="92"/>
  <c r="Q12" i="92"/>
  <c r="Q8" i="92" s="1"/>
  <c r="I12" i="92"/>
  <c r="Q11" i="92"/>
  <c r="Q10" i="92" s="1"/>
  <c r="I11" i="92"/>
  <c r="I10" i="92"/>
  <c r="P9" i="92"/>
  <c r="O9" i="92"/>
  <c r="N9" i="92"/>
  <c r="M9" i="92"/>
  <c r="L9" i="92"/>
  <c r="K9" i="92"/>
  <c r="J9" i="92"/>
  <c r="G9" i="92"/>
  <c r="I9" i="92" s="1"/>
  <c r="F9" i="92"/>
  <c r="C9" i="92"/>
  <c r="P8" i="92"/>
  <c r="O8" i="92"/>
  <c r="N8" i="92"/>
  <c r="M8" i="92"/>
  <c r="L8" i="92"/>
  <c r="K8" i="92"/>
  <c r="J8" i="92"/>
  <c r="G8" i="92"/>
  <c r="F8" i="92"/>
  <c r="I8" i="92" s="1"/>
  <c r="C8" i="92"/>
  <c r="P7" i="92"/>
  <c r="P6" i="92" s="1"/>
  <c r="P34" i="92" s="1"/>
  <c r="O7" i="92"/>
  <c r="N7" i="92"/>
  <c r="N6" i="92" s="1"/>
  <c r="N34" i="92" s="1"/>
  <c r="M7" i="92"/>
  <c r="L7" i="92"/>
  <c r="L6" i="92" s="1"/>
  <c r="L34" i="92" s="1"/>
  <c r="K7" i="92"/>
  <c r="K6" i="92" s="1"/>
  <c r="K34" i="92" s="1"/>
  <c r="J7" i="92"/>
  <c r="J6" i="92" s="1"/>
  <c r="J34" i="92" s="1"/>
  <c r="G7" i="92"/>
  <c r="G6" i="92" s="1"/>
  <c r="G34" i="92" s="1"/>
  <c r="F7" i="92"/>
  <c r="I7" i="92" s="1"/>
  <c r="C7" i="92"/>
  <c r="O6" i="92"/>
  <c r="O34" i="92" s="1"/>
  <c r="M6" i="92"/>
  <c r="M34" i="92" s="1"/>
  <c r="F6" i="92"/>
  <c r="F34" i="92" s="1"/>
  <c r="E6" i="92"/>
  <c r="D6" i="92"/>
  <c r="D34" i="92" s="1"/>
  <c r="C6" i="92"/>
  <c r="C34" i="92" s="1"/>
  <c r="I6" i="92" l="1"/>
  <c r="Q7" i="92"/>
  <c r="Q6" i="92" s="1"/>
  <c r="Q34" i="92" s="1"/>
  <c r="D38" i="110" l="1"/>
  <c r="G38" i="110"/>
  <c r="F38" i="110"/>
  <c r="E38" i="110" l="1"/>
  <c r="A2" i="121" l="1"/>
  <c r="A1" i="121"/>
  <c r="F12" i="122"/>
  <c r="E12" i="122"/>
  <c r="D12" i="122"/>
  <c r="C12" i="122"/>
  <c r="B12" i="122"/>
  <c r="E11" i="122"/>
  <c r="D11" i="122"/>
  <c r="F11" i="122" s="1"/>
  <c r="C11" i="122"/>
  <c r="B11" i="122"/>
  <c r="F10" i="122"/>
  <c r="E10" i="122"/>
  <c r="D10" i="122"/>
  <c r="C10" i="122"/>
  <c r="B10" i="122"/>
  <c r="F9" i="122"/>
  <c r="E9" i="122"/>
  <c r="D9" i="122"/>
  <c r="C9" i="122"/>
  <c r="B9" i="122"/>
  <c r="B11" i="121"/>
  <c r="C22" i="111" l="1"/>
  <c r="B2" i="94" l="1"/>
  <c r="B2" i="89"/>
  <c r="B2" i="73"/>
  <c r="B2" i="88"/>
  <c r="B2" i="52"/>
  <c r="B2" i="86"/>
  <c r="C5" i="86" s="1"/>
  <c r="B2" i="110"/>
  <c r="B2" i="109"/>
  <c r="B2" i="108"/>
  <c r="B1" i="109"/>
  <c r="B1" i="108"/>
  <c r="H7" i="113" l="1"/>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C21" i="112"/>
  <c r="D21" i="112"/>
  <c r="E21" i="112"/>
  <c r="F21" i="112"/>
  <c r="G21" i="112"/>
  <c r="H21" i="112"/>
  <c r="H22" i="112"/>
  <c r="H23" i="112"/>
  <c r="H8" i="111"/>
  <c r="H9" i="111"/>
  <c r="H10" i="111"/>
  <c r="H11" i="111"/>
  <c r="H12" i="111"/>
  <c r="H13" i="111"/>
  <c r="H14" i="111"/>
  <c r="H15" i="111"/>
  <c r="H16" i="111"/>
  <c r="H17" i="111"/>
  <c r="H18" i="111"/>
  <c r="H19" i="111"/>
  <c r="H20" i="111"/>
  <c r="H21" i="111"/>
  <c r="D22" i="111"/>
  <c r="E22" i="111"/>
  <c r="F22" i="111"/>
  <c r="G22" i="111"/>
  <c r="H22" i="111" l="1"/>
  <c r="H34" i="113"/>
  <c r="D8" i="88"/>
  <c r="D16" i="88"/>
  <c r="D20" i="88"/>
  <c r="D25" i="88"/>
  <c r="D31"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3" i="110"/>
  <c r="E13" i="110"/>
  <c r="H12" i="110"/>
  <c r="E12" i="110"/>
  <c r="G11" i="110"/>
  <c r="F11" i="110"/>
  <c r="D11" i="110"/>
  <c r="C11" i="110"/>
  <c r="E11" i="110" s="1"/>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H37" i="109" s="1"/>
  <c r="D37" i="109"/>
  <c r="C37" i="109"/>
  <c r="E37" i="109" s="1"/>
  <c r="H36" i="109"/>
  <c r="E36" i="109"/>
  <c r="H35" i="109"/>
  <c r="E35" i="109"/>
  <c r="G34" i="109"/>
  <c r="F34" i="109"/>
  <c r="H34" i="109" s="1"/>
  <c r="D34" i="109"/>
  <c r="C34" i="109"/>
  <c r="E34" i="109" s="1"/>
  <c r="H33" i="109"/>
  <c r="E33" i="109"/>
  <c r="H32" i="109"/>
  <c r="E32" i="109"/>
  <c r="H31" i="109"/>
  <c r="E31" i="109"/>
  <c r="H30" i="109"/>
  <c r="E30" i="109"/>
  <c r="G29" i="109"/>
  <c r="F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E16" i="109"/>
  <c r="H15" i="109"/>
  <c r="E15" i="109"/>
  <c r="H14" i="109"/>
  <c r="E14" i="109"/>
  <c r="G13" i="109"/>
  <c r="F13" i="109"/>
  <c r="D13" i="109"/>
  <c r="C13" i="109"/>
  <c r="E13" i="109" s="1"/>
  <c r="H12" i="109"/>
  <c r="E12" i="109"/>
  <c r="H11" i="109"/>
  <c r="E11" i="109"/>
  <c r="H10" i="109"/>
  <c r="E10" i="109"/>
  <c r="H9" i="109"/>
  <c r="E9" i="109"/>
  <c r="H8" i="109"/>
  <c r="E8" i="109"/>
  <c r="H7" i="109"/>
  <c r="E7" i="109"/>
  <c r="G6" i="109"/>
  <c r="F6" i="109"/>
  <c r="D6" i="109"/>
  <c r="C6" i="109"/>
  <c r="G68" i="108"/>
  <c r="F68" i="108"/>
  <c r="H67" i="108"/>
  <c r="E67" i="108"/>
  <c r="H66" i="108"/>
  <c r="E66" i="108"/>
  <c r="C65" i="69" s="1"/>
  <c r="H65" i="108"/>
  <c r="E65" i="108"/>
  <c r="C64" i="69" s="1"/>
  <c r="H64" i="108"/>
  <c r="E64" i="108"/>
  <c r="C63" i="69" s="1"/>
  <c r="H63" i="108"/>
  <c r="D63" i="108"/>
  <c r="C63" i="108"/>
  <c r="H62" i="108"/>
  <c r="E62" i="108"/>
  <c r="C61" i="69" s="1"/>
  <c r="H61" i="108"/>
  <c r="E61" i="108"/>
  <c r="C60" i="69" s="1"/>
  <c r="H60" i="108"/>
  <c r="E60" i="108"/>
  <c r="C59" i="69" s="1"/>
  <c r="C58" i="69" s="1"/>
  <c r="H59" i="108"/>
  <c r="D59" i="108"/>
  <c r="E59" i="108" s="1"/>
  <c r="C59" i="108"/>
  <c r="C68" i="108" s="1"/>
  <c r="H58" i="108"/>
  <c r="E58" i="108"/>
  <c r="C57" i="69" s="1"/>
  <c r="H57" i="108"/>
  <c r="E57" i="108"/>
  <c r="C56" i="69" s="1"/>
  <c r="H56" i="108"/>
  <c r="E56" i="108"/>
  <c r="C55" i="69" s="1"/>
  <c r="H55" i="108"/>
  <c r="E55" i="108"/>
  <c r="H52" i="108"/>
  <c r="E52" i="108"/>
  <c r="C51" i="69" s="1"/>
  <c r="H51" i="108"/>
  <c r="E51" i="108"/>
  <c r="C50" i="69" s="1"/>
  <c r="H50" i="108"/>
  <c r="E50" i="108"/>
  <c r="C49" i="69" s="1"/>
  <c r="H49" i="108"/>
  <c r="E49" i="108"/>
  <c r="C48" i="69" s="1"/>
  <c r="H48" i="108"/>
  <c r="E48" i="108"/>
  <c r="C47" i="69" s="1"/>
  <c r="G47" i="108"/>
  <c r="H47" i="108"/>
  <c r="D47" i="108"/>
  <c r="C47" i="108"/>
  <c r="H46" i="108"/>
  <c r="E46" i="108"/>
  <c r="H45" i="108"/>
  <c r="E45" i="108"/>
  <c r="C44" i="69" s="1"/>
  <c r="H44" i="108"/>
  <c r="E44" i="108"/>
  <c r="C43" i="69" s="1"/>
  <c r="H43" i="108"/>
  <c r="E43" i="108"/>
  <c r="C42" i="69" s="1"/>
  <c r="H42" i="108"/>
  <c r="E42" i="108"/>
  <c r="C41" i="69" s="1"/>
  <c r="G41" i="108"/>
  <c r="G53" i="108" s="1"/>
  <c r="G69" i="108" s="1"/>
  <c r="F41" i="108"/>
  <c r="D41" i="108"/>
  <c r="C41" i="108"/>
  <c r="C53" i="108" s="1"/>
  <c r="H40" i="108"/>
  <c r="E40" i="108"/>
  <c r="C39" i="69" s="1"/>
  <c r="H39" i="108"/>
  <c r="E39" i="108"/>
  <c r="C38" i="69" s="1"/>
  <c r="H38" i="108"/>
  <c r="E38" i="108"/>
  <c r="C37" i="69" s="1"/>
  <c r="H35" i="108"/>
  <c r="E35" i="108"/>
  <c r="C36" i="88" s="1"/>
  <c r="E36" i="88" s="1"/>
  <c r="H34" i="108"/>
  <c r="E34" i="108"/>
  <c r="C35" i="88" s="1"/>
  <c r="H33" i="108"/>
  <c r="E33" i="108"/>
  <c r="C34" i="88" s="1"/>
  <c r="H32" i="108"/>
  <c r="E32" i="108"/>
  <c r="C33" i="88" s="1"/>
  <c r="H31" i="108"/>
  <c r="E31" i="108"/>
  <c r="C32" i="88" s="1"/>
  <c r="G30" i="108"/>
  <c r="F30" i="108"/>
  <c r="H30" i="108" s="1"/>
  <c r="D30" i="108"/>
  <c r="C30" i="108"/>
  <c r="H29" i="108"/>
  <c r="E29" i="108"/>
  <c r="C30" i="88" s="1"/>
  <c r="H28" i="108"/>
  <c r="E28" i="108"/>
  <c r="C29" i="88" s="1"/>
  <c r="G27" i="108"/>
  <c r="F27" i="108"/>
  <c r="H27" i="108" s="1"/>
  <c r="D27" i="108"/>
  <c r="C27" i="108"/>
  <c r="H26" i="108"/>
  <c r="E26" i="108"/>
  <c r="C27" i="88" s="1"/>
  <c r="H25" i="108"/>
  <c r="E25" i="108"/>
  <c r="C26" i="88" s="1"/>
  <c r="G24" i="108"/>
  <c r="F24" i="108"/>
  <c r="D24" i="108"/>
  <c r="C24" i="108"/>
  <c r="H23" i="108"/>
  <c r="E23" i="108"/>
  <c r="C24" i="88" s="1"/>
  <c r="H22" i="108"/>
  <c r="E22" i="108"/>
  <c r="C23" i="88" s="1"/>
  <c r="H21" i="108"/>
  <c r="E21" i="108"/>
  <c r="C22" i="88" s="1"/>
  <c r="H20" i="108"/>
  <c r="E20" i="108"/>
  <c r="C21" i="88" s="1"/>
  <c r="G19" i="108"/>
  <c r="F19" i="108"/>
  <c r="D19" i="108"/>
  <c r="C19" i="108"/>
  <c r="H18" i="108"/>
  <c r="E18" i="108"/>
  <c r="C19" i="88" s="1"/>
  <c r="H17" i="108"/>
  <c r="E17" i="108"/>
  <c r="C18" i="88" s="1"/>
  <c r="H16" i="108"/>
  <c r="E16" i="108"/>
  <c r="C17" i="88" s="1"/>
  <c r="G15" i="108"/>
  <c r="F15" i="108"/>
  <c r="H15" i="108" s="1"/>
  <c r="D15" i="108"/>
  <c r="C15" i="108"/>
  <c r="E15" i="108" s="1"/>
  <c r="H14" i="108"/>
  <c r="E14" i="108"/>
  <c r="C15" i="88" s="1"/>
  <c r="H13" i="108"/>
  <c r="E13" i="108"/>
  <c r="C14" i="88" s="1"/>
  <c r="H12" i="108"/>
  <c r="E12" i="108"/>
  <c r="C13" i="88" s="1"/>
  <c r="H11" i="108"/>
  <c r="E11" i="108"/>
  <c r="C12" i="88" s="1"/>
  <c r="H10" i="108"/>
  <c r="E10" i="108"/>
  <c r="C11" i="88" s="1"/>
  <c r="H9" i="108"/>
  <c r="E9" i="108"/>
  <c r="C10" i="88" s="1"/>
  <c r="H8" i="108"/>
  <c r="E8" i="108"/>
  <c r="C9" i="88" s="1"/>
  <c r="G7" i="108"/>
  <c r="F7" i="108"/>
  <c r="D7" i="108"/>
  <c r="C7" i="108"/>
  <c r="E19" i="108" l="1"/>
  <c r="H29" i="109"/>
  <c r="C13" i="69"/>
  <c r="E15" i="88"/>
  <c r="E18" i="88"/>
  <c r="C16" i="69"/>
  <c r="E24" i="108"/>
  <c r="E27" i="108"/>
  <c r="C15" i="89" s="1"/>
  <c r="C7" i="95" s="1"/>
  <c r="E30" i="108"/>
  <c r="C54" i="69"/>
  <c r="C7" i="89"/>
  <c r="C10" i="69"/>
  <c r="E12" i="88"/>
  <c r="C17" i="69"/>
  <c r="E19" i="88"/>
  <c r="E35" i="88"/>
  <c r="C33" i="69"/>
  <c r="C21" i="69"/>
  <c r="E23" i="88"/>
  <c r="E13" i="88"/>
  <c r="C11" i="69"/>
  <c r="C27" i="69"/>
  <c r="D29" i="88"/>
  <c r="E29" i="88" s="1"/>
  <c r="C62" i="69"/>
  <c r="E14" i="88"/>
  <c r="C12" i="69"/>
  <c r="E17" i="88"/>
  <c r="C15" i="69"/>
  <c r="C14" i="69" s="1"/>
  <c r="C16" i="88"/>
  <c r="C22" i="69"/>
  <c r="E24" i="88"/>
  <c r="E27" i="88"/>
  <c r="C25" i="69"/>
  <c r="E33" i="88"/>
  <c r="C31" i="69"/>
  <c r="C46" i="69"/>
  <c r="G36" i="108"/>
  <c r="C66" i="69"/>
  <c r="C11" i="89"/>
  <c r="C6" i="73"/>
  <c r="C45" i="69"/>
  <c r="C40" i="69"/>
  <c r="E34" i="88"/>
  <c r="C32" i="69"/>
  <c r="C30" i="69"/>
  <c r="C29" i="69" s="1"/>
  <c r="E32" i="88"/>
  <c r="E31" i="88" s="1"/>
  <c r="C31" i="88"/>
  <c r="D30" i="88"/>
  <c r="D28" i="88" s="1"/>
  <c r="D37" i="88" s="1"/>
  <c r="C28" i="69"/>
  <c r="C26" i="69" s="1"/>
  <c r="C28" i="88"/>
  <c r="C24" i="69"/>
  <c r="E26" i="88"/>
  <c r="C25" i="88"/>
  <c r="E22" i="88"/>
  <c r="C20" i="69"/>
  <c r="E21" i="88"/>
  <c r="E20" i="88" s="1"/>
  <c r="C19" i="69"/>
  <c r="C20" i="88"/>
  <c r="E11" i="88"/>
  <c r="C9" i="69"/>
  <c r="E9" i="88"/>
  <c r="C7" i="69"/>
  <c r="C8" i="88"/>
  <c r="E10" i="88"/>
  <c r="C8" i="69"/>
  <c r="E8" i="110"/>
  <c r="H14" i="110"/>
  <c r="H8" i="110"/>
  <c r="H11" i="110"/>
  <c r="H30" i="110"/>
  <c r="E14" i="110"/>
  <c r="C43" i="109"/>
  <c r="C45" i="109" s="1"/>
  <c r="E6" i="109"/>
  <c r="F43" i="109"/>
  <c r="F45" i="109" s="1"/>
  <c r="G43" i="109"/>
  <c r="G45" i="109" s="1"/>
  <c r="H13" i="109"/>
  <c r="E29" i="109"/>
  <c r="H19" i="108"/>
  <c r="F36" i="108"/>
  <c r="D36" i="108"/>
  <c r="D53" i="108"/>
  <c r="E53" i="108" s="1"/>
  <c r="H7" i="108"/>
  <c r="H41" i="108"/>
  <c r="H24" i="108"/>
  <c r="C36" i="108"/>
  <c r="D68" i="108"/>
  <c r="E47" i="108"/>
  <c r="E63" i="108"/>
  <c r="E7" i="108"/>
  <c r="E17" i="110"/>
  <c r="H6" i="109"/>
  <c r="D43" i="109"/>
  <c r="D45" i="109" s="1"/>
  <c r="C69" i="108"/>
  <c r="H68" i="108"/>
  <c r="E41" i="108"/>
  <c r="F53" i="108"/>
  <c r="H36" i="108" l="1"/>
  <c r="C18" i="69"/>
  <c r="C67" i="69"/>
  <c r="E25" i="88"/>
  <c r="C23" i="69"/>
  <c r="E16" i="88"/>
  <c r="C52" i="69"/>
  <c r="H53" i="108"/>
  <c r="F69" i="108"/>
  <c r="H69" i="108" s="1"/>
  <c r="C37" i="88"/>
  <c r="E30" i="88"/>
  <c r="E28" i="88" s="1"/>
  <c r="C6" i="69"/>
  <c r="E36" i="108"/>
  <c r="C6" i="95" s="1"/>
  <c r="E8" i="88"/>
  <c r="E37" i="88" s="1"/>
  <c r="H45" i="109"/>
  <c r="E45" i="109"/>
  <c r="H43" i="109"/>
  <c r="D69" i="108"/>
  <c r="E69" i="108" s="1"/>
  <c r="E68" i="108"/>
  <c r="E43" i="109"/>
  <c r="C68" i="69" l="1"/>
  <c r="C35" i="69"/>
  <c r="B1" i="94"/>
  <c r="B1" i="89"/>
  <c r="B1" i="73"/>
  <c r="B1" i="88"/>
  <c r="B1" i="52"/>
  <c r="B1" i="86"/>
  <c r="G5" i="86"/>
  <c r="F5" i="86"/>
  <c r="E5" i="86"/>
  <c r="D5" i="86"/>
  <c r="G5" i="84"/>
  <c r="F5" i="84"/>
  <c r="E5" i="84"/>
  <c r="D5" i="84"/>
  <c r="C5" i="84"/>
  <c r="E6" i="86" l="1"/>
  <c r="E13" i="86" s="1"/>
  <c r="F6" i="86"/>
  <c r="F13" i="86" s="1"/>
  <c r="G6" i="86"/>
  <c r="G13" i="86" s="1"/>
  <c r="C21" i="94" l="1"/>
  <c r="C20" i="94"/>
  <c r="C19" i="94"/>
  <c r="B1" i="84" l="1"/>
  <c r="C26" i="95" l="1"/>
  <c r="C22" i="95"/>
  <c r="C8" i="95"/>
  <c r="C32" i="95" l="1"/>
  <c r="D6" i="86"/>
  <c r="D13" i="86"/>
  <c r="B19" i="121" l="1"/>
  <c r="C13" i="86"/>
  <c r="B18" i="121" l="1"/>
  <c r="D15" i="94"/>
  <c r="D19" i="94"/>
  <c r="D17" i="94"/>
  <c r="D8" i="94"/>
  <c r="D20" i="94"/>
  <c r="D9" i="94"/>
  <c r="D7" i="94"/>
  <c r="D12" i="94"/>
  <c r="D16" i="94"/>
  <c r="D21" i="94"/>
  <c r="D13" i="94"/>
  <c r="D11" i="94"/>
  <c r="S21" i="90"/>
  <c r="F21" i="91" s="1"/>
  <c r="S20" i="90"/>
  <c r="S19" i="90"/>
  <c r="S18" i="90"/>
  <c r="S17" i="90"/>
  <c r="F17" i="91" s="1"/>
  <c r="G17" i="91" s="1"/>
  <c r="H17" i="91" s="1"/>
  <c r="S16" i="90"/>
  <c r="S15" i="90"/>
  <c r="S14" i="90"/>
  <c r="F14" i="91" s="1"/>
  <c r="S13" i="90"/>
  <c r="F13" i="91" s="1"/>
  <c r="G13" i="91" s="1"/>
  <c r="H13" i="91" s="1"/>
  <c r="S12" i="90"/>
  <c r="S11" i="90"/>
  <c r="S10" i="90"/>
  <c r="S9" i="90"/>
  <c r="S8" i="90"/>
  <c r="F8" i="91" s="1"/>
  <c r="G8" i="91" s="1"/>
  <c r="H8" i="91" s="1"/>
  <c r="T21" i="64" l="1"/>
  <c r="U21" i="64"/>
  <c r="S21" i="64"/>
  <c r="C21" i="64"/>
  <c r="F22" i="91"/>
  <c r="E22" i="91"/>
  <c r="D22" i="91"/>
  <c r="C22" i="91"/>
  <c r="K22" i="90" l="1"/>
  <c r="L22" i="90"/>
  <c r="M22" i="90"/>
  <c r="N22" i="90"/>
  <c r="O22" i="90"/>
  <c r="P22" i="90"/>
  <c r="Q22" i="90"/>
  <c r="R22" i="90"/>
  <c r="S22" i="90"/>
  <c r="C5" i="73" l="1"/>
  <c r="C12" i="89" l="1"/>
  <c r="C6" i="89"/>
  <c r="D22" i="90" l="1"/>
  <c r="E22" i="90"/>
  <c r="F22" i="90"/>
  <c r="G22" i="90"/>
  <c r="H22" i="90"/>
  <c r="I22" i="90"/>
  <c r="J22" i="90"/>
  <c r="C29" i="89"/>
  <c r="C32" i="89"/>
  <c r="C31" i="89" s="1"/>
  <c r="C36" i="89"/>
  <c r="C44" i="89"/>
  <c r="C48" i="89"/>
  <c r="B8" i="121" l="1"/>
  <c r="C31" i="95"/>
  <c r="C34" i="95" s="1"/>
  <c r="C42" i="89"/>
  <c r="B9" i="121" s="1"/>
  <c r="C8" i="73"/>
  <c r="C13" i="73" s="1"/>
  <c r="C53" i="89"/>
  <c r="B10" i="121" s="1"/>
  <c r="B7" i="121" l="1"/>
  <c r="B6" i="121" s="1"/>
  <c r="D21" i="64"/>
  <c r="E21" i="64"/>
  <c r="F21" i="64"/>
  <c r="G21" i="64"/>
  <c r="H21" i="64"/>
  <c r="I21" i="64"/>
  <c r="J21" i="64"/>
  <c r="K21" i="64"/>
  <c r="L21" i="64"/>
  <c r="M21" i="64"/>
  <c r="N21" i="64"/>
  <c r="O21" i="64"/>
  <c r="P21" i="64"/>
  <c r="Q21" i="64"/>
  <c r="R21" i="64"/>
  <c r="B16" i="121" l="1"/>
  <c r="B14" i="121" s="1"/>
  <c r="B23" i="121" s="1"/>
  <c r="B22" i="121"/>
  <c r="B21" i="121"/>
  <c r="V8" i="64"/>
  <c r="V9" i="64"/>
  <c r="V10" i="64"/>
  <c r="V11" i="64"/>
  <c r="V12" i="64"/>
  <c r="V13" i="64"/>
  <c r="G14" i="91" s="1"/>
  <c r="V14" i="64"/>
  <c r="G15" i="91" s="1"/>
  <c r="H15" i="91" s="1"/>
  <c r="V15" i="64"/>
  <c r="V16" i="64"/>
  <c r="V17" i="64"/>
  <c r="V18" i="64"/>
  <c r="V19" i="64"/>
  <c r="V20" i="64"/>
  <c r="G21" i="91" s="1"/>
  <c r="H21" i="91" s="1"/>
  <c r="V7" i="64"/>
  <c r="H14" i="91" l="1"/>
  <c r="G22" i="91"/>
  <c r="H22" i="91" s="1"/>
  <c r="V21" i="64"/>
</calcChain>
</file>

<file path=xl/comments1.xml><?xml version="1.0" encoding="utf-8"?>
<comments xmlns="http://schemas.openxmlformats.org/spreadsheetml/2006/main">
  <authors>
    <author>Author</author>
  </authors>
  <commentList>
    <comment ref="B5" authorId="0" shapeId="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<sst xmlns="http://schemas.openxmlformats.org/spreadsheetml/2006/main" count="1250" uniqueCount="779">
  <si>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</si>
  <si>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</si>
  <si>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</si>
  <si>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</si>
  <si>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</si>
  <si>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</si>
  <si>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</si>
  <si>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</si>
  <si>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</si>
  <si>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</si>
  <si>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</si>
  <si>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</si>
  <si>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</si>
  <si>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</si>
  <si>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</si>
  <si>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</si>
  <si>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</si>
  <si>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</si>
  <si>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</si>
  <si>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</si>
  <si>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</si>
  <si>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</si>
  <si>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</si>
  <si>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</si>
  <si>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</si>
  <si>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</si>
  <si>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</si>
  <si>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</si>
  <si>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</si>
  <si>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</si>
  <si>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</si>
  <si>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</si>
  <si>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</si>
  <si>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</si>
  <si>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</si>
  <si>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</si>
  <si>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</si>
  <si>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</si>
  <si>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</si>
  <si>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</si>
  <si>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</si>
  <si>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</si>
  <si>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</si>
  <si>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</si>
  <si>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</si>
  <si>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</si>
  <si>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</si>
  <si>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</si>
  <si>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</si>
  <si>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</si>
  <si>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</si>
  <si>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</si>
  <si>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</si>
  <si>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</si>
  <si>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</si>
  <si>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</si>
  <si>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</si>
  <si>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</si>
  <si>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</si>
  <si>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</si>
  <si>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</si>
  <si>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</si>
  <si>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</si>
  <si>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</si>
  <si>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</si>
  <si>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</si>
  <si>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</si>
  <si>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</si>
  <si>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</si>
  <si>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</si>
  <si>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</si>
  <si>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</si>
  <si>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</si>
  <si>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</si>
  <si>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</si>
  <si>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</si>
  <si>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</si>
  <si>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</si>
  <si>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</si>
  <si>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</si>
  <si>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</si>
  <si>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</si>
  <si>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</si>
  <si>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</si>
  <si>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</si>
  <si>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</si>
  <si>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</si>
  <si>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</si>
  <si>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</si>
  <si>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</si>
  <si>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</si>
  <si>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</si>
  <si>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</si>
  <si>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</si>
  <si>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</si>
  <si>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</si>
  <si>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</si>
  <si>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</si>
  <si>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</si>
  <si>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</si>
  <si>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</si>
  <si>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</si>
  <si>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</si>
  <si>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</si>
  <si>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</si>
  <si>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</si>
  <si>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</si>
  <si>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</si>
  <si>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</si>
  <si>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</si>
  <si>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</si>
  <si>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</si>
  <si>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</si>
  <si>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</si>
  <si>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</si>
  <si>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</si>
  <si>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</si>
  <si>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</si>
  <si>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</si>
  <si>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</si>
  <si>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</si>
  <si>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</si>
  <si>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</si>
  <si>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</si>
  <si>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</si>
  <si>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</si>
  <si>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</si>
  <si>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</si>
  <si>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</si>
  <si>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</si>
  <si>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</si>
  <si>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</si>
  <si>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</si>
  <si>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</si>
  <si>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</si>
  <si>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</si>
  <si>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</si>
  <si>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</si>
  <si>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</si>
  <si>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</si>
  <si>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</si>
  <si>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</si>
  <si>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</si>
  <si>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</si>
  <si>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</si>
  <si>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</si>
  <si>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</si>
  <si>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</si>
  <si>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</si>
  <si>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</si>
  <si>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</si>
  <si>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</si>
  <si>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</si>
  <si>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</si>
  <si>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</si>
  <si>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</si>
  <si>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</si>
  <si>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</si>
  <si>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</si>
  <si>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</si>
  <si>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</si>
  <si>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</si>
  <si>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</si>
  <si>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</si>
  <si>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</si>
  <si>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</si>
  <si>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</si>
  <si>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</si>
  <si>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</si>
  <si>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</si>
  <si>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</si>
  <si>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</si>
  <si>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</si>
  <si>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</si>
  <si>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</si>
  <si>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</si>
  <si>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</si>
  <si>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</si>
  <si>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</si>
  <si>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</si>
  <si>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</si>
  <si>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</si>
  <si>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</si>
  <si>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</si>
  <si>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</si>
  <si>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</si>
  <si>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</si>
  <si>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</si>
  <si>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</si>
  <si>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</si>
  <si>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</si>
  <si>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</si>
  <si>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</si>
  <si>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</si>
  <si>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</si>
  <si>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</si>
  <si>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</si>
  <si>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</si>
  <si>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</si>
  <si>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</si>
  <si>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</si>
  <si>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</si>
  <si>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</si>
  <si>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</si>
  <si>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</si>
  <si>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</si>
  <si>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</si>
  <si>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</si>
  <si>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</si>
  <si>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</si>
  <si>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</si>
  <si>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</si>
  <si>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</si>
  <si>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</si>
  <si>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</si>
  <si>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</si>
  <si>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</si>
  <si>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</si>
  <si>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</si>
  <si>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</si>
  <si>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</si>
  <si>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</si>
  <si>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</si>
  <si>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</si>
  <si>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</si>
  <si>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</si>
  <si>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</si>
  <si>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</si>
  <si>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</si>
  <si>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</si>
  <si>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</si>
  <si>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</si>
  <si>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</si>
  <si>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</si>
  <si>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</si>
  <si>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</si>
  <si>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</si>
  <si>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</si>
  <si>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</si>
  <si>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</si>
  <si>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</si>
  <si>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</si>
  <si>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</si>
  <si>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</si>
  <si>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</si>
  <si>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</si>
  <si>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</si>
  <si>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</si>
  <si>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</si>
  <si>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</si>
  <si>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</si>
  <si>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</si>
  <si>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</si>
  <si>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</si>
  <si>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</si>
  <si>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</si>
  <si>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</si>
  <si>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</si>
  <si>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</si>
  <si>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</si>
  <si>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</si>
  <si>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</si>
  <si>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</si>
  <si>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</si>
  <si>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</si>
  <si>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</si>
  <si>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</si>
  <si>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</si>
  <si>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</si>
  <si>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</si>
  <si>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</si>
  <si>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</si>
  <si>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</si>
  <si>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</si>
  <si>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</si>
  <si>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</si>
  <si>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</si>
  <si>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</si>
  <si>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</si>
  <si>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</si>
  <si>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</si>
  <si>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</si>
  <si>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</si>
  <si>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</si>
  <si>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</si>
  <si>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</si>
  <si>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</si>
  <si>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</si>
  <si>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</si>
  <si>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</si>
  <si>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</si>
  <si>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</si>
  <si>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</si>
  <si>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</si>
  <si>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</si>
  <si>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</si>
  <si>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</si>
  <si>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</si>
  <si>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</si>
  <si>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</si>
  <si>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</si>
  <si>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</si>
  <si>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</si>
  <si>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</si>
  <si>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</si>
  <si>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</si>
  <si>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</si>
  <si>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</si>
  <si>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</si>
  <si>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</si>
  <si>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</si>
  <si>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</si>
  <si>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</si>
  <si>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</si>
  <si>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</si>
  <si>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</si>
  <si>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</si>
  <si>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</si>
  <si>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</si>
  <si>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</si>
  <si>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</si>
  <si>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</si>
  <si>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</si>
  <si>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</si>
  <si>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</si>
  <si>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</si>
  <si>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</si>
  <si>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</si>
  <si>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</si>
  <si>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</si>
  <si>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</si>
  <si>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</si>
  <si>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</si>
  <si>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</si>
  <si>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</si>
  <si>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</si>
  <si>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</si>
  <si>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</si>
  <si>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</si>
  <si>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</si>
  <si>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</si>
  <si>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</si>
  <si>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</si>
  <si>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</si>
  <si>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</si>
  <si>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</si>
  <si>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</si>
  <si>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</si>
  <si>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</si>
  <si>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</si>
  <si>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</si>
  <si>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</si>
  <si>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</si>
  <si>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</si>
  <si>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</si>
  <si>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</si>
  <si>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</si>
  <si>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</si>
  <si>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</si>
  <si>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</si>
  <si>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</si>
  <si>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</si>
  <si>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</si>
  <si>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</si>
  <si>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</si>
  <si>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</si>
  <si>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</si>
  <si>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</si>
  <si>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</si>
  <si>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</si>
  <si>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</si>
  <si>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</si>
  <si>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</si>
  <si>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</si>
  <si>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</si>
  <si>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</si>
  <si>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</si>
  <si>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</si>
  <si>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</si>
  <si>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</si>
  <si>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</si>
  <si>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</si>
  <si>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</si>
  <si>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</si>
  <si>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</si>
  <si>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</si>
  <si>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</si>
  <si>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</si>
  <si>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</si>
  <si>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</si>
  <si>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</si>
  <si>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</si>
  <si>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</si>
  <si>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</si>
  <si>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</si>
  <si>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</si>
  <si>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</si>
  <si>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</si>
  <si>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</si>
  <si>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</si>
  <si>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</si>
  <si>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</si>
  <si>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</si>
  <si>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</si>
  <si>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</si>
  <si>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</si>
  <si>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</si>
  <si>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</si>
  <si>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</si>
  <si>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</si>
  <si>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</si>
  <si>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</si>
  <si>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</si>
  <si>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</si>
  <si>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</si>
  <si>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</si>
  <si>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</si>
  <si>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</si>
  <si>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</si>
  <si>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</si>
  <si>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</si>
  <si>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</si>
  <si>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</si>
  <si>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</si>
  <si>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</si>
  <si>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</si>
  <si>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</si>
  <si>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</si>
  <si>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</si>
  <si>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</si>
  <si>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</si>
  <si>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</si>
  <si>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</si>
  <si>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</si>
  <si>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</si>
  <si>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</si>
  <si>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</si>
  <si>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</si>
  <si>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</si>
  <si>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</si>
  <si>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</si>
  <si>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</si>
  <si>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</si>
  <si>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</si>
  <si>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</si>
  <si>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</si>
  <si>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</si>
  <si>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</si>
  <si>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</si>
  <si>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</si>
  <si>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</si>
  <si>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</si>
  <si>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</si>
  <si>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</si>
  <si>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</si>
  <si>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</si>
  <si>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</si>
  <si>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</si>
  <si>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</si>
  <si>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</si>
  <si>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</si>
  <si>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</si>
  <si>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</si>
  <si>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</si>
  <si>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</si>
  <si>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</si>
  <si>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</si>
  <si>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</si>
  <si>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</si>
  <si>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</si>
  <si>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</si>
  <si>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</si>
  <si>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</si>
  <si>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</si>
  <si>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</si>
  <si>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</si>
  <si>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</si>
  <si>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</si>
  <si>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</si>
  <si>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</si>
  <si>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</si>
  <si>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</si>
  <si>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</si>
  <si>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</si>
  <si>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</si>
  <si>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</si>
  <si>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</si>
  <si>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</si>
  <si>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</si>
  <si>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</si>
  <si>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</si>
  <si>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</si>
  <si>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</si>
  <si>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</si>
  <si>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</si>
  <si>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</si>
  <si>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</si>
  <si>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</si>
  <si>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</si>
  <si>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</si>
  <si>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</si>
  <si>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</si>
  <si>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</si>
  <si>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</si>
  <si>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</si>
  <si>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</si>
  <si>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</si>
  <si>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</si>
  <si>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</si>
  <si>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</si>
  <si>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</si>
  <si>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</si>
  <si>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</si>
  <si>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</si>
  <si>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</si>
  <si>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</si>
  <si>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</si>
  <si>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</si>
  <si>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</si>
  <si>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</si>
  <si>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</si>
  <si>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</si>
  <si>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</si>
  <si>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</si>
  <si>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</si>
  <si>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</si>
  <si>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</si>
  <si>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</si>
  <si>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</si>
  <si>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</si>
  <si>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</si>
  <si>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</si>
  <si>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</si>
  <si>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</si>
  <si>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</si>
  <si>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</si>
  <si>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</si>
  <si>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</si>
  <si>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</si>
  <si>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</si>
  <si>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</si>
  <si>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</si>
  <si>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</si>
  <si>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</si>
  <si>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</si>
  <si>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</si>
  <si>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</si>
  <si>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</si>
  <si>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</si>
  <si>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</si>
  <si>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</si>
  <si>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</si>
  <si>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</si>
  <si>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</si>
  <si>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</si>
  <si>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</si>
  <si>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</si>
  <si>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</si>
  <si>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</si>
  <si>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</si>
  <si>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</si>
  <si>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</si>
  <si>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</si>
  <si>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</si>
  <si>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</si>
  <si>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</si>
  <si>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</si>
  <si>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</si>
  <si>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</si>
  <si>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</si>
  <si>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</si>
  <si>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</si>
  <si>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</si>
  <si>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</si>
  <si>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</si>
  <si>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</si>
  <si>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</si>
  <si>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</si>
  <si>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</si>
  <si>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</si>
  <si>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</si>
  <si>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</si>
  <si>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</si>
  <si>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</si>
  <si>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</si>
  <si>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</si>
  <si>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</si>
  <si>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</si>
  <si>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</si>
  <si>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</si>
  <si>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</si>
  <si>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</si>
  <si>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</si>
  <si>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</si>
  <si>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</si>
  <si>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</si>
  <si>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</si>
  <si>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</si>
  <si>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</si>
  <si>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</si>
  <si>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</si>
  <si>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</si>
  <si>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</si>
  <si>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</si>
  <si>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</si>
  <si>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</si>
  <si>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</si>
  <si>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</si>
  <si>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</si>
  <si>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</si>
  <si>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</si>
  <si>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</si>
  <si>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</si>
  <si>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</si>
  <si>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</si>
  <si>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</si>
  <si>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</si>
  <si>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</si>
  <si>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</si>
  <si>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</si>
  <si>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</si>
  <si>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</si>
  <si>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</si>
  <si>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</si>
  <si>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</si>
  <si>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</si>
  <si>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</si>
  <si>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</si>
  <si>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</si>
  <si>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</si>
  <si>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</si>
  <si>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</si>
  <si>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</si>
  <si>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</si>
  <si>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</si>
  <si>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</si>
  <si>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</si>
  <si>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</si>
  <si>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</si>
  <si>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</si>
  <si>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</si>
  <si>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</si>
  <si>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</si>
  <si>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</si>
  <si>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</si>
  <si>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</si>
  <si>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</si>
  <si>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</si>
  <si>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</si>
  <si>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</si>
  <si>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</si>
  <si>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</si>
  <si>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</si>
  <si>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</si>
  <si>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</si>
  <si>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</si>
  <si>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</si>
  <si>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</si>
  <si>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</si>
  <si>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</si>
  <si>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</si>
  <si>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</si>
  <si>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</si>
  <si>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</si>
  <si>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</si>
  <si>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</si>
  <si>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</si>
  <si>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</si>
  <si>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</si>
  <si>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</si>
  <si>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</si>
  <si>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</si>
  <si>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</si>
  <si>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</si>
  <si>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</si>
  <si>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</si>
  <si>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</si>
  <si>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</si>
  <si>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</si>
  <si>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</si>
  <si>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</si>
  <si>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</si>
  <si>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</si>
  <si>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</si>
  <si>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</si>
  <si>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</si>
  <si>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</si>
  <si>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</si>
  <si>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</si>
  <si>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</si>
  <si>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</si>
  <si>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</si>
  <si>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</si>
  <si>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</si>
  <si>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</si>
  <si>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</si>
  <si>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</si>
  <si>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</si>
  <si>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</si>
  <si>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</si>
  <si>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</si>
  <si>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</si>
  <si>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</si>
  <si>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</si>
  <si>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</si>
  <si>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</si>
  <si>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</si>
  <si>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</si>
  <si>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</si>
  <si>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</si>
  <si>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</si>
  <si>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</si>
  <si>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</si>
  <si>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</si>
  <si>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</si>
  <si>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</si>
  <si>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</si>
  <si>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</si>
  <si>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</si>
  <si>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</si>
  <si>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</si>
  <si>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</si>
  <si>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</si>
  <si>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</si>
  <si>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</si>
  <si>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</si>
  <si>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</si>
  <si>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</si>
  <si>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</si>
  <si>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</si>
  <si>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</si>
  <si>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</si>
  <si>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</si>
  <si>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</si>
  <si>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</si>
  <si>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</si>
  <si>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</si>
  <si>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</si>
  <si>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</si>
  <si>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</si>
  <si>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</si>
  <si>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</si>
  <si>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</si>
  <si>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</si>
  <si>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</si>
  <si>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</si>
  <si>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</si>
  <si>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</si>
  <si>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</si>
  <si>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</si>
  <si>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</si>
  <si>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</si>
  <si>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Isbank Georgia</t>
  </si>
  <si>
    <t>Olgun Tufan Kurbanoğlu</t>
  </si>
  <si>
    <t>www.isbank.ge</t>
  </si>
  <si>
    <t>Non-independent chair</t>
  </si>
  <si>
    <t>Non-independent member</t>
  </si>
  <si>
    <t>Huseyn Serdar Yücel</t>
  </si>
  <si>
    <t>Tamar Sanikidze</t>
  </si>
  <si>
    <t>Independent member</t>
  </si>
  <si>
    <t>Natia Janelidze</t>
  </si>
  <si>
    <t>Chief Executive Officer</t>
  </si>
  <si>
    <t>Hüseyin Karabulut</t>
  </si>
  <si>
    <t>Deputy Chief Executive Officer</t>
  </si>
  <si>
    <t>Abdulvahap Doğan</t>
  </si>
  <si>
    <t>Ucha Saralidze</t>
  </si>
  <si>
    <t>Chief Financial Officer</t>
  </si>
  <si>
    <t>Vasil Apkhazava</t>
  </si>
  <si>
    <t>Chief Risk Officer</t>
  </si>
  <si>
    <t>Turkıye Is Bankası A.S.</t>
  </si>
  <si>
    <t>Turkıye Is Bankası A,S, Employees" Pensıon Fund</t>
  </si>
  <si>
    <t>Turkey Republıcan People"s Party</t>
  </si>
  <si>
    <t>Bugra Avci</t>
  </si>
  <si>
    <t>Table 9 (Capital), N2</t>
  </si>
  <si>
    <t>Table 9 (Capital), N6</t>
  </si>
  <si>
    <t>*Share capital as defined by the Law on Commercial Bank Activities</t>
  </si>
  <si>
    <t>TOTAL EQUITY*</t>
  </si>
  <si>
    <t>Onur Kütük</t>
  </si>
  <si>
    <t>Ozge Seval Dedeoğlu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</si>
</sst>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_-;\-* #,##0_-;_-* &quot;-&quot;??_-;_-@_-"/>
  </numFmts>
  <fonts count="379">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sz val="11"/>
      <color theme="1"/>
      <name val="Arial"/>
      <family val="2"/>
      <charset val="162"/>
    </font>
    <font>
      <b/>
      <u/>
      <sz val="10"/>
      <color indexed="12"/>
      <name val="Arial"/>
      <family val="2"/>
      <charset val="162"/>
    </font>
    <font>
      <b/>
      <sz val="11"/>
      <color theme="1"/>
      <name val="Calibri"/>
      <family val="2"/>
      <charset val="162"/>
      <scheme val="minor"/>
    </font>
    <font>
      <b/>
      <sz val="10"/>
      <name val="Sylfaen"/>
      <family val="1"/>
      <charset val="162"/>
    </font>
    <font>
      <b/>
      <sz val="10"/>
      <color theme="1"/>
      <name val="Arial"/>
      <family val="2"/>
      <charset val="162"/>
    </font>
    <font>
      <b/>
      <sz val="10"/>
      <color theme="1"/>
      <name val="Times New Roman"/>
      <family val="1"/>
    </font>
    <font>
      <b/>
      <sz val="10"/>
      <color theme="1"/>
      <name val="Times New Roman"/>
      <family val="1"/>
      <charset val="162"/>
    </font>
    <font>
      <b/>
      <sz val="10"/>
      <name val="Arial"/>
      <family val="2"/>
      <charset val="162"/>
    </font>
    <font>
      <b/>
      <i/>
      <sz val="10"/>
      <color theme="1"/>
      <name val="Arial"/>
      <family val="2"/>
      <charset val="162"/>
    </font>
    <font>
      <sz val="10"/>
      <color theme="1"/>
      <name val="Arial"/>
      <family val="2"/>
      <charset val="162"/>
    </font>
    <font>
      <b/>
      <i/>
      <sz val="10"/>
      <color theme="1"/>
      <name val="Sylfaen"/>
      <family val="1"/>
      <charset val="162"/>
    </font>
    <font>
      <b/>
      <sz val="10"/>
      <color theme="1"/>
      <name val="Calibri"/>
      <family val="2"/>
      <charset val="162"/>
      <scheme val="minor"/>
    </font>
    <font>
      <sz val="9"/>
      <color theme="1"/>
      <name val="Sylfaen"/>
      <family val="1"/>
      <charset val="162"/>
    </font>
    <font>
      <b/>
      <sz val="9"/>
      <name val="Sylfaen"/>
      <family val="1"/>
      <charset val="162"/>
    </font>
    <font>
      <sz val="9"/>
      <name val="Sylfaen"/>
      <family val="1"/>
      <charset val="162"/>
    </font>
    <font>
      <b/>
      <sz val="9"/>
      <name val="Calibri"/>
      <family val="2"/>
      <charset val="162"/>
      <scheme val="minor"/>
    </font>
    <font>
      <b/>
      <sz val="9"/>
      <color theme="1"/>
      <name val="Sylfaen"/>
      <family val="1"/>
      <charset val="162"/>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36">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auto="1"/>
      </top>
      <bottom style="thin">
        <color auto="1"/>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double">
        <color indexed="64"/>
      </bottom>
      <diagonal/>
    </border>
    <border>
      <left style="thin">
        <color auto="1"/>
      </left>
      <right/>
      <top style="thin">
        <color auto="1"/>
      </top>
      <bottom style="double">
        <color indexed="64"/>
      </bottom>
      <diagonal/>
    </border>
    <border>
      <left style="medium">
        <color indexed="64"/>
      </left>
      <right style="thin">
        <color indexed="64"/>
      </right>
      <top style="thin">
        <color indexed="64"/>
      </top>
      <bottom style="double">
        <color indexed="64"/>
      </bottom>
      <diagonal/>
    </border>
    <border>
      <left style="thin">
        <color auto="1"/>
      </left>
      <right style="thin">
        <color auto="1"/>
      </right>
      <top style="thin">
        <color auto="1"/>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medium">
        <color indexed="64"/>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auto="1"/>
      </left>
      <right style="thin">
        <color theme="6" tint="-0.499984740745262"/>
      </right>
      <top style="thin">
        <color auto="1"/>
      </top>
      <bottom style="thin">
        <color theme="6" tint="-0.499984740745262"/>
      </bottom>
      <diagonal/>
    </border>
    <border>
      <left style="thin">
        <color indexed="64"/>
      </left>
      <right style="thin">
        <color indexed="64"/>
      </right>
      <top style="thin">
        <color theme="6" tint="-0.499984740745262"/>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auto="1"/>
      </left>
      <right style="medium">
        <color auto="1"/>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auto="1"/>
      </left>
      <right/>
      <top style="medium">
        <color auto="1"/>
      </top>
      <bottom style="medium">
        <color auto="1"/>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indexed="64"/>
      </right>
      <top style="double">
        <color indexed="64"/>
      </top>
      <bottom style="thin">
        <color indexed="64"/>
      </bottom>
      <diagonal/>
    </border>
    <border diagonalDown="1">
      <left style="medium">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diagonalDown="1">
      <left style="medium">
        <color indexed="64"/>
      </left>
      <right/>
      <top/>
      <bottom style="thin">
        <color indexed="64"/>
      </bottom>
      <diagonal style="thin">
        <color indexed="64"/>
      </diagonal>
    </border>
    <border diagonalDown="1">
      <left style="medium">
        <color indexed="64"/>
      </left>
      <right/>
      <top/>
      <bottom style="double">
        <color indexed="64"/>
      </bottom>
      <diagonal style="thin">
        <color indexed="64"/>
      </diagonal>
    </border>
    <border diagonalDown="1">
      <left/>
      <right style="thin">
        <color indexed="64"/>
      </right>
      <top/>
      <bottom style="double">
        <color indexed="64"/>
      </bottom>
      <diagonal style="thin">
        <color indexed="64"/>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9"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4"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7" applyNumberFormat="0" applyAlignment="0" applyProtection="0">
      <alignment horizontal="left" vertical="center"/>
    </xf>
    <xf numFmtId="0" fontId="37" fillId="0" borderId="27" applyNumberFormat="0" applyAlignment="0" applyProtection="0">
      <alignment horizontal="left" vertical="center"/>
    </xf>
    <xf numFmtId="168" fontId="37" fillId="0" borderId="27" applyNumberFormat="0" applyAlignment="0" applyProtection="0">
      <alignment horizontal="left" vertical="center"/>
    </xf>
    <xf numFmtId="0" fontId="37" fillId="0" borderId="7">
      <alignment horizontal="left" vertical="center"/>
    </xf>
    <xf numFmtId="0" fontId="37" fillId="0" borderId="7">
      <alignment horizontal="left" vertical="center"/>
    </xf>
    <xf numFmtId="168" fontId="37" fillId="0" borderId="7">
      <alignment horizontal="left" vertical="center"/>
    </xf>
    <xf numFmtId="0" fontId="38" fillId="0" borderId="38" applyNumberFormat="0" applyFill="0" applyAlignment="0" applyProtection="0"/>
    <xf numFmtId="169" fontId="38" fillId="0" borderId="38" applyNumberFormat="0" applyFill="0" applyAlignment="0" applyProtection="0"/>
    <xf numFmtId="0"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0" fontId="38" fillId="0" borderId="38" applyNumberFormat="0" applyFill="0" applyAlignment="0" applyProtection="0"/>
    <xf numFmtId="0" fontId="39" fillId="0" borderId="39" applyNumberFormat="0" applyFill="0" applyAlignment="0" applyProtection="0"/>
    <xf numFmtId="169" fontId="39" fillId="0" borderId="39" applyNumberFormat="0" applyFill="0" applyAlignment="0" applyProtection="0"/>
    <xf numFmtId="0"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0" fontId="39" fillId="0" borderId="39" applyNumberFormat="0" applyFill="0" applyAlignment="0" applyProtection="0"/>
    <xf numFmtId="0" fontId="40" fillId="0" borderId="40" applyNumberFormat="0" applyFill="0" applyAlignment="0" applyProtection="0"/>
    <xf numFmtId="169"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9"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0" fontId="49" fillId="42" borderId="35"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1"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0" fontId="52" fillId="0" borderId="41"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0" fontId="52" fillId="0" borderId="41"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2"/>
    <xf numFmtId="169" fontId="9" fillId="0" borderId="42"/>
    <xf numFmtId="168" fontId="9" fillId="0" borderId="42"/>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9"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168" fontId="2" fillId="0" borderId="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9"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9"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8" fillId="0" borderId="46"/>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7" fillId="69" borderId="64"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06" applyFont="0" applyBorder="0">
      <alignment horizontal="center" wrapText="1"/>
    </xf>
    <xf numFmtId="3" fontId="2" fillId="74" borderId="105"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17"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6" fillId="0" borderId="118" applyNumberFormat="0" applyFill="0" applyProtection="0">
      <alignment horizontal="center"/>
    </xf>
    <xf numFmtId="0" fontId="166"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11">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2"/>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96" applyBorder="0"/>
    <xf numFmtId="0" fontId="28" fillId="0" borderId="96"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1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0" fontId="182" fillId="0" borderId="12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21" applyNumberFormat="0" applyAlignment="0" applyProtection="0"/>
    <xf numFmtId="0" fontId="183" fillId="108" borderId="121" applyNumberFormat="0" applyAlignment="0" applyProtection="0"/>
    <xf numFmtId="0" fontId="184" fillId="0" borderId="0" applyNumberFormat="0" applyFill="0" applyAlignment="0"/>
    <xf numFmtId="0" fontId="185" fillId="0" borderId="122"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23"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24"/>
    <xf numFmtId="251" fontId="2" fillId="0" borderId="0"/>
    <xf numFmtId="0" fontId="192" fillId="0" borderId="125"/>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26">
      <alignment horizontal="center" vertical="center"/>
    </xf>
    <xf numFmtId="0" fontId="183" fillId="108" borderId="126">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2" fillId="72" borderId="0"/>
    <xf numFmtId="0" fontId="201" fillId="0" borderId="1" applyNumberFormat="0" applyFont="0" applyFill="0" applyAlignment="0" applyProtection="0"/>
    <xf numFmtId="0" fontId="201" fillId="0" borderId="127" applyNumberFormat="0" applyFont="0" applyFill="0" applyAlignment="0" applyProtection="0"/>
    <xf numFmtId="0" fontId="149" fillId="0" borderId="96" applyNumberFormat="0" applyFont="0" applyFill="0" applyAlignment="0" applyProtection="0"/>
    <xf numFmtId="0" fontId="149" fillId="0" borderId="96"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62" applyNumberFormat="0" applyFont="0" applyFill="0" applyAlignment="0" applyProtection="0"/>
    <xf numFmtId="0" fontId="149" fillId="0" borderId="62"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3" borderId="123" applyNumberFormat="0" applyAlignment="0" applyProtection="0"/>
    <xf numFmtId="0" fontId="21" fillId="63"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3" borderId="123" applyNumberFormat="0" applyAlignment="0" applyProtection="0"/>
    <xf numFmtId="0" fontId="203" fillId="109" borderId="123" applyNumberFormat="0" applyAlignment="0" applyProtection="0"/>
    <xf numFmtId="0" fontId="145" fillId="8" borderId="28" applyNumberFormat="0" applyAlignment="0" applyProtection="0"/>
    <xf numFmtId="3" fontId="45" fillId="41" borderId="64">
      <protection hidden="1"/>
    </xf>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03" fillId="109" borderId="123" applyNumberFormat="0" applyAlignment="0" applyProtection="0"/>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1" applyNumberFormat="0" applyFill="0" applyAlignment="0" applyProtection="0"/>
    <xf numFmtId="0" fontId="24" fillId="64"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4" applyBorder="0"/>
    <xf numFmtId="260" fontId="205" fillId="0" borderId="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113" borderId="36" applyNumberFormat="0" applyAlignment="0" applyProtection="0"/>
    <xf numFmtId="0" fontId="26" fillId="113" borderId="36" applyNumberFormat="0" applyAlignment="0" applyProtection="0"/>
    <xf numFmtId="0" fontId="26" fillId="113" borderId="36" applyNumberFormat="0" applyAlignment="0" applyProtection="0"/>
    <xf numFmtId="0" fontId="26" fillId="113" borderId="36" applyNumberFormat="0" applyAlignment="0" applyProtection="0"/>
    <xf numFmtId="0" fontId="24" fillId="64" borderId="36" applyNumberFormat="0" applyAlignment="0" applyProtection="0"/>
    <xf numFmtId="0" fontId="24"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vertical="center"/>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28"/>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12">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12">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12">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9" fillId="73" borderId="129" applyNumberFormat="0" applyFont="0" applyAlignment="0" applyProtection="0"/>
    <xf numFmtId="0" fontId="29" fillId="73" borderId="129" applyNumberFormat="0" applyFont="0" applyAlignment="0" applyProtection="0"/>
    <xf numFmtId="0" fontId="29" fillId="73" borderId="129" applyNumberFormat="0" applyFont="0" applyAlignment="0" applyProtection="0"/>
    <xf numFmtId="3" fontId="209" fillId="0" borderId="112">
      <alignment vertical="center"/>
    </xf>
    <xf numFmtId="0" fontId="29" fillId="73" borderId="129" applyNumberFormat="0" applyFont="0" applyAlignment="0" applyProtection="0"/>
    <xf numFmtId="0" fontId="29"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71" fillId="73" borderId="129"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6"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09" applyNumberFormat="0" applyFill="0" applyBorder="0" applyAlignment="0" applyProtection="0">
      <alignment horizontal="center"/>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0" fillId="0" borderId="109" applyNumberFormat="0" applyFill="0" applyBorder="0" applyAlignment="0" applyProtection="0">
      <alignment horizontal="center"/>
      <protection locked="0"/>
    </xf>
    <xf numFmtId="0" fontId="220" fillId="0" borderId="109" applyNumberFormat="0" applyFill="0" applyBorder="0" applyAlignment="0" applyProtection="0">
      <alignment horizontal="center"/>
      <protection locked="0"/>
    </xf>
    <xf numFmtId="3" fontId="209" fillId="0" borderId="112">
      <alignment vertical="center"/>
    </xf>
    <xf numFmtId="0" fontId="220" fillId="0" borderId="109" applyNumberFormat="0" applyFill="0" applyBorder="0" applyAlignment="0" applyProtection="0">
      <alignment horizontal="center"/>
      <protection locked="0"/>
    </xf>
    <xf numFmtId="0" fontId="220" fillId="0" borderId="109" applyNumberFormat="0" applyFill="0" applyBorder="0" applyAlignment="0" applyProtection="0">
      <alignment horizontal="center"/>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3" fontId="222" fillId="0" borderId="130" applyNumberFormat="0" applyAlignment="0">
      <alignment vertical="center"/>
    </xf>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3" fontId="209" fillId="0" borderId="112">
      <alignment vertical="center"/>
    </xf>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12">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1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3" fontId="209" fillId="0" borderId="112">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12">
      <alignment vertical="center"/>
    </xf>
    <xf numFmtId="3" fontId="209" fillId="0" borderId="112">
      <alignment vertical="center"/>
    </xf>
    <xf numFmtId="267" fontId="162" fillId="0" borderId="0" applyFont="0" applyFill="0" applyBorder="0" applyProtection="0"/>
    <xf numFmtId="267" fontId="162" fillId="0" borderId="0" applyFont="0" applyFill="0" applyBorder="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3" fontId="209" fillId="0" borderId="112">
      <alignment vertical="center"/>
    </xf>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12">
      <alignment vertical="center"/>
    </xf>
    <xf numFmtId="3" fontId="209" fillId="0" borderId="112">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12">
      <alignment vertical="center"/>
    </xf>
    <xf numFmtId="3" fontId="209" fillId="0" borderId="112">
      <alignment vertical="center"/>
    </xf>
    <xf numFmtId="0" fontId="224" fillId="0" borderId="0"/>
    <xf numFmtId="0" fontId="2" fillId="0" borderId="0" applyNumberFormat="0" applyFont="0" applyFill="0" applyBorder="0" applyAlignment="0" applyProtection="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268" fontId="224" fillId="0" borderId="0"/>
    <xf numFmtId="3" fontId="209" fillId="0" borderId="112">
      <alignment vertical="center"/>
    </xf>
    <xf numFmtId="268" fontId="224" fillId="0" borderId="0"/>
    <xf numFmtId="268" fontId="224" fillId="0" borderId="0"/>
    <xf numFmtId="3" fontId="209" fillId="0" borderId="112">
      <alignment vertical="center"/>
    </xf>
    <xf numFmtId="3" fontId="209" fillId="0" borderId="112">
      <alignment vertical="center"/>
    </xf>
    <xf numFmtId="0" fontId="224" fillId="0" borderId="0"/>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268" fontId="224" fillId="0" borderId="0"/>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3" fontId="209" fillId="0" borderId="112">
      <alignment vertical="center"/>
    </xf>
    <xf numFmtId="268" fontId="224" fillId="0" borderId="0"/>
    <xf numFmtId="3" fontId="209" fillId="0" borderId="112">
      <alignment vertical="center"/>
    </xf>
    <xf numFmtId="268" fontId="224" fillId="0" borderId="0"/>
    <xf numFmtId="268" fontId="224" fillId="0" borderId="0"/>
    <xf numFmtId="3" fontId="209" fillId="0" borderId="112">
      <alignment vertical="center"/>
    </xf>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31" applyNumberFormat="0" applyFont="0" applyBorder="0" applyAlignment="0" applyProtection="0">
      <alignment horizontal="centerContinuous"/>
    </xf>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2" fillId="0" borderId="0" applyNumberFormat="0" applyFont="0" applyFill="0" applyBorder="0" applyAlignment="0" applyProtection="0"/>
    <xf numFmtId="0" fontId="9" fillId="69" borderId="131" applyNumberFormat="0" applyFont="0" applyBorder="0" applyProtection="0"/>
    <xf numFmtId="3" fontId="209" fillId="0" borderId="112">
      <alignment vertical="center"/>
    </xf>
    <xf numFmtId="0" fontId="2" fillId="0" borderId="0" applyNumberFormat="0" applyFont="0" applyFill="0" applyBorder="0" applyAlignment="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12">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12">
      <alignment vertical="center"/>
    </xf>
    <xf numFmtId="0" fontId="211" fillId="0" borderId="0">
      <alignment horizontal="left" vertical="center" wrapText="1"/>
    </xf>
    <xf numFmtId="3" fontId="209" fillId="0" borderId="112">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12">
      <alignment vertical="center"/>
    </xf>
    <xf numFmtId="22" fontId="29" fillId="0" borderId="0" applyFill="0" applyBorder="0" applyAlignment="0"/>
    <xf numFmtId="3" fontId="209" fillId="0" borderId="112">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12">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12">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12">
      <alignment vertical="center"/>
    </xf>
    <xf numFmtId="0" fontId="231" fillId="0" borderId="0"/>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209" fillId="0" borderId="11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209" fillId="0" borderId="112">
      <alignment vertical="center"/>
    </xf>
    <xf numFmtId="0" fontId="2" fillId="0" borderId="64" applyFill="0" applyProtection="0">
      <alignment horizontal="centerContinuous"/>
    </xf>
    <xf numFmtId="0" fontId="2" fillId="0" borderId="64" applyFill="0" applyProtection="0">
      <alignment horizontal="centerContinuous"/>
    </xf>
    <xf numFmtId="3" fontId="209" fillId="0" borderId="112">
      <alignment vertical="center"/>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232" fillId="120" borderId="10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232" fillId="120" borderId="10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33" fillId="121"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3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17" fontId="237" fillId="117" borderId="9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38" fillId="0" borderId="115" applyNumberFormat="0" applyAlignment="0">
      <protection locked="0"/>
    </xf>
    <xf numFmtId="0" fontId="49" fillId="42" borderId="123" applyNumberFormat="0" applyAlignment="0" applyProtection="0"/>
    <xf numFmtId="0" fontId="10" fillId="0" borderId="0"/>
    <xf numFmtId="0" fontId="10" fillId="0" borderId="0"/>
    <xf numFmtId="0" fontId="49" fillId="42" borderId="123" applyNumberFormat="0" applyAlignment="0" applyProtection="0"/>
    <xf numFmtId="0" fontId="49" fillId="42" borderId="123" applyNumberFormat="0" applyAlignment="0" applyProtection="0"/>
    <xf numFmtId="0" fontId="49" fillId="42" borderId="123" applyNumberFormat="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12">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12">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12">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12">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12">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12">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12">
      <alignment vertical="center"/>
    </xf>
    <xf numFmtId="0" fontId="241" fillId="0" borderId="0">
      <alignment horizontal="left"/>
    </xf>
    <xf numFmtId="0" fontId="242" fillId="0" borderId="0">
      <alignment horizontal="center" wrapText="1"/>
    </xf>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33">
      <alignment horizontal="right" wrapText="1"/>
    </xf>
    <xf numFmtId="0" fontId="241" fillId="0" borderId="133">
      <alignment horizontal="right" wrapText="1"/>
    </xf>
    <xf numFmtId="0" fontId="241" fillId="0" borderId="133">
      <alignment horizontal="right" wrapText="1"/>
    </xf>
    <xf numFmtId="0" fontId="2" fillId="0" borderId="0" applyNumberFormat="0" applyFont="0" applyFill="0" applyBorder="0" applyAlignment="0" applyProtection="0"/>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33">
      <alignment horizontal="right" wrapText="1"/>
    </xf>
    <xf numFmtId="0" fontId="241" fillId="0" borderId="133">
      <alignment horizontal="right" wrapText="1"/>
    </xf>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97" fontId="243" fillId="0" borderId="133">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33">
      <alignment horizontal="right"/>
    </xf>
    <xf numFmtId="297" fontId="243" fillId="0" borderId="133">
      <alignment horizontal="right"/>
    </xf>
    <xf numFmtId="297" fontId="243" fillId="0" borderId="133">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3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33">
      <alignment horizontal="left"/>
    </xf>
    <xf numFmtId="297" fontId="243" fillId="0" borderId="133">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3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33">
      <alignment horizontal="center"/>
    </xf>
    <xf numFmtId="297" fontId="247" fillId="0" borderId="133">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196" fontId="155" fillId="0" borderId="13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196" fontId="155" fillId="0" borderId="13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12">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12">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4">
      <alignment horizontal="centerContinuous"/>
    </xf>
    <xf numFmtId="0" fontId="165" fillId="0" borderId="57"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12">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12">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1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03" fontId="2" fillId="0" borderId="0" applyFont="0" applyFill="0" applyBorder="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35">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45" fillId="113" borderId="107"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07" applyAlignment="0" applyProtection="0"/>
    <xf numFmtId="0" fontId="45" fillId="113" borderId="107" applyAlignment="0" applyProtection="0"/>
    <xf numFmtId="0" fontId="2" fillId="0" borderId="0" applyNumberFormat="0" applyFont="0" applyFill="0" applyBorder="0" applyAlignment="0" applyProtection="0"/>
    <xf numFmtId="0" fontId="2" fillId="68" borderId="105"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0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3" fontId="209" fillId="0" borderId="112">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45" fillId="68" borderId="115"/>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41" fillId="126" borderId="106"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7" fillId="0" borderId="107">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63" fillId="109" borderId="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64" fillId="0" borderId="136" applyNumberFormat="0" applyFill="0" applyAlignment="0" applyProtection="0"/>
    <xf numFmtId="0" fontId="264" fillId="0" borderId="136" applyNumberFormat="0" applyFill="0" applyAlignment="0" applyProtection="0"/>
    <xf numFmtId="0" fontId="264" fillId="0" borderId="136" applyNumberFormat="0" applyFill="0" applyAlignment="0" applyProtection="0"/>
    <xf numFmtId="0" fontId="38" fillId="0" borderId="3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37" applyNumberFormat="0" applyFill="0" applyAlignment="0" applyProtection="0"/>
    <xf numFmtId="0" fontId="266" fillId="0" borderId="137" applyNumberFormat="0" applyFill="0" applyAlignment="0" applyProtection="0"/>
    <xf numFmtId="0" fontId="266" fillId="0" borderId="137"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38" applyNumberFormat="0" applyFill="0" applyAlignment="0" applyProtection="0"/>
    <xf numFmtId="0" fontId="268" fillId="0" borderId="138" applyNumberFormat="0" applyFill="0" applyAlignment="0" applyProtection="0"/>
    <xf numFmtId="0" fontId="268" fillId="0" borderId="138"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19"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05" applyFont="0" applyProtection="0">
      <alignment horizontal="right"/>
    </xf>
    <xf numFmtId="0" fontId="10" fillId="0" borderId="0"/>
    <xf numFmtId="3" fontId="2" fillId="70" borderId="105" applyFont="0" applyProtection="0">
      <alignment horizontal="right"/>
    </xf>
    <xf numFmtId="0" fontId="2" fillId="0" borderId="0" applyNumberFormat="0" applyFont="0" applyFill="0" applyBorder="0" applyAlignment="0" applyProtection="0"/>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70" borderId="105" applyFont="0" applyProtection="0">
      <alignment horizontal="right"/>
    </xf>
    <xf numFmtId="0" fontId="10" fillId="0" borderId="0"/>
    <xf numFmtId="10" fontId="2" fillId="70" borderId="105" applyFont="0" applyProtection="0">
      <alignment horizontal="right"/>
    </xf>
    <xf numFmtId="0" fontId="2" fillId="0" borderId="0" applyNumberFormat="0" applyFont="0" applyFill="0" applyBorder="0" applyAlignment="0" applyProtection="0"/>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0" borderId="105" applyFont="0" applyProtection="0">
      <alignment horizontal="right"/>
    </xf>
    <xf numFmtId="0" fontId="10" fillId="0" borderId="0"/>
    <xf numFmtId="9" fontId="2" fillId="70" borderId="105" applyFont="0" applyProtection="0">
      <alignment horizontal="right"/>
    </xf>
    <xf numFmtId="0" fontId="2" fillId="0" borderId="0" applyNumberFormat="0" applyFont="0" applyFill="0" applyBorder="0" applyAlignment="0" applyProtection="0"/>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70" borderId="106"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06" applyNumberFormat="0" applyFont="0" applyBorder="0" applyAlignment="0" applyProtection="0">
      <alignment horizontal="left"/>
    </xf>
    <xf numFmtId="0" fontId="2" fillId="0" borderId="0" applyNumberFormat="0" applyFont="0" applyFill="0" applyBorder="0" applyAlignment="0" applyProtection="0"/>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3" fontId="209" fillId="0" borderId="112">
      <alignment vertical="center"/>
    </xf>
    <xf numFmtId="0" fontId="2" fillId="0" borderId="0" applyNumberFormat="0" applyFont="0" applyFill="0" applyBorder="0" applyAlignment="0" applyProtection="0"/>
    <xf numFmtId="0" fontId="10" fillId="0" borderId="0"/>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12">
      <alignment vertical="center"/>
    </xf>
    <xf numFmtId="37" fontId="45" fillId="0" borderId="0"/>
    <xf numFmtId="295" fontId="45" fillId="0" borderId="0"/>
    <xf numFmtId="3" fontId="209" fillId="0" borderId="112">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05"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05" applyNumberFormat="0" applyBorder="0" applyAlignment="0" applyProtection="0"/>
    <xf numFmtId="0" fontId="10" fillId="0" borderId="0"/>
    <xf numFmtId="10" fontId="19" fillId="107" borderId="105" applyNumberFormat="0" applyBorder="0" applyAlignment="0" applyProtection="0"/>
    <xf numFmtId="10" fontId="19" fillId="107" borderId="105" applyNumberFormat="0" applyBorder="0" applyAlignment="0" applyProtection="0"/>
    <xf numFmtId="10" fontId="19" fillId="107" borderId="105" applyNumberFormat="0" applyBorder="0" applyAlignment="0" applyProtection="0"/>
    <xf numFmtId="10" fontId="19" fillId="107" borderId="105" applyNumberFormat="0" applyBorder="0" applyAlignment="0" applyProtection="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10" fillId="0" borderId="0"/>
    <xf numFmtId="0" fontId="10" fillId="0" borderId="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271" fillId="0" borderId="70">
      <protection locked="0"/>
    </xf>
    <xf numFmtId="0" fontId="271" fillId="0" borderId="70">
      <protection locked="0"/>
    </xf>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39">
      <alignment horizontal="right" vertical="center"/>
      <protection locked="0"/>
    </xf>
    <xf numFmtId="310" fontId="271" fillId="88" borderId="139">
      <alignment horizontal="right" vertical="center"/>
      <protection locked="0"/>
    </xf>
    <xf numFmtId="310" fontId="271" fillId="88" borderId="139">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 fontId="233" fillId="129" borderId="70"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12">
      <alignment vertical="center"/>
    </xf>
    <xf numFmtId="311" fontId="2" fillId="71" borderId="105" applyFont="0" applyAlignment="0">
      <protection locked="0"/>
    </xf>
    <xf numFmtId="0" fontId="10" fillId="0" borderId="0"/>
    <xf numFmtId="311" fontId="2" fillId="71" borderId="105" applyFont="0" applyAlignment="0">
      <protection locked="0"/>
    </xf>
    <xf numFmtId="0" fontId="2" fillId="0" borderId="0" applyNumberFormat="0" applyFont="0" applyFill="0" applyBorder="0" applyAlignment="0" applyProtection="0"/>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 fontId="209" fillId="0" borderId="112">
      <alignment vertical="center"/>
    </xf>
    <xf numFmtId="0" fontId="2" fillId="0" borderId="0" applyNumberFormat="0" applyFont="0" applyFill="0" applyBorder="0" applyAlignment="0" applyProtection="0"/>
    <xf numFmtId="0" fontId="10" fillId="0" borderId="0"/>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 fillId="71" borderId="105" applyFont="0">
      <alignment horizontal="right"/>
      <protection locked="0"/>
    </xf>
    <xf numFmtId="0" fontId="10" fillId="0" borderId="0"/>
    <xf numFmtId="3" fontId="2" fillId="71" borderId="10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71" borderId="105" applyFont="0">
      <alignment horizontal="right"/>
      <protection locked="0"/>
    </xf>
    <xf numFmtId="0" fontId="10" fillId="0" borderId="0"/>
    <xf numFmtId="260" fontId="2" fillId="71" borderId="105" applyFont="0">
      <alignment horizontal="right"/>
      <protection locked="0"/>
    </xf>
    <xf numFmtId="0" fontId="2" fillId="0" borderId="0" applyNumberFormat="0" applyFont="0" applyFill="0" applyBorder="0" applyAlignment="0" applyProtection="0"/>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10" fontId="2" fillId="71" borderId="105" applyFont="0">
      <alignment horizontal="right"/>
      <protection locked="0"/>
    </xf>
    <xf numFmtId="0" fontId="10" fillId="0" borderId="0"/>
    <xf numFmtId="10" fontId="2" fillId="71" borderId="105" applyFont="0">
      <alignment horizontal="right"/>
      <protection locked="0"/>
    </xf>
    <xf numFmtId="0" fontId="2" fillId="0" borderId="0" applyNumberFormat="0" applyFont="0" applyFill="0" applyBorder="0" applyAlignment="0" applyProtection="0"/>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1" borderId="109"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0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09" applyFont="0">
      <alignment horizontal="right"/>
      <protection locked="0"/>
    </xf>
    <xf numFmtId="9" fontId="2" fillId="71" borderId="109" applyFont="0">
      <alignment horizontal="right"/>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09" applyFont="0">
      <alignment horizontal="right"/>
      <protection locked="0"/>
    </xf>
    <xf numFmtId="9" fontId="2" fillId="71" borderId="109" applyFont="0">
      <alignment horizontal="right"/>
      <protection locked="0"/>
    </xf>
    <xf numFmtId="9" fontId="2" fillId="71" borderId="109" applyFont="0">
      <alignment horizontal="right"/>
      <protection locked="0"/>
    </xf>
    <xf numFmtId="9" fontId="2" fillId="71" borderId="109" applyFont="0">
      <alignment horizontal="right"/>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71" borderId="105" applyFont="0">
      <alignment horizontal="center" wrapText="1"/>
      <protection locked="0"/>
    </xf>
    <xf numFmtId="0" fontId="10" fillId="0" borderId="0"/>
    <xf numFmtId="0" fontId="2" fillId="71" borderId="105" applyFont="0">
      <alignment horizontal="center" wrapText="1"/>
      <protection locked="0"/>
    </xf>
    <xf numFmtId="0" fontId="2" fillId="0" borderId="0" applyNumberFormat="0" applyFont="0" applyFill="0" applyBorder="0" applyAlignment="0" applyProtection="0"/>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71" borderId="105" applyFont="0" applyAlignment="0">
      <protection locked="0"/>
    </xf>
    <xf numFmtId="0" fontId="10" fillId="0" borderId="0"/>
    <xf numFmtId="0" fontId="10" fillId="0" borderId="0"/>
    <xf numFmtId="3" fontId="209" fillId="0" borderId="112">
      <alignment vertical="center"/>
    </xf>
    <xf numFmtId="0" fontId="10" fillId="0" borderId="0"/>
    <xf numFmtId="0" fontId="10" fillId="0" borderId="0"/>
    <xf numFmtId="49" fontId="2" fillId="71" borderId="105"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7" fontId="160" fillId="0" borderId="70"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17" fontId="228" fillId="96" borderId="14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78" fillId="0" borderId="141" applyNumberFormat="0" applyFill="0" applyAlignment="0" applyProtection="0"/>
    <xf numFmtId="0" fontId="78" fillId="0" borderId="141" applyNumberFormat="0" applyFill="0" applyAlignment="0" applyProtection="0"/>
    <xf numFmtId="0" fontId="78" fillId="0" borderId="1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13" applyAlignment="0" applyProtection="0">
      <alignment horizontal="centerContinuous"/>
    </xf>
    <xf numFmtId="19" fontId="280" fillId="0" borderId="113" applyAlignment="0" applyProtection="0">
      <alignment horizontal="centerContinuous"/>
    </xf>
    <xf numFmtId="3" fontId="209" fillId="0" borderId="112">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12">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0" fontId="10" fillId="0" borderId="0"/>
    <xf numFmtId="2" fontId="233" fillId="107" borderId="105"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14" applyNumberFormat="0" applyFill="0" applyBorder="0" applyAlignment="0"/>
    <xf numFmtId="17" fontId="45" fillId="131" borderId="114" applyNumberFormat="0" applyFill="0" applyBorder="0" applyAlignment="0"/>
    <xf numFmtId="3" fontId="209" fillId="0" borderId="112">
      <alignment vertical="center"/>
    </xf>
    <xf numFmtId="3" fontId="209" fillId="0" borderId="112">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7" fontId="282" fillId="0" borderId="0"/>
    <xf numFmtId="295" fontId="282"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237" fillId="69" borderId="105"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12">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83" fillId="104" borderId="108">
      <alignment horizontal="center" vertical="top" wrapText="1"/>
    </xf>
    <xf numFmtId="0" fontId="283" fillId="104" borderId="108">
      <alignment horizontal="center" vertical="top" wrapText="1"/>
    </xf>
    <xf numFmtId="0" fontId="283" fillId="104" borderId="108">
      <alignment horizontal="center" vertical="top" wrapText="1"/>
    </xf>
    <xf numFmtId="0" fontId="283" fillId="104" borderId="10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xf numFmtId="0" fontId="45" fillId="70" borderId="106"/>
    <xf numFmtId="0" fontId="45" fillId="70" borderId="106"/>
    <xf numFmtId="0" fontId="45" fillId="7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2"/>
    <xf numFmtId="0" fontId="45" fillId="0" borderId="92"/>
    <xf numFmtId="0" fontId="45" fillId="0" borderId="9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8">
      <alignment horizontal="center" vertical="top"/>
    </xf>
    <xf numFmtId="0" fontId="283" fillId="132" borderId="108">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108"/>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09"/>
    <xf numFmtId="0" fontId="284" fillId="70" borderId="10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2">
      <alignment horizontal="center"/>
    </xf>
    <xf numFmtId="0" fontId="2" fillId="0" borderId="92">
      <alignment horizontal="center"/>
    </xf>
    <xf numFmtId="0" fontId="2" fillId="0" borderId="9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lignment horizontal="center"/>
    </xf>
    <xf numFmtId="0" fontId="2" fillId="0" borderId="93">
      <alignment horizontal="center"/>
    </xf>
    <xf numFmtId="0" fontId="2" fillId="0" borderId="93">
      <alignment horizontal="center"/>
    </xf>
    <xf numFmtId="0" fontId="2" fillId="0" borderId="9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alignment horizontal="center"/>
    </xf>
    <xf numFmtId="0" fontId="2" fillId="0" borderId="9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8">
      <alignment horizontal="center" vertical="top" wrapText="1"/>
    </xf>
    <xf numFmtId="0" fontId="283" fillId="132" borderId="108">
      <alignment horizontal="center" vertical="top" wrapText="1"/>
    </xf>
    <xf numFmtId="0" fontId="283" fillId="132" borderId="108">
      <alignment horizontal="center" vertical="top" wrapText="1"/>
    </xf>
    <xf numFmtId="0" fontId="283" fillId="132" borderId="10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07"/>
    <xf numFmtId="3" fontId="2" fillId="0" borderId="107"/>
    <xf numFmtId="3" fontId="2" fillId="0" borderId="107"/>
    <xf numFmtId="3"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center"/>
    </xf>
    <xf numFmtId="0" fontId="45" fillId="70" borderId="106">
      <alignment horizontal="center"/>
    </xf>
    <xf numFmtId="0" fontId="45" fillId="70" borderId="106">
      <alignment horizontal="center"/>
    </xf>
    <xf numFmtId="0" fontId="45" fillId="7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7">
      <alignment horizontal="center"/>
    </xf>
    <xf numFmtId="0" fontId="45" fillId="70" borderId="107">
      <alignment horizontal="center"/>
    </xf>
    <xf numFmtId="0" fontId="2" fillId="0" borderId="0" applyNumberFormat="0" applyFont="0" applyFill="0" applyBorder="0" applyAlignment="0" applyProtection="0"/>
    <xf numFmtId="0" fontId="45" fillId="70" borderId="108">
      <alignment horizontal="center"/>
    </xf>
    <xf numFmtId="0" fontId="45" fillId="70" borderId="108">
      <alignment horizontal="center"/>
    </xf>
    <xf numFmtId="0" fontId="45" fillId="70" borderId="108">
      <alignment horizontal="center"/>
    </xf>
    <xf numFmtId="0" fontId="45" fillId="7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2">
      <alignment horizontal="left" vertical="top"/>
    </xf>
    <xf numFmtId="0" fontId="45" fillId="70" borderId="92">
      <alignment horizontal="left" vertical="top"/>
    </xf>
    <xf numFmtId="0" fontId="45" fillId="70" borderId="9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7">
      <alignment horizontal="center" vertical="center"/>
    </xf>
    <xf numFmtId="0" fontId="283" fillId="132" borderId="107">
      <alignment horizontal="center" vertical="center"/>
    </xf>
    <xf numFmtId="0" fontId="2" fillId="0" borderId="0" applyNumberFormat="0" applyFont="0" applyFill="0" applyBorder="0" applyAlignment="0" applyProtection="0"/>
    <xf numFmtId="0" fontId="283" fillId="132" borderId="108">
      <alignment horizontal="center" vertical="center"/>
    </xf>
    <xf numFmtId="0" fontId="283" fillId="132" borderId="108">
      <alignment horizontal="center" vertical="center"/>
    </xf>
    <xf numFmtId="0" fontId="283" fillId="132" borderId="108">
      <alignment horizontal="center" vertical="center"/>
    </xf>
    <xf numFmtId="0" fontId="283" fillId="132" borderId="108">
      <alignment horizontal="center" vertical="center"/>
    </xf>
    <xf numFmtId="0" fontId="2" fillId="0" borderId="0" applyNumberFormat="0" applyFont="0" applyFill="0" applyBorder="0" applyAlignment="0" applyProtection="0"/>
    <xf numFmtId="0" fontId="283" fillId="104" borderId="106">
      <alignment horizontal="center" vertical="center"/>
    </xf>
    <xf numFmtId="0" fontId="283" fillId="104" borderId="106">
      <alignment horizontal="center" vertical="center"/>
    </xf>
    <xf numFmtId="0" fontId="283" fillId="104" borderId="106">
      <alignment horizontal="center" vertical="center"/>
    </xf>
    <xf numFmtId="0" fontId="283" fillId="104" borderId="10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07">
      <alignment horizontal="center" vertical="center"/>
    </xf>
    <xf numFmtId="0" fontId="283" fillId="104" borderId="107">
      <alignment horizontal="center" vertical="center"/>
    </xf>
    <xf numFmtId="0" fontId="2" fillId="0" borderId="0" applyNumberFormat="0" applyFont="0" applyFill="0" applyBorder="0" applyAlignment="0" applyProtection="0"/>
    <xf numFmtId="0" fontId="283" fillId="104" borderId="108">
      <alignment horizontal="center" vertical="center"/>
    </xf>
    <xf numFmtId="0" fontId="283" fillId="104" borderId="108">
      <alignment horizontal="center" vertical="center"/>
    </xf>
    <xf numFmtId="0" fontId="283" fillId="104" borderId="108">
      <alignment horizontal="center" vertical="center"/>
    </xf>
    <xf numFmtId="0" fontId="283" fillId="104" borderId="10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xf numFmtId="0" fontId="2" fillId="0" borderId="93"/>
    <xf numFmtId="0" fontId="2" fillId="0" borderId="93"/>
    <xf numFmtId="0" fontId="2" fillId="0" borderId="9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xf numFmtId="0" fontId="2" fillId="0" borderId="9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86" fillId="0" borderId="7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237" fillId="0" borderId="70"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05">
      <alignment horizontal="right"/>
      <protection locked="0"/>
    </xf>
    <xf numFmtId="0" fontId="10" fillId="0" borderId="0"/>
    <xf numFmtId="3" fontId="2" fillId="74" borderId="105">
      <alignment horizontal="right"/>
      <protection locked="0"/>
    </xf>
    <xf numFmtId="0" fontId="2" fillId="0" borderId="0" applyNumberFormat="0" applyFont="0" applyFill="0" applyBorder="0" applyAlignment="0" applyProtection="0"/>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74" borderId="105">
      <alignment horizontal="right"/>
      <protection locked="0"/>
    </xf>
    <xf numFmtId="0" fontId="10" fillId="0" borderId="0"/>
    <xf numFmtId="260" fontId="2" fillId="74" borderId="105">
      <alignment horizontal="right"/>
      <protection locked="0"/>
    </xf>
    <xf numFmtId="0" fontId="2" fillId="0" borderId="0" applyNumberFormat="0" applyFont="0" applyFill="0" applyBorder="0" applyAlignment="0" applyProtection="0"/>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74" borderId="105" applyFont="0">
      <alignment horizontal="right"/>
      <protection locked="0"/>
    </xf>
    <xf numFmtId="0" fontId="10" fillId="0" borderId="0"/>
    <xf numFmtId="10" fontId="2" fillId="74" borderId="105" applyFont="0">
      <alignment horizontal="right"/>
      <protection locked="0"/>
    </xf>
    <xf numFmtId="0" fontId="2" fillId="0" borderId="0" applyNumberFormat="0" applyFont="0" applyFill="0" applyBorder="0" applyAlignment="0" applyProtection="0"/>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4" borderId="105">
      <alignment horizontal="right"/>
      <protection locked="0"/>
    </xf>
    <xf numFmtId="0" fontId="10" fillId="0" borderId="0"/>
    <xf numFmtId="9" fontId="2" fillId="74" borderId="105">
      <alignment horizontal="right"/>
      <protection locked="0"/>
    </xf>
    <xf numFmtId="0" fontId="2" fillId="0" borderId="0" applyNumberFormat="0" applyFont="0" applyFill="0" applyBorder="0" applyAlignment="0" applyProtection="0"/>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74" borderId="105">
      <alignment horizontal="center" wrapText="1"/>
    </xf>
    <xf numFmtId="0" fontId="10" fillId="0" borderId="0"/>
    <xf numFmtId="0" fontId="2" fillId="74" borderId="105">
      <alignment horizontal="center" wrapText="1"/>
    </xf>
    <xf numFmtId="0" fontId="2" fillId="0" borderId="0" applyNumberFormat="0" applyFont="0" applyFill="0" applyBorder="0" applyAlignment="0" applyProtection="0"/>
    <xf numFmtId="0" fontId="2" fillId="74" borderId="105">
      <alignment horizontal="center" wrapText="1"/>
    </xf>
    <xf numFmtId="0" fontId="2" fillId="74" borderId="105">
      <alignment horizontal="center" wrapText="1"/>
    </xf>
    <xf numFmtId="0" fontId="2" fillId="74" borderId="105">
      <alignment horizontal="center" wrapText="1"/>
    </xf>
    <xf numFmtId="0" fontId="2" fillId="74" borderId="105">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2" fillId="74" borderId="105">
      <alignment horizontal="center" wrapText="1"/>
    </xf>
    <xf numFmtId="0" fontId="2" fillId="74" borderId="105">
      <alignment horizontal="center" wrapText="1"/>
    </xf>
    <xf numFmtId="0" fontId="2" fillId="74" borderId="105">
      <alignment horizontal="center" wrapText="1"/>
    </xf>
    <xf numFmtId="0" fontId="2" fillId="74" borderId="105">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74" borderId="105" applyNumberFormat="0" applyFont="0">
      <alignment horizontal="center" wrapText="1"/>
      <protection locked="0"/>
    </xf>
    <xf numFmtId="0" fontId="10" fillId="0" borderId="0"/>
    <xf numFmtId="0" fontId="2" fillId="74" borderId="105" applyNumberFormat="0" applyFont="0">
      <alignment horizontal="center" wrapText="1"/>
      <protection locked="0"/>
    </xf>
    <xf numFmtId="0" fontId="2" fillId="0" borderId="0" applyNumberFormat="0" applyFont="0" applyFill="0" applyBorder="0" applyAlignment="0" applyProtection="0"/>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66"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10" fillId="0" borderId="0"/>
    <xf numFmtId="0" fontId="10" fillId="0" borderId="0"/>
    <xf numFmtId="0" fontId="10" fillId="0" borderId="0"/>
    <xf numFmtId="0" fontId="10" fillId="0" borderId="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8" fillId="63" borderId="142" applyNumberFormat="0" applyAlignment="0" applyProtection="0"/>
    <xf numFmtId="0" fontId="68"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2" applyNumberFormat="0" applyAlignment="0" applyProtection="0"/>
    <xf numFmtId="0" fontId="68" fillId="63" borderId="142" applyNumberFormat="0" applyAlignment="0" applyProtection="0"/>
    <xf numFmtId="173" fontId="233" fillId="134" borderId="70"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0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88" fillId="135"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0" applyNumberFormat="0" applyFont="0" applyBorder="0" applyAlignment="0" applyProtection="0">
      <alignment horizontal="center"/>
    </xf>
    <xf numFmtId="0" fontId="19" fillId="131"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9" fillId="96" borderId="70" applyNumberFormat="0" applyFont="0" applyBorder="0" applyAlignment="0" applyProtection="0">
      <alignment horizontal="center"/>
    </xf>
    <xf numFmtId="0" fontId="19" fillId="96"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60" fillId="0"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0" borderId="147"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53" fillId="0" borderId="0"/>
    <xf numFmtId="0" fontId="2" fillId="0" borderId="0" applyNumberFormat="0" applyFont="0" applyFill="0" applyBorder="0" applyAlignment="0" applyProtection="0"/>
    <xf numFmtId="0" fontId="10" fillId="0" borderId="0"/>
    <xf numFmtId="0" fontId="46" fillId="69" borderId="64">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12">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45" fillId="92" borderId="64"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12">
      <alignment vertical="center"/>
    </xf>
    <xf numFmtId="0" fontId="10" fillId="0" borderId="0"/>
    <xf numFmtId="0" fontId="177" fillId="111"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0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165" fontId="298" fillId="0" borderId="0">
      <alignment horizontal="right"/>
    </xf>
    <xf numFmtId="0" fontId="10" fillId="0" borderId="0"/>
    <xf numFmtId="0" fontId="2" fillId="0" borderId="14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300" fillId="139" borderId="0"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45" fillId="133" borderId="150"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50" applyNumberFormat="0" applyProtection="0">
      <alignment horizontal="left" vertical="center" indent="1"/>
    </xf>
    <xf numFmtId="0" fontId="45" fillId="133" borderId="150" applyNumberFormat="0" applyProtection="0">
      <alignment horizontal="left" vertical="center" indent="1"/>
    </xf>
    <xf numFmtId="0" fontId="2" fillId="0" borderId="0" applyNumberFormat="0" applyFont="0" applyFill="0" applyBorder="0" applyAlignment="0" applyProtection="0"/>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340" fontId="29" fillId="131" borderId="150" applyProtection="0">
      <alignment horizontal="right" vertical="center"/>
    </xf>
    <xf numFmtId="340" fontId="29" fillId="131" borderId="15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50" applyProtection="0">
      <alignment horizontal="right" vertical="center"/>
    </xf>
    <xf numFmtId="340" fontId="29" fillId="131" borderId="150" applyProtection="0">
      <alignment horizontal="right" vertical="center"/>
    </xf>
    <xf numFmtId="340" fontId="29" fillId="131" borderId="15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301" fillId="0" borderId="0"/>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302" fillId="0" borderId="0"/>
    <xf numFmtId="341" fontId="160" fillId="0" borderId="0"/>
    <xf numFmtId="342" fontId="160" fillId="0" borderId="0"/>
    <xf numFmtId="0" fontId="210" fillId="0" borderId="24"/>
    <xf numFmtId="0" fontId="303" fillId="71" borderId="96"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51">
      <alignment horizontal="right"/>
    </xf>
    <xf numFmtId="0" fontId="306" fillId="141" borderId="0"/>
    <xf numFmtId="0" fontId="304" fillId="69" borderId="151">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05">
      <alignment horizontal="center"/>
    </xf>
    <xf numFmtId="0" fontId="10" fillId="0" borderId="0"/>
    <xf numFmtId="347" fontId="2" fillId="69" borderId="105">
      <alignment horizontal="center"/>
    </xf>
    <xf numFmtId="0" fontId="2" fillId="0" borderId="0" applyNumberFormat="0" applyFont="0" applyFill="0" applyBorder="0" applyAlignment="0" applyProtection="0"/>
    <xf numFmtId="347" fontId="2" fillId="69" borderId="105">
      <alignment horizontal="center"/>
    </xf>
    <xf numFmtId="347" fontId="2" fillId="69" borderId="105">
      <alignment horizontal="center"/>
    </xf>
    <xf numFmtId="347" fontId="2" fillId="69" borderId="105">
      <alignment horizontal="center"/>
    </xf>
    <xf numFmtId="347" fontId="2" fillId="69" borderId="105">
      <alignment horizontal="center"/>
    </xf>
    <xf numFmtId="3" fontId="209" fillId="0" borderId="112">
      <alignment vertical="center"/>
    </xf>
    <xf numFmtId="0" fontId="2" fillId="0" borderId="0" applyNumberFormat="0" applyFont="0" applyFill="0" applyBorder="0" applyAlignment="0" applyProtection="0"/>
    <xf numFmtId="0" fontId="10" fillId="0" borderId="0"/>
    <xf numFmtId="347" fontId="2" fillId="69" borderId="105">
      <alignment horizontal="center"/>
    </xf>
    <xf numFmtId="347" fontId="2" fillId="69" borderId="105">
      <alignment horizontal="center"/>
    </xf>
    <xf numFmtId="347" fontId="2" fillId="69" borderId="105">
      <alignment horizontal="center"/>
    </xf>
    <xf numFmtId="347" fontId="2" fillId="69" borderId="105">
      <alignment horizontal="center"/>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 fillId="69" borderId="105" applyFont="0">
      <alignment horizontal="right"/>
    </xf>
    <xf numFmtId="0" fontId="10" fillId="0" borderId="0"/>
    <xf numFmtId="3" fontId="2" fillId="69" borderId="105"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05" applyFont="0">
      <alignment horizontal="right" vertical="center"/>
    </xf>
    <xf numFmtId="3" fontId="2" fillId="69" borderId="105" applyFont="0">
      <alignment horizontal="right" vertical="center"/>
    </xf>
    <xf numFmtId="3" fontId="2" fillId="69" borderId="105" applyFont="0">
      <alignment horizontal="right" vertical="center"/>
    </xf>
    <xf numFmtId="3" fontId="2" fillId="69" borderId="105" applyFont="0">
      <alignment horizontal="right" vertical="center"/>
    </xf>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87" fontId="2" fillId="69" borderId="105" applyFont="0">
      <alignment horizontal="right"/>
    </xf>
    <xf numFmtId="0" fontId="10" fillId="0" borderId="0"/>
    <xf numFmtId="187" fontId="2" fillId="69" borderId="105" applyFont="0">
      <alignment horizontal="right"/>
    </xf>
    <xf numFmtId="0" fontId="2" fillId="0" borderId="0" applyNumberFormat="0" applyFont="0" applyFill="0" applyBorder="0" applyAlignment="0" applyProtection="0"/>
    <xf numFmtId="187" fontId="2" fillId="69" borderId="105" applyFont="0">
      <alignment horizontal="right"/>
    </xf>
    <xf numFmtId="187" fontId="2" fillId="69" borderId="105" applyFont="0">
      <alignment horizontal="right"/>
    </xf>
    <xf numFmtId="187" fontId="2" fillId="69" borderId="105" applyFont="0">
      <alignment horizontal="right"/>
    </xf>
    <xf numFmtId="187"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87" fontId="2" fillId="69" borderId="105" applyFont="0">
      <alignment horizontal="right"/>
    </xf>
    <xf numFmtId="187" fontId="2" fillId="69" borderId="105" applyFont="0">
      <alignment horizontal="right"/>
    </xf>
    <xf numFmtId="187" fontId="2" fillId="69" borderId="105" applyFont="0">
      <alignment horizontal="right"/>
    </xf>
    <xf numFmtId="187"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69" borderId="105" applyFont="0">
      <alignment horizontal="right"/>
    </xf>
    <xf numFmtId="0" fontId="10" fillId="0" borderId="0"/>
    <xf numFmtId="260" fontId="2" fillId="69" borderId="105" applyFont="0">
      <alignment horizontal="right"/>
    </xf>
    <xf numFmtId="0" fontId="2" fillId="0" borderId="0" applyNumberFormat="0" applyFont="0" applyFill="0" applyBorder="0" applyAlignment="0" applyProtection="0"/>
    <xf numFmtId="260" fontId="2" fillId="69" borderId="105" applyFont="0">
      <alignment horizontal="right"/>
    </xf>
    <xf numFmtId="260" fontId="2" fillId="69" borderId="105" applyFont="0">
      <alignment horizontal="right"/>
    </xf>
    <xf numFmtId="260" fontId="2" fillId="69" borderId="105" applyFont="0">
      <alignment horizontal="right"/>
    </xf>
    <xf numFmtId="26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260" fontId="2" fillId="69" borderId="105" applyFont="0">
      <alignment horizontal="right"/>
    </xf>
    <xf numFmtId="260" fontId="2" fillId="69" borderId="105" applyFont="0">
      <alignment horizontal="right"/>
    </xf>
    <xf numFmtId="260" fontId="2" fillId="69" borderId="105" applyFont="0">
      <alignment horizontal="right"/>
    </xf>
    <xf numFmtId="26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69" borderId="105" applyFont="0">
      <alignment horizontal="right"/>
    </xf>
    <xf numFmtId="0" fontId="10" fillId="0" borderId="0"/>
    <xf numFmtId="10" fontId="2" fillId="69" borderId="105" applyFont="0">
      <alignment horizontal="right"/>
    </xf>
    <xf numFmtId="0" fontId="2" fillId="0" borderId="0" applyNumberFormat="0" applyFont="0" applyFill="0" applyBorder="0" applyAlignment="0" applyProtection="0"/>
    <xf numFmtId="10" fontId="2" fillId="69" borderId="105" applyFont="0">
      <alignment horizontal="right"/>
    </xf>
    <xf numFmtId="10" fontId="2" fillId="69" borderId="105" applyFont="0">
      <alignment horizontal="right"/>
    </xf>
    <xf numFmtId="10" fontId="2" fillId="69" borderId="105" applyFont="0">
      <alignment horizontal="right"/>
    </xf>
    <xf numFmtId="1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69" borderId="105" applyFont="0">
      <alignment horizontal="right"/>
    </xf>
    <xf numFmtId="10" fontId="2" fillId="69" borderId="105" applyFont="0">
      <alignment horizontal="right"/>
    </xf>
    <xf numFmtId="10" fontId="2" fillId="69" borderId="105" applyFont="0">
      <alignment horizontal="right"/>
    </xf>
    <xf numFmtId="1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69" borderId="105" applyFont="0">
      <alignment horizontal="right"/>
    </xf>
    <xf numFmtId="0" fontId="10" fillId="0" borderId="0"/>
    <xf numFmtId="9" fontId="2" fillId="69" borderId="105" applyFont="0">
      <alignment horizontal="right"/>
    </xf>
    <xf numFmtId="0" fontId="2" fillId="0" borderId="0" applyNumberFormat="0" applyFont="0" applyFill="0" applyBorder="0" applyAlignment="0" applyProtection="0"/>
    <xf numFmtId="9" fontId="2" fillId="69" borderId="105" applyFont="0">
      <alignment horizontal="right"/>
    </xf>
    <xf numFmtId="9" fontId="2" fillId="69" borderId="105" applyFont="0">
      <alignment horizontal="right"/>
    </xf>
    <xf numFmtId="9" fontId="2" fillId="69" borderId="105" applyFont="0">
      <alignment horizontal="right"/>
    </xf>
    <xf numFmtId="9"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69" borderId="105" applyFont="0">
      <alignment horizontal="right"/>
    </xf>
    <xf numFmtId="9" fontId="2" fillId="69" borderId="105" applyFont="0">
      <alignment horizontal="right"/>
    </xf>
    <xf numFmtId="9" fontId="2" fillId="69" borderId="105" applyFont="0">
      <alignment horizontal="right"/>
    </xf>
    <xf numFmtId="9"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48" fontId="2" fillId="69" borderId="105" applyFont="0">
      <alignment horizontal="center" wrapText="1"/>
    </xf>
    <xf numFmtId="0" fontId="10" fillId="0" borderId="0"/>
    <xf numFmtId="348" fontId="2" fillId="69" borderId="105" applyFont="0">
      <alignment horizontal="center" wrapText="1"/>
    </xf>
    <xf numFmtId="0" fontId="2" fillId="0" borderId="0" applyNumberFormat="0" applyFont="0" applyFill="0" applyBorder="0" applyAlignment="0" applyProtection="0"/>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52" applyNumberFormat="0" applyBorder="0">
      <alignment horizontal="centerContinuous"/>
    </xf>
    <xf numFmtId="0" fontId="310" fillId="105" borderId="152" applyNumberFormat="0" applyBorder="0">
      <alignment horizontal="centerContinuous"/>
    </xf>
    <xf numFmtId="0" fontId="310" fillId="105" borderId="152" applyNumberFormat="0" applyBorder="0">
      <alignment horizontal="centerContinuous"/>
    </xf>
    <xf numFmtId="0" fontId="310" fillId="105" borderId="152"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07" applyBorder="0"/>
    <xf numFmtId="3" fontId="2" fillId="68" borderId="107" applyBorder="0"/>
    <xf numFmtId="3" fontId="2" fillId="68" borderId="107" applyBorder="0"/>
    <xf numFmtId="3" fontId="2" fillId="68" borderId="107" applyBorder="0"/>
    <xf numFmtId="3" fontId="2" fillId="68" borderId="107"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0"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05" applyNumberFormat="0" applyFont="0" applyFill="0" applyBorder="0" applyAlignment="0">
      <protection hidden="1"/>
    </xf>
    <xf numFmtId="0" fontId="10" fillId="0" borderId="0"/>
    <xf numFmtId="0" fontId="160" fillId="0" borderId="105" applyNumberFormat="0" applyFont="0" applyFill="0" applyBorder="0" applyAlignment="0">
      <protection hidden="1"/>
    </xf>
    <xf numFmtId="0" fontId="10" fillId="0" borderId="0"/>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3" fontId="209" fillId="0" borderId="112">
      <alignment vertical="center"/>
    </xf>
    <xf numFmtId="0" fontId="2" fillId="0" borderId="0" applyNumberFormat="0" applyFont="0" applyFill="0" applyBorder="0" applyAlignment="0" applyProtection="0"/>
    <xf numFmtId="0" fontId="10" fillId="0" borderId="0"/>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 fontId="2" fillId="144" borderId="105" applyFont="0">
      <alignment horizontal="right"/>
    </xf>
    <xf numFmtId="0" fontId="10" fillId="0" borderId="0"/>
    <xf numFmtId="1" fontId="2" fillId="144" borderId="105" applyFont="0">
      <alignment horizontal="right"/>
    </xf>
    <xf numFmtId="0" fontId="2" fillId="0" borderId="0" applyNumberFormat="0" applyFont="0" applyFill="0" applyBorder="0" applyAlignment="0" applyProtection="0"/>
    <xf numFmtId="1" fontId="2" fillId="144" borderId="105" applyFont="0">
      <alignment horizontal="right"/>
    </xf>
    <xf numFmtId="1" fontId="2" fillId="144" borderId="105" applyFont="0">
      <alignment horizontal="right"/>
    </xf>
    <xf numFmtId="1" fontId="2" fillId="144" borderId="105" applyFont="0">
      <alignment horizontal="right"/>
    </xf>
    <xf numFmtId="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 fontId="2" fillId="144" borderId="105" applyFont="0">
      <alignment horizontal="right"/>
    </xf>
    <xf numFmtId="1" fontId="2" fillId="144" borderId="105" applyFont="0">
      <alignment horizontal="right"/>
    </xf>
    <xf numFmtId="1" fontId="2" fillId="144" borderId="105" applyFont="0">
      <alignment horizontal="right"/>
    </xf>
    <xf numFmtId="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4" fontId="2" fillId="144" borderId="105" applyFont="0"/>
    <xf numFmtId="0" fontId="10" fillId="0" borderId="0"/>
    <xf numFmtId="304" fontId="2" fillId="144" borderId="105" applyFont="0"/>
    <xf numFmtId="0" fontId="2" fillId="0" borderId="0" applyNumberFormat="0" applyFont="0" applyFill="0" applyBorder="0" applyAlignment="0" applyProtection="0"/>
    <xf numFmtId="304" fontId="2" fillId="144" borderId="105" applyFont="0"/>
    <xf numFmtId="304" fontId="2" fillId="144" borderId="105" applyFont="0"/>
    <xf numFmtId="304" fontId="2" fillId="144" borderId="105" applyFont="0"/>
    <xf numFmtId="304" fontId="2" fillId="144"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144" borderId="105" applyFont="0"/>
    <xf numFmtId="304" fontId="2" fillId="144" borderId="105" applyFont="0"/>
    <xf numFmtId="304" fontId="2" fillId="144" borderId="105" applyFont="0"/>
    <xf numFmtId="304" fontId="2" fillId="144"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144" borderId="105" applyFont="0">
      <alignment horizontal="right"/>
    </xf>
    <xf numFmtId="0" fontId="10" fillId="0" borderId="0"/>
    <xf numFmtId="9" fontId="2" fillId="144" borderId="105" applyFont="0">
      <alignment horizontal="right"/>
    </xf>
    <xf numFmtId="0" fontId="2" fillId="0" borderId="0" applyNumberFormat="0" applyFont="0" applyFill="0" applyBorder="0" applyAlignment="0" applyProtection="0"/>
    <xf numFmtId="9" fontId="2" fillId="144" borderId="105" applyFont="0">
      <alignment horizontal="right"/>
    </xf>
    <xf numFmtId="9" fontId="2" fillId="144" borderId="105" applyFont="0">
      <alignment horizontal="right"/>
    </xf>
    <xf numFmtId="9" fontId="2" fillId="144" borderId="105" applyFont="0">
      <alignment horizontal="right"/>
    </xf>
    <xf numFmtId="9"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144" borderId="105" applyFont="0">
      <alignment horizontal="right"/>
    </xf>
    <xf numFmtId="9" fontId="2" fillId="144" borderId="105" applyFont="0">
      <alignment horizontal="right"/>
    </xf>
    <xf numFmtId="9" fontId="2" fillId="144" borderId="105" applyFont="0">
      <alignment horizontal="right"/>
    </xf>
    <xf numFmtId="9"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1" fontId="2" fillId="144" borderId="105" applyFont="0">
      <alignment horizontal="right"/>
    </xf>
    <xf numFmtId="0" fontId="10" fillId="0" borderId="0"/>
    <xf numFmtId="331" fontId="2" fillId="144" borderId="105" applyFont="0">
      <alignment horizontal="right"/>
    </xf>
    <xf numFmtId="0" fontId="2" fillId="0" borderId="0" applyNumberFormat="0" applyFont="0" applyFill="0" applyBorder="0" applyAlignment="0" applyProtection="0"/>
    <xf numFmtId="331" fontId="2" fillId="144" borderId="105" applyFont="0">
      <alignment horizontal="right"/>
    </xf>
    <xf numFmtId="331" fontId="2" fillId="144" borderId="105" applyFont="0">
      <alignment horizontal="right"/>
    </xf>
    <xf numFmtId="331" fontId="2" fillId="144" borderId="105" applyFont="0">
      <alignment horizontal="right"/>
    </xf>
    <xf numFmtId="33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31" fontId="2" fillId="144" borderId="105" applyFont="0">
      <alignment horizontal="right"/>
    </xf>
    <xf numFmtId="331" fontId="2" fillId="144" borderId="105" applyFont="0">
      <alignment horizontal="right"/>
    </xf>
    <xf numFmtId="331" fontId="2" fillId="144" borderId="105" applyFont="0">
      <alignment horizontal="right"/>
    </xf>
    <xf numFmtId="33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144" borderId="105" applyFont="0">
      <alignment horizontal="right"/>
    </xf>
    <xf numFmtId="0" fontId="10" fillId="0" borderId="0"/>
    <xf numFmtId="10" fontId="2" fillId="144" borderId="105" applyFont="0">
      <alignment horizontal="right"/>
    </xf>
    <xf numFmtId="0" fontId="2" fillId="0" borderId="0" applyNumberFormat="0" applyFont="0" applyFill="0" applyBorder="0" applyAlignment="0" applyProtection="0"/>
    <xf numFmtId="10" fontId="2" fillId="144" borderId="105" applyFont="0">
      <alignment horizontal="right"/>
    </xf>
    <xf numFmtId="10" fontId="2" fillId="144" borderId="105" applyFont="0">
      <alignment horizontal="right"/>
    </xf>
    <xf numFmtId="10" fontId="2" fillId="144" borderId="105" applyFont="0">
      <alignment horizontal="right"/>
    </xf>
    <xf numFmtId="10"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144" borderId="105" applyFont="0">
      <alignment horizontal="right"/>
    </xf>
    <xf numFmtId="10" fontId="2" fillId="144" borderId="105" applyFont="0">
      <alignment horizontal="right"/>
    </xf>
    <xf numFmtId="10" fontId="2" fillId="144" borderId="105" applyFont="0">
      <alignment horizontal="right"/>
    </xf>
    <xf numFmtId="10"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144" borderId="105" applyFont="0">
      <alignment horizontal="center" wrapText="1"/>
    </xf>
    <xf numFmtId="0" fontId="10" fillId="0" borderId="0"/>
    <xf numFmtId="0" fontId="2" fillId="144" borderId="105" applyFont="0">
      <alignment horizontal="center" wrapText="1"/>
    </xf>
    <xf numFmtId="0" fontId="2" fillId="0" borderId="0" applyNumberFormat="0" applyFont="0" applyFill="0" applyBorder="0" applyAlignment="0" applyProtection="0"/>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144" borderId="105" applyFont="0"/>
    <xf numFmtId="0" fontId="10" fillId="0" borderId="0"/>
    <xf numFmtId="0" fontId="10" fillId="0" borderId="0"/>
    <xf numFmtId="3" fontId="209" fillId="0" borderId="112">
      <alignment vertical="center"/>
    </xf>
    <xf numFmtId="0" fontId="10" fillId="0" borderId="0"/>
    <xf numFmtId="0" fontId="10" fillId="0" borderId="0"/>
    <xf numFmtId="49" fontId="2" fillId="144" borderId="105" applyFont="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304" fontId="2" fillId="145" borderId="105" applyFont="0"/>
    <xf numFmtId="0" fontId="10" fillId="0" borderId="0"/>
    <xf numFmtId="304" fontId="2" fillId="145" borderId="105" applyFont="0"/>
    <xf numFmtId="0" fontId="2" fillId="0" borderId="0" applyNumberFormat="0" applyFont="0" applyFill="0" applyBorder="0" applyAlignment="0" applyProtection="0"/>
    <xf numFmtId="304" fontId="2" fillId="145" borderId="105" applyFont="0"/>
    <xf numFmtId="304" fontId="2" fillId="145" borderId="105" applyFont="0"/>
    <xf numFmtId="304" fontId="2" fillId="145" borderId="105" applyFont="0"/>
    <xf numFmtId="304" fontId="2" fillId="145"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145" borderId="105" applyFont="0"/>
    <xf numFmtId="304" fontId="2" fillId="145" borderId="105" applyFont="0"/>
    <xf numFmtId="304" fontId="2" fillId="145" borderId="105" applyFont="0"/>
    <xf numFmtId="304" fontId="2" fillId="145"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145" borderId="105" applyFont="0">
      <alignment horizontal="right"/>
    </xf>
    <xf numFmtId="0" fontId="10" fillId="0" borderId="0"/>
    <xf numFmtId="9" fontId="2" fillId="145" borderId="105" applyFont="0">
      <alignment horizontal="right"/>
    </xf>
    <xf numFmtId="0" fontId="2" fillId="0" borderId="0" applyNumberFormat="0" applyFont="0" applyFill="0" applyBorder="0" applyAlignment="0" applyProtection="0"/>
    <xf numFmtId="9" fontId="2" fillId="145" borderId="105" applyFont="0">
      <alignment horizontal="right"/>
    </xf>
    <xf numFmtId="9" fontId="2" fillId="145" borderId="105" applyFont="0">
      <alignment horizontal="right"/>
    </xf>
    <xf numFmtId="9" fontId="2" fillId="145" borderId="105" applyFont="0">
      <alignment horizontal="right"/>
    </xf>
    <xf numFmtId="9" fontId="2" fillId="145"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145" borderId="105" applyFont="0">
      <alignment horizontal="right"/>
    </xf>
    <xf numFmtId="9" fontId="2" fillId="145" borderId="105" applyFont="0">
      <alignment horizontal="right"/>
    </xf>
    <xf numFmtId="9" fontId="2" fillId="145" borderId="105" applyFont="0">
      <alignment horizontal="right"/>
    </xf>
    <xf numFmtId="9" fontId="2" fillId="145"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11" fontId="2" fillId="146" borderId="105">
      <alignment vertical="center"/>
    </xf>
    <xf numFmtId="311" fontId="2" fillId="146" borderId="105">
      <alignment vertical="center"/>
    </xf>
    <xf numFmtId="311" fontId="2" fillId="146" borderId="105">
      <alignment vertical="center"/>
    </xf>
    <xf numFmtId="311" fontId="2" fillId="146" borderId="105">
      <alignment vertical="center"/>
    </xf>
    <xf numFmtId="311" fontId="2" fillId="146" borderId="105">
      <alignment vertical="center"/>
    </xf>
    <xf numFmtId="304" fontId="2" fillId="93" borderId="105" applyFont="0">
      <alignment horizontal="right"/>
    </xf>
    <xf numFmtId="0" fontId="10" fillId="0" borderId="0"/>
    <xf numFmtId="304" fontId="2" fillId="93" borderId="105" applyFont="0">
      <alignment horizontal="right"/>
    </xf>
    <xf numFmtId="0" fontId="2" fillId="0" borderId="0" applyNumberFormat="0" applyFont="0" applyFill="0" applyBorder="0" applyAlignment="0" applyProtection="0"/>
    <xf numFmtId="304" fontId="2" fillId="93" borderId="105" applyFont="0">
      <alignment horizontal="right"/>
    </xf>
    <xf numFmtId="304" fontId="2" fillId="93" borderId="105" applyFont="0">
      <alignment horizontal="right"/>
    </xf>
    <xf numFmtId="304" fontId="2" fillId="93" borderId="105" applyFont="0">
      <alignment horizontal="right"/>
    </xf>
    <xf numFmtId="304"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04" fontId="2" fillId="93" borderId="105" applyFont="0">
      <alignment horizontal="right"/>
    </xf>
    <xf numFmtId="304" fontId="2" fillId="93" borderId="105" applyFont="0">
      <alignment horizontal="right"/>
    </xf>
    <xf numFmtId="304" fontId="2" fillId="93" borderId="105" applyFont="0">
      <alignment horizontal="right"/>
    </xf>
    <xf numFmtId="304"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 fontId="2" fillId="93" borderId="105" applyFont="0">
      <alignment horizontal="right"/>
    </xf>
    <xf numFmtId="0" fontId="10" fillId="0" borderId="0"/>
    <xf numFmtId="1" fontId="2" fillId="93" borderId="105" applyFont="0">
      <alignment horizontal="right"/>
    </xf>
    <xf numFmtId="0" fontId="2" fillId="0" borderId="0" applyNumberFormat="0" applyFont="0" applyFill="0" applyBorder="0" applyAlignment="0" applyProtection="0"/>
    <xf numFmtId="1" fontId="2" fillId="93" borderId="105" applyFont="0">
      <alignment horizontal="right"/>
    </xf>
    <xf numFmtId="1" fontId="2" fillId="93" borderId="105" applyFont="0">
      <alignment horizontal="right"/>
    </xf>
    <xf numFmtId="1" fontId="2" fillId="93" borderId="105" applyFont="0">
      <alignment horizontal="right"/>
    </xf>
    <xf numFmtId="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 fontId="2" fillId="93" borderId="105" applyFont="0">
      <alignment horizontal="right"/>
    </xf>
    <xf numFmtId="1" fontId="2" fillId="93" borderId="105" applyFont="0">
      <alignment horizontal="right"/>
    </xf>
    <xf numFmtId="1" fontId="2" fillId="93" borderId="105" applyFont="0">
      <alignment horizontal="right"/>
    </xf>
    <xf numFmtId="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4" fontId="2" fillId="93" borderId="105" applyFont="0"/>
    <xf numFmtId="0" fontId="10" fillId="0" borderId="0"/>
    <xf numFmtId="304" fontId="2" fillId="93" borderId="105" applyFont="0"/>
    <xf numFmtId="0" fontId="2" fillId="0" borderId="0" applyNumberFormat="0" applyFont="0" applyFill="0" applyBorder="0" applyAlignment="0" applyProtection="0"/>
    <xf numFmtId="304" fontId="2" fillId="93" borderId="105" applyFont="0"/>
    <xf numFmtId="304" fontId="2" fillId="93" borderId="105" applyFont="0"/>
    <xf numFmtId="304" fontId="2" fillId="93" borderId="105" applyFont="0"/>
    <xf numFmtId="304"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93" borderId="105" applyFont="0"/>
    <xf numFmtId="304" fontId="2" fillId="93" borderId="105" applyFont="0"/>
    <xf numFmtId="304" fontId="2" fillId="93" borderId="105" applyFont="0"/>
    <xf numFmtId="304"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93" borderId="105" applyFont="0"/>
    <xf numFmtId="0" fontId="10" fillId="0" borderId="0"/>
    <xf numFmtId="260" fontId="2" fillId="93" borderId="105" applyFont="0"/>
    <xf numFmtId="0" fontId="2" fillId="0" borderId="0" applyNumberFormat="0" applyFont="0" applyFill="0" applyBorder="0" applyAlignment="0" applyProtection="0"/>
    <xf numFmtId="260" fontId="2" fillId="93" borderId="105" applyFont="0"/>
    <xf numFmtId="260" fontId="2" fillId="93" borderId="105" applyFont="0"/>
    <xf numFmtId="260" fontId="2" fillId="93" borderId="105" applyFont="0"/>
    <xf numFmtId="260"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260" fontId="2" fillId="93" borderId="105" applyFont="0"/>
    <xf numFmtId="260" fontId="2" fillId="93" borderId="105" applyFont="0"/>
    <xf numFmtId="260" fontId="2" fillId="93" borderId="105" applyFont="0"/>
    <xf numFmtId="260"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93" borderId="105" applyFont="0">
      <alignment horizontal="right"/>
    </xf>
    <xf numFmtId="0" fontId="10" fillId="0" borderId="0"/>
    <xf numFmtId="10" fontId="2" fillId="93" borderId="105" applyFont="0">
      <alignment horizontal="right"/>
    </xf>
    <xf numFmtId="0" fontId="2" fillId="0" borderId="0" applyNumberFormat="0" applyFont="0" applyFill="0" applyBorder="0" applyAlignment="0" applyProtection="0"/>
    <xf numFmtId="10" fontId="2" fillId="93" borderId="105" applyFont="0">
      <alignment horizontal="right"/>
    </xf>
    <xf numFmtId="10" fontId="2" fillId="93" borderId="105" applyFont="0">
      <alignment horizontal="right"/>
    </xf>
    <xf numFmtId="10" fontId="2" fillId="93" borderId="105" applyFont="0">
      <alignment horizontal="right"/>
    </xf>
    <xf numFmtId="10"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93" borderId="105" applyFont="0">
      <alignment horizontal="right"/>
    </xf>
    <xf numFmtId="10" fontId="2" fillId="93" borderId="105" applyFont="0">
      <alignment horizontal="right"/>
    </xf>
    <xf numFmtId="10" fontId="2" fillId="93" borderId="105" applyFont="0">
      <alignment horizontal="right"/>
    </xf>
    <xf numFmtId="10"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93" borderId="105" applyFont="0">
      <alignment horizontal="right"/>
    </xf>
    <xf numFmtId="0" fontId="10" fillId="0" borderId="0"/>
    <xf numFmtId="9" fontId="2" fillId="93" borderId="105" applyFont="0">
      <alignment horizontal="right"/>
    </xf>
    <xf numFmtId="0" fontId="2" fillId="0" borderId="0" applyNumberFormat="0" applyFont="0" applyFill="0" applyBorder="0" applyAlignment="0" applyProtection="0"/>
    <xf numFmtId="9" fontId="2" fillId="93" borderId="105" applyFont="0">
      <alignment horizontal="right"/>
    </xf>
    <xf numFmtId="9" fontId="2" fillId="93" borderId="105" applyFont="0">
      <alignment horizontal="right"/>
    </xf>
    <xf numFmtId="9" fontId="2" fillId="93" borderId="105" applyFont="0">
      <alignment horizontal="right"/>
    </xf>
    <xf numFmtId="9"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93" borderId="105" applyFont="0">
      <alignment horizontal="right"/>
    </xf>
    <xf numFmtId="9" fontId="2" fillId="93" borderId="105" applyFont="0">
      <alignment horizontal="right"/>
    </xf>
    <xf numFmtId="9" fontId="2" fillId="93" borderId="105" applyFont="0">
      <alignment horizontal="right"/>
    </xf>
    <xf numFmtId="9"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1" fontId="2" fillId="93" borderId="105" applyFont="0">
      <alignment horizontal="right"/>
    </xf>
    <xf numFmtId="0" fontId="10" fillId="0" borderId="0"/>
    <xf numFmtId="331" fontId="2" fillId="93" borderId="105" applyFont="0">
      <alignment horizontal="right"/>
    </xf>
    <xf numFmtId="0" fontId="2" fillId="0" borderId="0" applyNumberFormat="0" applyFont="0" applyFill="0" applyBorder="0" applyAlignment="0" applyProtection="0"/>
    <xf numFmtId="331" fontId="2" fillId="93" borderId="105" applyFont="0">
      <alignment horizontal="right"/>
    </xf>
    <xf numFmtId="331" fontId="2" fillId="93" borderId="105" applyFont="0">
      <alignment horizontal="right"/>
    </xf>
    <xf numFmtId="331" fontId="2" fillId="93" borderId="105" applyFont="0">
      <alignment horizontal="right"/>
    </xf>
    <xf numFmtId="33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31" fontId="2" fillId="93" borderId="105" applyFont="0">
      <alignment horizontal="right"/>
    </xf>
    <xf numFmtId="331" fontId="2" fillId="93" borderId="105" applyFont="0">
      <alignment horizontal="right"/>
    </xf>
    <xf numFmtId="331" fontId="2" fillId="93" borderId="105" applyFont="0">
      <alignment horizontal="right"/>
    </xf>
    <xf numFmtId="33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93" borderId="108"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08" applyFont="0">
      <alignment horizontal="right"/>
    </xf>
    <xf numFmtId="0" fontId="2" fillId="0" borderId="0" applyNumberFormat="0" applyFont="0" applyFill="0" applyBorder="0" applyAlignment="0" applyProtection="0"/>
    <xf numFmtId="10" fontId="2" fillId="93" borderId="108" applyFont="0">
      <alignment horizontal="right"/>
    </xf>
    <xf numFmtId="10" fontId="2" fillId="93" borderId="108" applyFont="0">
      <alignment horizontal="right"/>
    </xf>
    <xf numFmtId="10" fontId="2" fillId="93" borderId="108" applyFont="0">
      <alignment horizontal="right"/>
    </xf>
    <xf numFmtId="10" fontId="2" fillId="93" borderId="108"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93" borderId="108" applyFont="0">
      <alignment horizontal="right"/>
    </xf>
    <xf numFmtId="10" fontId="2" fillId="93" borderId="108" applyFont="0">
      <alignment horizontal="right"/>
    </xf>
    <xf numFmtId="10" fontId="2" fillId="93" borderId="108" applyFont="0">
      <alignment horizontal="right"/>
    </xf>
    <xf numFmtId="10" fontId="2" fillId="93" borderId="108"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93" borderId="105" applyFont="0">
      <alignment horizontal="center" wrapText="1"/>
      <protection locked="0"/>
    </xf>
    <xf numFmtId="0" fontId="10" fillId="0" borderId="0"/>
    <xf numFmtId="0" fontId="2" fillId="93" borderId="105" applyFont="0">
      <alignment horizontal="center" wrapText="1"/>
      <protection locked="0"/>
    </xf>
    <xf numFmtId="0" fontId="2" fillId="0" borderId="0" applyNumberFormat="0" applyFont="0" applyFill="0" applyBorder="0" applyAlignment="0" applyProtection="0"/>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93" borderId="105" applyFont="0"/>
    <xf numFmtId="0" fontId="10" fillId="0" borderId="0"/>
    <xf numFmtId="0" fontId="10" fillId="0" borderId="0"/>
    <xf numFmtId="3" fontId="209" fillId="0" borderId="112">
      <alignment vertical="center"/>
    </xf>
    <xf numFmtId="0" fontId="10" fillId="0" borderId="0"/>
    <xf numFmtId="0" fontId="10" fillId="0" borderId="0"/>
    <xf numFmtId="49" fontId="2" fillId="93" borderId="105" applyFont="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316" fillId="0" borderId="153" applyNumberFormat="0" applyAlignment="0" applyProtection="0"/>
    <xf numFmtId="0" fontId="317" fillId="0" borderId="153"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07"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07" applyNumberFormat="0" applyProtection="0">
      <alignment horizontal="left" vertical="top"/>
    </xf>
    <xf numFmtId="0" fontId="320" fillId="0" borderId="107" applyNumberFormat="0" applyProtection="0">
      <alignment horizontal="left" vertical="top"/>
    </xf>
    <xf numFmtId="0" fontId="2" fillId="0" borderId="0" applyNumberFormat="0" applyFont="0" applyFill="0" applyBorder="0" applyAlignment="0" applyProtection="0"/>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54" applyNumberFormat="0" applyFont="0" applyAlignment="0" applyProtection="0"/>
    <xf numFmtId="0" fontId="2" fillId="0" borderId="155" applyNumberFormat="0" applyFont="0" applyAlignment="0" applyProtection="0"/>
    <xf numFmtId="0" fontId="2" fillId="0" borderId="156" applyNumberFormat="0" applyFont="0" applyAlignment="0" applyProtection="0"/>
    <xf numFmtId="10" fontId="321" fillId="0" borderId="0" applyNumberFormat="0" applyFill="0" applyBorder="0" applyProtection="0">
      <alignment horizontal="right" vertical="top"/>
    </xf>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7" fillId="0" borderId="96" applyNumberFormat="0" applyFill="0" applyAlignment="0" applyProtection="0">
      <alignment vertical="top"/>
    </xf>
    <xf numFmtId="0" fontId="317" fillId="0" borderId="96"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2" fillId="0" borderId="0" applyBorder="0" applyProtection="0">
      <alignment vertical="center"/>
    </xf>
    <xf numFmtId="277" fontId="322" fillId="0" borderId="96"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96"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61"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4"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lignment horizontal="centerContinuous"/>
    </xf>
    <xf numFmtId="0" fontId="10" fillId="0" borderId="0"/>
    <xf numFmtId="0" fontId="10" fillId="0" borderId="0"/>
    <xf numFmtId="3" fontId="209" fillId="0" borderId="112">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57"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09"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38" fillId="0" borderId="38" applyNumberFormat="0" applyFill="0" applyAlignment="0" applyProtection="0"/>
    <xf numFmtId="0" fontId="10" fillId="0" borderId="0"/>
    <xf numFmtId="0" fontId="10" fillId="0" borderId="0"/>
    <xf numFmtId="0" fontId="10" fillId="0" borderId="0"/>
    <xf numFmtId="0" fontId="39" fillId="0" borderId="39" applyNumberFormat="0" applyFill="0" applyAlignment="0" applyProtection="0"/>
    <xf numFmtId="0" fontId="10" fillId="0" borderId="0"/>
    <xf numFmtId="0" fontId="10" fillId="0" borderId="0"/>
    <xf numFmtId="0" fontId="10" fillId="0" borderId="0"/>
    <xf numFmtId="0" fontId="40" fillId="0" borderId="40"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2"/>
    <xf numFmtId="0" fontId="10" fillId="0" borderId="0"/>
    <xf numFmtId="0" fontId="331" fillId="0" borderId="92"/>
    <xf numFmtId="0" fontId="10" fillId="0" borderId="0"/>
    <xf numFmtId="0" fontId="331" fillId="0" borderId="92"/>
    <xf numFmtId="0" fontId="10" fillId="0" borderId="0"/>
    <xf numFmtId="0" fontId="331" fillId="0" borderId="92"/>
    <xf numFmtId="0" fontId="331" fillId="0" borderId="92"/>
    <xf numFmtId="246" fontId="253" fillId="0" borderId="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3" fontId="209" fillId="0" borderId="112">
      <alignment vertical="center"/>
    </xf>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38" fontId="201" fillId="0" borderId="159">
      <alignment horizontal="right"/>
    </xf>
    <xf numFmtId="0" fontId="272" fillId="0" borderId="16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60" applyProtection="0">
      <alignment horizontal="center"/>
    </xf>
    <xf numFmtId="0" fontId="272" fillId="0" borderId="160" applyProtection="0">
      <alignment horizontal="center"/>
    </xf>
    <xf numFmtId="0" fontId="272" fillId="0" borderId="160" applyProtection="0">
      <alignment horizontal="center"/>
    </xf>
    <xf numFmtId="0" fontId="272" fillId="0" borderId="160" applyProtection="0">
      <alignment horizont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5" fillId="69" borderId="0">
      <alignment horizontal="center"/>
    </xf>
    <xf numFmtId="0" fontId="105" fillId="69" borderId="0">
      <alignment horizontal="center"/>
    </xf>
    <xf numFmtId="3" fontId="209" fillId="0" borderId="112">
      <alignment vertical="center"/>
    </xf>
    <xf numFmtId="0" fontId="332" fillId="104" borderId="0" applyNumberFormat="0" applyBorder="0"/>
    <xf numFmtId="0" fontId="185" fillId="0" borderId="161" applyNumberFormat="0" applyFont="0" applyFill="0" applyAlignment="0"/>
    <xf numFmtId="0" fontId="333" fillId="0" borderId="109"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79" fillId="0" borderId="57" applyNumberFormat="0" applyBorder="0">
      <protection locked="0"/>
    </xf>
    <xf numFmtId="37" fontId="334" fillId="111" borderId="0"/>
    <xf numFmtId="37" fontId="160" fillId="150" borderId="105" applyNumberFormat="0" applyAlignment="0" applyProtection="0"/>
    <xf numFmtId="0" fontId="2" fillId="0" borderId="0" applyNumberFormat="0" applyFont="0" applyFill="0" applyBorder="0" applyAlignment="0" applyProtection="0"/>
    <xf numFmtId="37" fontId="160" fillId="150" borderId="105" applyNumberFormat="0" applyAlignment="0" applyProtection="0"/>
    <xf numFmtId="37" fontId="160" fillId="150" borderId="105" applyNumberFormat="0" applyAlignment="0" applyProtection="0"/>
    <xf numFmtId="37" fontId="160" fillId="150" borderId="105" applyNumberFormat="0" applyAlignment="0" applyProtection="0"/>
    <xf numFmtId="37" fontId="160" fillId="150" borderId="105" applyNumberFormat="0" applyAlignment="0" applyProtection="0"/>
    <xf numFmtId="3" fontId="209" fillId="0" borderId="112">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96">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9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38" fontId="2" fillId="0" borderId="0"/>
    <xf numFmtId="2" fontId="233" fillId="69" borderId="105"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165" fontId="339" fillId="69" borderId="64">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6" applyNumberFormat="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1" fillId="74" borderId="96"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12">
      <alignment vertical="center"/>
    </xf>
    <xf numFmtId="0" fontId="309" fillId="0" borderId="0" applyProtection="0">
      <alignment horizontal="center"/>
    </xf>
    <xf numFmtId="0" fontId="10" fillId="0" borderId="0"/>
    <xf numFmtId="3" fontId="209" fillId="0" borderId="112">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12">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45" fillId="0" borderId="162" applyNumberFormat="0"/>
    <xf numFmtId="14" fontId="160" fillId="0" borderId="0" applyFont="0" applyFill="0" applyBorder="0" applyProtection="0"/>
    <xf numFmtId="16" fontId="160" fillId="0" borderId="0" applyFont="0" applyFill="0" applyBorder="0" applyProtection="0"/>
    <xf numFmtId="3" fontId="209" fillId="0" borderId="112">
      <alignment vertical="center"/>
    </xf>
    <xf numFmtId="358" fontId="343" fillId="0" borderId="96"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69" applyFont="0">
      <alignment horizontal="right" vertical="center"/>
      <protection locked="0"/>
    </xf>
    <xf numFmtId="0" fontId="45" fillId="69" borderId="165" applyFont="0" applyBorder="0">
      <alignment horizontal="center" wrapText="1"/>
    </xf>
    <xf numFmtId="0" fontId="147" fillId="69" borderId="168" applyNumberFormat="0" applyFill="0" applyBorder="0" applyAlignment="0" applyProtection="0">
      <alignment horizontal="left"/>
    </xf>
    <xf numFmtId="0" fontId="1" fillId="0" borderId="0"/>
    <xf numFmtId="0" fontId="174" fillId="0" borderId="173"/>
    <xf numFmtId="244" fontId="176" fillId="0" borderId="174"/>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247"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0" fontId="183" fillId="108" borderId="175" applyNumberFormat="0" applyAlignment="0" applyProtection="0"/>
    <xf numFmtId="0" fontId="183" fillId="108" borderId="175" applyNumberFormat="0" applyAlignment="0" applyProtection="0"/>
    <xf numFmtId="252" fontId="105" fillId="0" borderId="175" applyNumberFormat="0" applyFont="0" applyFill="0" applyAlignment="0">
      <alignment vertical="center"/>
    </xf>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252" fontId="105" fillId="0" borderId="175" applyNumberFormat="0" applyFont="0" applyFill="0" applyAlignment="0">
      <alignment vertical="center"/>
    </xf>
    <xf numFmtId="0" fontId="105" fillId="0" borderId="175" applyNumberFormat="0" applyFont="0" applyFill="0"/>
    <xf numFmtId="252" fontId="105" fillId="0" borderId="175" applyNumberFormat="0" applyFont="0" applyFill="0" applyAlignment="0">
      <alignment vertical="center"/>
    </xf>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201" fillId="0" borderId="164" applyNumberFormat="0" applyFont="0" applyFill="0" applyAlignment="0" applyProtection="0"/>
    <xf numFmtId="0" fontId="149" fillId="0" borderId="168" applyNumberFormat="0" applyFont="0" applyFill="0" applyAlignment="0" applyProtection="0"/>
    <xf numFmtId="0" fontId="149" fillId="0" borderId="168" applyNumberFormat="0" applyFont="0" applyFill="0" applyAlignment="0" applyProtection="0"/>
    <xf numFmtId="0" fontId="149" fillId="0" borderId="168" applyNumberFormat="0" applyFont="0" applyFill="0" applyAlignment="0" applyProtection="0"/>
    <xf numFmtId="0" fontId="149" fillId="0" borderId="173" applyNumberFormat="0" applyFont="0" applyFill="0" applyAlignment="0" applyProtection="0"/>
    <xf numFmtId="0" fontId="149" fillId="0" borderId="173"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3" fontId="45" fillId="41" borderId="168">
      <protection hidden="1"/>
    </xf>
    <xf numFmtId="0" fontId="204" fillId="0" borderId="168" applyBorder="0"/>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vertical="center"/>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76" applyNumberFormat="0" applyFill="0" applyBorder="0" applyAlignment="0" applyProtection="0">
      <alignment horizontal="center"/>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0" fontId="232" fillId="120" borderId="169" applyNumberFormat="0" applyBorder="0" applyAlignment="0">
      <alignment horizontal="center"/>
      <protection locked="0"/>
    </xf>
    <xf numFmtId="0" fontId="232" fillId="120" borderId="169" applyNumberFormat="0" applyBorder="0" applyAlignment="0">
      <alignment horizontal="center"/>
      <protection locked="0"/>
    </xf>
    <xf numFmtId="3" fontId="233" fillId="121" borderId="176" applyNumberFormat="0" applyBorder="0" applyAlignment="0" applyProtection="0">
      <protection hidden="1"/>
    </xf>
    <xf numFmtId="281" fontId="2" fillId="0" borderId="0" applyFont="0" applyFill="0" applyBorder="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45" fillId="113" borderId="171" applyAlignment="0" applyProtection="0"/>
    <xf numFmtId="0" fontId="45" fillId="113" borderId="171" applyAlignment="0" applyProtection="0"/>
    <xf numFmtId="0" fontId="45" fillId="113" borderId="171" applyAlignment="0" applyProtection="0"/>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37" fillId="0" borderId="171">
      <alignment horizontal="left" vertical="center"/>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0" borderId="0" applyNumberFormat="0" applyFont="0" applyFill="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2" fontId="233" fillId="129" borderId="174" applyNumberFormat="0" applyBorder="0" applyAlignment="0" applyProtection="0">
      <alignment horizontal="center"/>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49" fontId="2" fillId="71" borderId="169" applyFont="0" applyAlignment="0">
      <protection locked="0"/>
    </xf>
    <xf numFmtId="49" fontId="2" fillId="71" borderId="169" applyFont="0" applyAlignment="0">
      <protection locked="0"/>
    </xf>
    <xf numFmtId="317" fontId="160" fillId="0" borderId="174" applyBorder="0"/>
    <xf numFmtId="253" fontId="228" fillId="96" borderId="174" applyBorder="0"/>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2" fontId="233" fillId="107" borderId="169" applyNumberFormat="0" applyBorder="0" applyAlignment="0">
      <protection locked="0"/>
    </xf>
    <xf numFmtId="3" fontId="209" fillId="0" borderId="112">
      <alignment vertical="center"/>
    </xf>
    <xf numFmtId="37" fontId="201" fillId="0" borderId="0" applyNumberFormat="0" applyFill="0" applyAlignment="0"/>
    <xf numFmtId="0" fontId="283" fillId="104" borderId="170">
      <alignment horizontal="center" vertical="top" wrapText="1"/>
    </xf>
    <xf numFmtId="0" fontId="283" fillId="104" borderId="170">
      <alignment horizontal="center" vertical="top" wrapText="1"/>
    </xf>
    <xf numFmtId="0" fontId="283" fillId="104" borderId="170">
      <alignment horizontal="center" vertical="top" wrapText="1"/>
    </xf>
    <xf numFmtId="0" fontId="283" fillId="104" borderId="170">
      <alignment horizontal="center" vertical="top" wrapText="1"/>
    </xf>
    <xf numFmtId="0" fontId="2" fillId="0" borderId="171"/>
    <xf numFmtId="0" fontId="2" fillId="0" borderId="171"/>
    <xf numFmtId="0" fontId="2" fillId="0" borderId="171"/>
    <xf numFmtId="0" fontId="2" fillId="0" borderId="171"/>
    <xf numFmtId="0" fontId="45" fillId="70" borderId="165"/>
    <xf numFmtId="0" fontId="45" fillId="70" borderId="165"/>
    <xf numFmtId="0" fontId="45" fillId="70" borderId="165"/>
    <xf numFmtId="0" fontId="45" fillId="70" borderId="165"/>
    <xf numFmtId="0" fontId="45" fillId="0" borderId="166"/>
    <xf numFmtId="0" fontId="45" fillId="0" borderId="166"/>
    <xf numFmtId="0" fontId="45" fillId="0" borderId="166"/>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0" fontId="283" fillId="132" borderId="170">
      <alignment horizontal="center" vertical="top"/>
    </xf>
    <xf numFmtId="0" fontId="283" fillId="132" borderId="170">
      <alignment horizontal="center" vertical="top"/>
    </xf>
    <xf numFmtId="0" fontId="45" fillId="0" borderId="165"/>
    <xf numFmtId="0" fontId="45" fillId="0" borderId="165"/>
    <xf numFmtId="0" fontId="45" fillId="0" borderId="165"/>
    <xf numFmtId="0" fontId="45" fillId="0" borderId="165"/>
    <xf numFmtId="0" fontId="2" fillId="0" borderId="170"/>
    <xf numFmtId="0" fontId="2" fillId="0" borderId="170"/>
    <xf numFmtId="0" fontId="2" fillId="0" borderId="170"/>
    <xf numFmtId="0" fontId="2" fillId="0" borderId="170"/>
    <xf numFmtId="0" fontId="2" fillId="0" borderId="170"/>
    <xf numFmtId="0" fontId="284" fillId="70" borderId="176"/>
    <xf numFmtId="0" fontId="284" fillId="70" borderId="176"/>
    <xf numFmtId="0" fontId="2" fillId="0" borderId="166">
      <alignment horizontal="center"/>
    </xf>
    <xf numFmtId="0" fontId="2" fillId="0" borderId="166">
      <alignment horizontal="center"/>
    </xf>
    <xf numFmtId="0" fontId="2" fillId="0" borderId="166">
      <alignment horizontal="center"/>
    </xf>
    <xf numFmtId="0" fontId="2" fillId="0" borderId="167">
      <alignment horizontal="center"/>
    </xf>
    <xf numFmtId="0" fontId="2" fillId="0" borderId="167">
      <alignment horizontal="center"/>
    </xf>
    <xf numFmtId="0" fontId="2" fillId="0" borderId="167">
      <alignment horizontal="center"/>
    </xf>
    <xf numFmtId="0" fontId="2" fillId="0" borderId="167">
      <alignment horizontal="center"/>
    </xf>
    <xf numFmtId="0" fontId="2" fillId="0" borderId="172">
      <alignment horizontal="center"/>
    </xf>
    <xf numFmtId="0" fontId="2" fillId="0" borderId="172">
      <alignment horizontal="center"/>
    </xf>
    <xf numFmtId="0" fontId="283" fillId="132" borderId="170">
      <alignment horizontal="center" vertical="top" wrapText="1"/>
    </xf>
    <xf numFmtId="0" fontId="283" fillId="132" borderId="170">
      <alignment horizontal="center" vertical="top" wrapText="1"/>
    </xf>
    <xf numFmtId="0" fontId="283" fillId="132" borderId="170">
      <alignment horizontal="center" vertical="top" wrapText="1"/>
    </xf>
    <xf numFmtId="0" fontId="283" fillId="132" borderId="170">
      <alignment horizontal="center" vertical="top" wrapText="1"/>
    </xf>
    <xf numFmtId="3" fontId="2" fillId="0" borderId="171"/>
    <xf numFmtId="3" fontId="2" fillId="0" borderId="171"/>
    <xf numFmtId="3" fontId="2" fillId="0" borderId="171"/>
    <xf numFmtId="3" fontId="2" fillId="0" borderId="171"/>
    <xf numFmtId="0" fontId="45" fillId="70" borderId="165">
      <alignment horizontal="center"/>
    </xf>
    <xf numFmtId="0" fontId="45" fillId="70" borderId="165">
      <alignment horizontal="center"/>
    </xf>
    <xf numFmtId="0" fontId="45" fillId="70" borderId="165">
      <alignment horizontal="center"/>
    </xf>
    <xf numFmtId="0" fontId="45" fillId="70" borderId="165">
      <alignment horizontal="center"/>
    </xf>
    <xf numFmtId="0" fontId="45" fillId="70" borderId="171">
      <alignment horizontal="center"/>
    </xf>
    <xf numFmtId="0" fontId="45" fillId="70" borderId="171">
      <alignment horizontal="center"/>
    </xf>
    <xf numFmtId="0" fontId="45" fillId="70" borderId="170">
      <alignment horizontal="center"/>
    </xf>
    <xf numFmtId="0" fontId="45" fillId="70" borderId="170">
      <alignment horizontal="center"/>
    </xf>
    <xf numFmtId="0" fontId="45" fillId="70" borderId="170">
      <alignment horizontal="center"/>
    </xf>
    <xf numFmtId="0" fontId="45" fillId="70" borderId="170">
      <alignment horizontal="center"/>
    </xf>
    <xf numFmtId="0" fontId="45" fillId="70" borderId="166">
      <alignment horizontal="left" vertical="top"/>
    </xf>
    <xf numFmtId="0" fontId="45" fillId="70" borderId="166">
      <alignment horizontal="left" vertical="top"/>
    </xf>
    <xf numFmtId="0" fontId="45" fillId="70" borderId="166">
      <alignment horizontal="left" vertical="top"/>
    </xf>
    <xf numFmtId="0" fontId="283" fillId="132" borderId="171">
      <alignment horizontal="center" vertical="center"/>
    </xf>
    <xf numFmtId="0" fontId="283" fillId="132" borderId="171">
      <alignment horizontal="center" vertical="center"/>
    </xf>
    <xf numFmtId="0" fontId="283" fillId="132" borderId="170">
      <alignment horizontal="center" vertical="center"/>
    </xf>
    <xf numFmtId="0" fontId="283" fillId="132" borderId="170">
      <alignment horizontal="center" vertical="center"/>
    </xf>
    <xf numFmtId="0" fontId="283" fillId="132" borderId="170">
      <alignment horizontal="center" vertical="center"/>
    </xf>
    <xf numFmtId="0" fontId="283" fillId="132" borderId="170">
      <alignment horizontal="center" vertical="center"/>
    </xf>
    <xf numFmtId="0" fontId="283" fillId="104" borderId="165">
      <alignment horizontal="center" vertical="center"/>
    </xf>
    <xf numFmtId="0" fontId="283" fillId="104" borderId="165">
      <alignment horizontal="center" vertical="center"/>
    </xf>
    <xf numFmtId="0" fontId="283" fillId="104" borderId="165">
      <alignment horizontal="center" vertical="center"/>
    </xf>
    <xf numFmtId="0" fontId="283" fillId="104" borderId="165">
      <alignment horizontal="center" vertical="center"/>
    </xf>
    <xf numFmtId="0" fontId="283" fillId="104" borderId="171">
      <alignment horizontal="center" vertical="center"/>
    </xf>
    <xf numFmtId="0" fontId="283" fillId="104" borderId="171">
      <alignment horizontal="center" vertical="center"/>
    </xf>
    <xf numFmtId="0" fontId="283" fillId="104" borderId="170">
      <alignment horizontal="center" vertical="center"/>
    </xf>
    <xf numFmtId="0" fontId="283" fillId="104" borderId="170">
      <alignment horizontal="center" vertical="center"/>
    </xf>
    <xf numFmtId="0" fontId="283" fillId="104" borderId="170">
      <alignment horizontal="center" vertical="center"/>
    </xf>
    <xf numFmtId="0" fontId="283" fillId="104" borderId="170">
      <alignment horizontal="center" vertical="center"/>
    </xf>
    <xf numFmtId="0" fontId="2" fillId="0" borderId="167"/>
    <xf numFmtId="0" fontId="2" fillId="0" borderId="167"/>
    <xf numFmtId="0" fontId="2" fillId="0" borderId="167"/>
    <xf numFmtId="0" fontId="2" fillId="0" borderId="167"/>
    <xf numFmtId="0" fontId="2" fillId="0" borderId="172"/>
    <xf numFmtId="0" fontId="2" fillId="0" borderId="172"/>
    <xf numFmtId="0" fontId="2" fillId="0" borderId="0" applyNumberFormat="0" applyFont="0" applyFill="0" applyBorder="0" applyAlignment="0" applyProtection="0"/>
    <xf numFmtId="0" fontId="286" fillId="0" borderId="174"/>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173" fontId="233" fillId="134" borderId="174" applyNumberFormat="0" applyBorder="0" applyAlignment="0" applyProtection="0">
      <alignment horizontal="center"/>
      <protection hidden="1"/>
    </xf>
    <xf numFmtId="3" fontId="287" fillId="57" borderId="169" applyNumberFormat="0" applyBorder="0" applyAlignment="0" applyProtection="0">
      <protection hidden="1"/>
    </xf>
    <xf numFmtId="3" fontId="288" fillId="135" borderId="176" applyNumberFormat="0" applyBorder="0" applyAlignment="0" applyProtection="0">
      <protection hidden="1"/>
    </xf>
    <xf numFmtId="0" fontId="19" fillId="131" borderId="174" applyNumberFormat="0" applyFont="0" applyBorder="0" applyAlignment="0" applyProtection="0">
      <alignment horizontal="center"/>
    </xf>
    <xf numFmtId="0" fontId="19" fillId="131" borderId="174" applyNumberFormat="0" applyFont="0" applyBorder="0" applyAlignment="0" applyProtection="0">
      <alignment horizontal="center"/>
    </xf>
    <xf numFmtId="0" fontId="19" fillId="96" borderId="174" applyNumberFormat="0" applyFont="0" applyBorder="0" applyAlignment="0" applyProtection="0">
      <alignment horizontal="center"/>
    </xf>
    <xf numFmtId="0" fontId="19" fillId="96" borderId="174" applyNumberFormat="0" applyFont="0" applyBorder="0" applyAlignment="0" applyProtection="0">
      <alignment horizontal="center"/>
    </xf>
    <xf numFmtId="0" fontId="160" fillId="0" borderId="177" applyNumberFormat="0" applyAlignment="0" applyProtection="0"/>
    <xf numFmtId="0" fontId="10" fillId="0" borderId="0"/>
    <xf numFmtId="0" fontId="46" fillId="69" borderId="168">
      <alignment horizontal="center"/>
    </xf>
    <xf numFmtId="0" fontId="41" fillId="0" borderId="164">
      <alignment horizontal="center"/>
    </xf>
    <xf numFmtId="0" fontId="45" fillId="92" borderId="168" applyNumberFormat="0" applyBorder="0" applyAlignment="0"/>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0" fontId="297" fillId="45" borderId="169"/>
    <xf numFmtId="0" fontId="2" fillId="0" borderId="178">
      <alignment vertical="center"/>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 fontId="2" fillId="69" borderId="169" applyFont="0">
      <alignment horizontal="right"/>
    </xf>
    <xf numFmtId="3" fontId="2" fillId="69" borderId="169" applyFont="0">
      <alignment horizontal="right"/>
    </xf>
    <xf numFmtId="3" fontId="2" fillId="69" borderId="169" applyFont="0">
      <alignment horizontal="right" vertical="center"/>
    </xf>
    <xf numFmtId="3" fontId="2" fillId="69" borderId="169" applyFont="0">
      <alignment horizontal="right" vertical="center"/>
    </xf>
    <xf numFmtId="3" fontId="2" fillId="69" borderId="169" applyFont="0">
      <alignment horizontal="right" vertical="center"/>
    </xf>
    <xf numFmtId="3" fontId="2" fillId="69" borderId="169" applyFont="0">
      <alignment horizontal="right" vertical="center"/>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 fontId="2" fillId="68" borderId="171" applyBorder="0"/>
    <xf numFmtId="3" fontId="2" fillId="68" borderId="171" applyBorder="0"/>
    <xf numFmtId="3" fontId="2" fillId="68" borderId="171" applyBorder="0"/>
    <xf numFmtId="3" fontId="2" fillId="68" borderId="171" applyBorder="0"/>
    <xf numFmtId="3" fontId="2" fillId="68" borderId="171" applyBorder="0"/>
    <xf numFmtId="2" fontId="313" fillId="0" borderId="174" applyNumberFormat="0" applyFill="0" applyBorder="0" applyAlignment="0" applyProtection="0">
      <alignment horizontal="center"/>
      <protection locked="0"/>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49" fontId="2" fillId="144" borderId="169" applyFont="0"/>
    <xf numFmtId="49" fontId="2" fillId="144"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311" fontId="2" fillId="146" borderId="169">
      <alignment vertical="center"/>
    </xf>
    <xf numFmtId="311" fontId="2" fillId="146" borderId="169">
      <alignment vertical="center"/>
    </xf>
    <xf numFmtId="311" fontId="2" fillId="146" borderId="169">
      <alignment vertical="center"/>
    </xf>
    <xf numFmtId="311" fontId="2" fillId="146" borderId="169">
      <alignment vertical="center"/>
    </xf>
    <xf numFmtId="311" fontId="2" fillId="146" borderId="169">
      <alignment vertical="center"/>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49" fontId="2" fillId="93" borderId="169" applyFont="0"/>
    <xf numFmtId="49" fontId="2" fillId="93" borderId="169" applyFont="0"/>
    <xf numFmtId="0" fontId="320" fillId="0" borderId="171" applyNumberFormat="0" applyProtection="0">
      <alignment horizontal="left" vertical="top"/>
    </xf>
    <xf numFmtId="0" fontId="320" fillId="0" borderId="171" applyNumberFormat="0" applyProtection="0">
      <alignment horizontal="left" vertical="top"/>
    </xf>
    <xf numFmtId="0" fontId="320" fillId="0" borderId="171" applyNumberFormat="0" applyProtection="0">
      <alignment horizontal="lef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55" fillId="0" borderId="168" applyFill="0" applyBorder="0" applyProtection="0">
      <alignment horizontal="left" vertical="top"/>
    </xf>
    <xf numFmtId="0" fontId="185" fillId="131" borderId="180" applyNumberFormat="0" applyFont="0">
      <alignment horizontal="center" vertical="center"/>
    </xf>
    <xf numFmtId="350" fontId="45" fillId="68" borderId="176" applyNumberFormat="0" applyBorder="0" applyAlignment="0">
      <alignment horizontal="right"/>
    </xf>
    <xf numFmtId="0" fontId="331" fillId="0" borderId="166"/>
    <xf numFmtId="0" fontId="331" fillId="0" borderId="166"/>
    <xf numFmtId="0" fontId="331" fillId="0" borderId="166"/>
    <xf numFmtId="0" fontId="331" fillId="0" borderId="166"/>
    <xf numFmtId="0" fontId="331" fillId="0" borderId="166"/>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333" fillId="0" borderId="176" applyNumberFormat="0" applyFill="0" applyBorder="0" applyAlignment="0" applyProtection="0">
      <alignment horizontal="center"/>
      <protection locked="0"/>
    </xf>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2" fontId="233" fillId="69" borderId="169" applyBorder="0" applyAlignment="0"/>
    <xf numFmtId="165" fontId="339" fillId="69" borderId="168">
      <alignment horizontal="center"/>
    </xf>
    <xf numFmtId="0" fontId="346" fillId="0" borderId="0" applyNumberFormat="0" applyFill="0" applyBorder="0" applyAlignment="0" applyProtection="0"/>
    <xf numFmtId="0" fontId="1" fillId="0" borderId="0"/>
    <xf numFmtId="0" fontId="1" fillId="0" borderId="0"/>
  </cellStyleXfs>
  <cellXfs count="1025">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0" fontId="2" fillId="0" borderId="15"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9" fillId="0" borderId="0" xfId="0" applyFont="1"/>
    <xf numFmtId="0" fontId="46" fillId="0" borderId="0" xfId="0" applyFont="1" applyFill="1" applyBorder="1" applyAlignment="1" applyProtection="1">
      <alignment horizontal="right"/>
      <protection locked="0"/>
    </xf>
    <xf numFmtId="0" fontId="89" fillId="0" borderId="0" xfId="0" applyFont="1" applyBorder="1"/>
    <xf numFmtId="0" fontId="46" fillId="0" borderId="0" xfId="0" applyFont="1" applyFill="1" applyAlignment="1">
      <alignment horizontal="center"/>
    </xf>
    <xf numFmtId="0" fontId="84" fillId="0" borderId="15" xfId="0" applyFont="1" applyBorder="1" applyAlignment="1">
      <alignment horizontal="center" vertical="center" wrapText="1"/>
    </xf>
    <xf numFmtId="0" fontId="84" fillId="0" borderId="3" xfId="0" applyFont="1" applyFill="1" applyBorder="1" applyAlignment="1">
      <alignment vertical="center" wrapText="1"/>
    </xf>
    <xf numFmtId="0" fontId="84" fillId="0" borderId="18" xfId="0" applyFont="1" applyBorder="1" applyAlignment="1">
      <alignment horizontal="center" vertical="center" wrapText="1"/>
    </xf>
    <xf numFmtId="0" fontId="86" fillId="0" borderId="19"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2" xfId="0" applyFont="1" applyBorder="1"/>
    <xf numFmtId="0" fontId="2" fillId="0" borderId="15" xfId="0" applyFont="1" applyBorder="1" applyAlignment="1">
      <alignment vertical="center"/>
    </xf>
    <xf numFmtId="0" fontId="2" fillId="0" borderId="6" xfId="0" applyFont="1" applyBorder="1" applyAlignment="1">
      <alignment wrapText="1"/>
    </xf>
    <xf numFmtId="0" fontId="84" fillId="0" borderId="17" xfId="0" applyFont="1" applyBorder="1" applyAlignment="1"/>
    <xf numFmtId="0" fontId="85" fillId="0" borderId="0" xfId="0" applyFont="1" applyAlignment="1">
      <alignment wrapText="1"/>
    </xf>
    <xf numFmtId="0" fontId="2" fillId="0" borderId="17" xfId="0" applyFont="1" applyBorder="1" applyAlignment="1"/>
    <xf numFmtId="0" fontId="2" fillId="0" borderId="17" xfId="0" applyFont="1" applyBorder="1" applyAlignment="1">
      <alignment wrapText="1"/>
    </xf>
    <xf numFmtId="0" fontId="2" fillId="0" borderId="18" xfId="0" applyFont="1" applyBorder="1"/>
    <xf numFmtId="0" fontId="2" fillId="0" borderId="21" xfId="0" applyFont="1" applyBorder="1" applyAlignment="1">
      <alignment wrapText="1"/>
    </xf>
    <xf numFmtId="0" fontId="2" fillId="0" borderId="0" xfId="11" applyFont="1" applyFill="1" applyBorder="1" applyAlignment="1" applyProtection="1"/>
    <xf numFmtId="0" fontId="46" fillId="0" borderId="0" xfId="11" applyFont="1" applyFill="1" applyBorder="1" applyAlignment="1" applyProtection="1">
      <alignment horizontal="right"/>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5" xfId="0" applyFont="1" applyBorder="1" applyAlignment="1">
      <alignment horizontal="center" vertical="center"/>
    </xf>
    <xf numFmtId="0" fontId="85" fillId="0" borderId="0" xfId="0" applyFont="1" applyAlignment="1"/>
    <xf numFmtId="0" fontId="84" fillId="0" borderId="9"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2" xfId="9" applyFont="1" applyFill="1" applyBorder="1" applyAlignment="1" applyProtection="1">
      <alignment horizontal="center" vertical="center"/>
      <protection locked="0"/>
    </xf>
    <xf numFmtId="0" fontId="45" fillId="3" borderId="4" xfId="9" applyFont="1" applyFill="1" applyBorder="1" applyAlignment="1" applyProtection="1">
      <alignment horizontal="center" vertical="center" wrapText="1"/>
      <protection locked="0"/>
    </xf>
    <xf numFmtId="164" fontId="2" fillId="3" borderId="14" xfId="2" applyNumberFormat="1" applyFont="1" applyFill="1" applyBorder="1" applyAlignment="1" applyProtection="1">
      <alignment horizontal="center" vertical="center"/>
      <protection locked="0"/>
    </xf>
    <xf numFmtId="0" fontId="2" fillId="0" borderId="15"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5"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5"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5"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19" xfId="13" applyFont="1" applyFill="1" applyBorder="1" applyAlignment="1" applyProtection="1">
      <alignment vertical="center" wrapText="1"/>
      <protection locked="0"/>
    </xf>
    <xf numFmtId="0" fontId="45" fillId="0" borderId="0" xfId="11" applyFont="1" applyFill="1" applyBorder="1" applyAlignment="1" applyProtection="1"/>
    <xf numFmtId="167" fontId="85" fillId="0" borderId="0" xfId="0" applyNumberFormat="1" applyFont="1" applyBorder="1" applyAlignment="1">
      <alignment horizontal="center"/>
    </xf>
    <xf numFmtId="167" fontId="84" fillId="0" borderId="53" xfId="0" applyNumberFormat="1" applyFont="1" applyBorder="1" applyAlignment="1">
      <alignment horizontal="center"/>
    </xf>
    <xf numFmtId="167" fontId="92" fillId="0" borderId="0" xfId="0" applyNumberFormat="1" applyFont="1" applyBorder="1" applyAlignment="1">
      <alignment horizontal="center"/>
    </xf>
    <xf numFmtId="167" fontId="84" fillId="0" borderId="55" xfId="0" applyNumberFormat="1" applyFont="1" applyBorder="1" applyAlignment="1">
      <alignment horizontal="center"/>
    </xf>
    <xf numFmtId="167" fontId="90" fillId="0" borderId="0" xfId="0" applyNumberFormat="1" applyFont="1" applyFill="1" applyBorder="1" applyAlignment="1">
      <alignment horizontal="center"/>
    </xf>
    <xf numFmtId="191" fontId="88" fillId="0" borderId="10" xfId="0" applyNumberFormat="1" applyFont="1" applyBorder="1" applyAlignment="1">
      <alignment vertical="center"/>
    </xf>
    <xf numFmtId="167" fontId="84" fillId="0" borderId="56" xfId="0" applyNumberFormat="1" applyFont="1" applyBorder="1" applyAlignment="1">
      <alignment horizontal="center"/>
    </xf>
    <xf numFmtId="0" fontId="84" fillId="0" borderId="15" xfId="0" applyFont="1" applyBorder="1" applyAlignment="1">
      <alignment vertical="center"/>
    </xf>
    <xf numFmtId="191" fontId="84" fillId="0" borderId="3" xfId="0" applyNumberFormat="1" applyFont="1" applyBorder="1" applyAlignment="1"/>
    <xf numFmtId="0" fontId="89" fillId="0" borderId="0" xfId="0" applyFont="1" applyAlignment="1"/>
    <xf numFmtId="0" fontId="2" fillId="3" borderId="18" xfId="9" applyFont="1" applyFill="1" applyBorder="1" applyAlignment="1" applyProtection="1">
      <alignment horizontal="left" vertical="center"/>
      <protection locked="0"/>
    </xf>
    <xf numFmtId="191" fontId="84" fillId="35" borderId="19" xfId="0" applyNumberFormat="1" applyFont="1" applyFill="1" applyBorder="1"/>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5" applyFont="1" applyFill="1" applyBorder="1" applyAlignment="1" applyProtection="1">
      <alignment horizontal="right" vertical="center"/>
      <protection locked="0"/>
    </xf>
    <xf numFmtId="191" fontId="84" fillId="0" borderId="15" xfId="0" applyNumberFormat="1" applyFont="1" applyBorder="1" applyAlignment="1"/>
    <xf numFmtId="191" fontId="84" fillId="0" borderId="16" xfId="0" applyNumberFormat="1" applyFont="1" applyBorder="1" applyAlignment="1"/>
    <xf numFmtId="191" fontId="84" fillId="35" borderId="48" xfId="0" applyNumberFormat="1" applyFont="1" applyFill="1" applyBorder="1" applyAlignment="1"/>
    <xf numFmtId="0" fontId="45" fillId="3" borderId="20" xfId="16" applyFont="1" applyFill="1" applyBorder="1" applyAlignment="1" applyProtection="1">
      <protection locked="0"/>
    </xf>
    <xf numFmtId="191" fontId="84" fillId="35" borderId="18" xfId="0" applyNumberFormat="1" applyFont="1" applyFill="1" applyBorder="1"/>
    <xf numFmtId="191" fontId="84" fillId="35" borderId="20" xfId="0" applyNumberFormat="1" applyFont="1" applyFill="1" applyBorder="1"/>
    <xf numFmtId="191" fontId="84" fillId="35" borderId="49" xfId="0" applyNumberFormat="1" applyFont="1" applyFill="1" applyBorder="1"/>
    <xf numFmtId="0" fontId="84" fillId="0" borderId="0" xfId="0" applyFont="1" applyBorder="1" applyAlignment="1">
      <alignment vertical="center"/>
    </xf>
    <xf numFmtId="0" fontId="84" fillId="0" borderId="13" xfId="0" applyFont="1" applyBorder="1"/>
    <xf numFmtId="0" fontId="89" fillId="0" borderId="0" xfId="0" applyFont="1" applyAlignment="1">
      <alignment wrapText="1"/>
    </xf>
    <xf numFmtId="0" fontId="84" fillId="0" borderId="15" xfId="0" applyFont="1" applyBorder="1"/>
    <xf numFmtId="0" fontId="84" fillId="0" borderId="3" xfId="0" applyFont="1" applyBorder="1"/>
    <xf numFmtId="0" fontId="84" fillId="0" borderId="57" xfId="0" applyFont="1" applyBorder="1" applyAlignment="1">
      <alignment wrapText="1"/>
    </xf>
    <xf numFmtId="0" fontId="84" fillId="0" borderId="18" xfId="0" applyFont="1" applyBorder="1"/>
    <xf numFmtId="0" fontId="86" fillId="0" borderId="19" xfId="0" applyFont="1" applyBorder="1"/>
    <xf numFmtId="0" fontId="2" fillId="0" borderId="3" xfId="13" applyFont="1" applyFill="1" applyBorder="1" applyAlignment="1" applyProtection="1">
      <alignment horizontal="center" vertical="center" wrapText="1"/>
      <protection locked="0"/>
    </xf>
    <xf numFmtId="0" fontId="91"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3"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19" xfId="0" applyFont="1" applyBorder="1" applyAlignment="1">
      <alignment vertical="center" wrapText="1"/>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19" xfId="0" applyFont="1" applyFill="1" applyBorder="1" applyAlignment="1">
      <alignment wrapText="1"/>
    </xf>
    <xf numFmtId="0" fontId="84" fillId="0" borderId="12" xfId="0" applyFont="1" applyBorder="1" applyAlignment="1">
      <alignment horizontal="center" vertical="center"/>
    </xf>
    <xf numFmtId="0" fontId="84" fillId="0" borderId="0" xfId="0" applyFont="1" applyAlignment="1"/>
    <xf numFmtId="191" fontId="84" fillId="0" borderId="16" xfId="0" applyNumberFormat="1" applyFont="1" applyBorder="1" applyAlignment="1">
      <alignment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2" xfId="0" applyFont="1" applyBorder="1" applyAlignment="1">
      <alignment horizontal="center" vertical="center" wrapText="1"/>
    </xf>
    <xf numFmtId="0" fontId="84" fillId="0" borderId="13" xfId="0" applyFont="1" applyFill="1" applyBorder="1" applyAlignment="1">
      <alignment horizontal="left" vertical="center" wrapText="1" indent="2"/>
    </xf>
    <xf numFmtId="0" fontId="94" fillId="0" borderId="0" xfId="11" applyFont="1" applyFill="1" applyBorder="1" applyAlignment="1" applyProtection="1"/>
    <xf numFmtId="0" fontId="95"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2" fillId="0" borderId="16" xfId="1" applyNumberFormat="1" applyFont="1" applyFill="1" applyBorder="1" applyAlignment="1" applyProtection="1">
      <alignment horizontal="center" vertical="center" wrapText="1"/>
      <protection locked="0"/>
    </xf>
    <xf numFmtId="0" fontId="3" fillId="0" borderId="51" xfId="0" applyFont="1" applyBorder="1"/>
    <xf numFmtId="0" fontId="97" fillId="0" borderId="0" xfId="0" applyFont="1"/>
    <xf numFmtId="0" fontId="3" fillId="0" borderId="57" xfId="0" applyFont="1" applyBorder="1"/>
    <xf numFmtId="191" fontId="84" fillId="0" borderId="17" xfId="0" applyNumberFormat="1" applyFont="1" applyBorder="1" applyAlignment="1"/>
    <xf numFmtId="0" fontId="3" fillId="0" borderId="0" xfId="0" applyFont="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0" borderId="3" xfId="0" applyNumberFormat="1" applyFont="1" applyFill="1" applyBorder="1"/>
    <xf numFmtId="191" fontId="3" fillId="0" borderId="6" xfId="0" applyNumberFormat="1" applyFont="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2" xfId="0" applyFont="1" applyFill="1" applyBorder="1" applyAlignment="1">
      <alignment vertical="center" wrapText="1"/>
    </xf>
    <xf numFmtId="0" fontId="86" fillId="0" borderId="1" xfId="0" applyFont="1" applyBorder="1" applyAlignment="1">
      <alignment horizontal="left"/>
    </xf>
    <xf numFmtId="0" fontId="86" fillId="35" borderId="70" xfId="0" applyFont="1" applyFill="1" applyBorder="1" applyAlignment="1">
      <alignment wrapText="1"/>
    </xf>
    <xf numFmtId="0" fontId="96" fillId="0" borderId="0" xfId="0" applyFont="1" applyAlignment="1">
      <alignment wrapText="1"/>
    </xf>
    <xf numFmtId="0" fontId="2" fillId="0" borderId="0" xfId="0" applyFont="1" applyAlignment="1">
      <alignment wrapText="1"/>
    </xf>
    <xf numFmtId="0" fontId="3" fillId="0" borderId="0" xfId="0" applyFont="1" applyFill="1"/>
    <xf numFmtId="0" fontId="4" fillId="3" borderId="75" xfId="0" applyFont="1" applyFill="1" applyBorder="1" applyAlignment="1">
      <alignment vertical="center"/>
    </xf>
    <xf numFmtId="0" fontId="3" fillId="3" borderId="76" xfId="0" applyFont="1" applyFill="1" applyBorder="1" applyAlignment="1">
      <alignment vertical="center"/>
    </xf>
    <xf numFmtId="0" fontId="3" fillId="3" borderId="77" xfId="0" applyFont="1" applyFill="1" applyBorder="1" applyAlignment="1">
      <alignment vertical="center"/>
    </xf>
    <xf numFmtId="0" fontId="3" fillId="0" borderId="61" xfId="0" applyFont="1" applyFill="1" applyBorder="1" applyAlignment="1">
      <alignment horizontal="center" vertical="center"/>
    </xf>
    <xf numFmtId="0" fontId="3" fillId="0" borderId="5" xfId="0" applyFont="1" applyFill="1" applyBorder="1" applyAlignment="1">
      <alignment vertical="center"/>
    </xf>
    <xf numFmtId="169" fontId="9" fillId="36" borderId="0" xfId="20" applyBorder="1"/>
    <xf numFmtId="0" fontId="3" fillId="0" borderId="15" xfId="0" applyFont="1" applyFill="1" applyBorder="1" applyAlignment="1">
      <alignment horizontal="center" vertical="center"/>
    </xf>
    <xf numFmtId="0" fontId="3" fillId="0" borderId="73" xfId="0" applyFont="1" applyFill="1" applyBorder="1" applyAlignment="1">
      <alignment vertical="center"/>
    </xf>
    <xf numFmtId="0" fontId="4" fillId="0" borderId="73" xfId="0" applyFont="1" applyFill="1" applyBorder="1" applyAlignment="1">
      <alignment vertical="center"/>
    </xf>
    <xf numFmtId="0" fontId="3" fillId="0" borderId="18" xfId="0" applyFont="1" applyFill="1" applyBorder="1" applyAlignment="1">
      <alignment horizontal="center" vertical="center"/>
    </xf>
    <xf numFmtId="0" fontId="4" fillId="0" borderId="19" xfId="0" applyFont="1" applyFill="1" applyBorder="1" applyAlignment="1">
      <alignment vertical="center"/>
    </xf>
    <xf numFmtId="0" fontId="3" fillId="3" borderId="57" xfId="0" applyFont="1" applyFill="1" applyBorder="1" applyAlignment="1">
      <alignment horizontal="center" vertical="center"/>
    </xf>
    <xf numFmtId="0" fontId="3" fillId="3" borderId="0" xfId="0" applyFont="1" applyFill="1" applyBorder="1" applyAlignment="1">
      <alignment vertical="center"/>
    </xf>
    <xf numFmtId="0" fontId="3" fillId="0" borderId="12" xfId="0" applyFont="1" applyFill="1" applyBorder="1" applyAlignment="1">
      <alignment horizontal="center" vertical="center"/>
    </xf>
    <xf numFmtId="0" fontId="3" fillId="0" borderId="13" xfId="0" applyFont="1" applyFill="1" applyBorder="1" applyAlignment="1">
      <alignment vertical="center"/>
    </xf>
    <xf numFmtId="0" fontId="3" fillId="0" borderId="79" xfId="0" applyFont="1" applyFill="1" applyBorder="1" applyAlignment="1">
      <alignment horizontal="center" vertical="center"/>
    </xf>
    <xf numFmtId="0" fontId="3" fillId="0" borderId="80" xfId="0" applyFont="1" applyFill="1" applyBorder="1" applyAlignment="1">
      <alignment vertical="center"/>
    </xf>
    <xf numFmtId="0" fontId="3" fillId="0" borderId="82" xfId="0" applyFont="1" applyFill="1" applyBorder="1" applyAlignment="1">
      <alignment horizontal="center" vertical="center"/>
    </xf>
    <xf numFmtId="0" fontId="3" fillId="0" borderId="83" xfId="0" applyFont="1" applyFill="1" applyBorder="1" applyAlignment="1">
      <alignment vertical="center"/>
    </xf>
    <xf numFmtId="0" fontId="4" fillId="0" borderId="0" xfId="0" applyFont="1" applyFill="1" applyAlignment="1">
      <alignment horizontal="center"/>
    </xf>
    <xf numFmtId="0" fontId="94" fillId="0" borderId="0" xfId="11" applyFont="1" applyFill="1" applyBorder="1" applyProtection="1"/>
    <xf numFmtId="0" fontId="4" fillId="35" borderId="13" xfId="0" applyFont="1" applyFill="1" applyBorder="1" applyAlignment="1">
      <alignment horizontal="center" vertical="center" wrapText="1"/>
    </xf>
    <xf numFmtId="0" fontId="4" fillId="35" borderId="14" xfId="0" applyFont="1" applyFill="1" applyBorder="1" applyAlignment="1">
      <alignment horizontal="center" vertical="center" wrapText="1"/>
    </xf>
    <xf numFmtId="0" fontId="4" fillId="35" borderId="15" xfId="0" applyFont="1" applyFill="1" applyBorder="1" applyAlignment="1">
      <alignment horizontal="left" vertical="center" wrapText="1"/>
    </xf>
    <xf numFmtId="0" fontId="4" fillId="35" borderId="74" xfId="0" applyFont="1" applyFill="1" applyBorder="1" applyAlignment="1">
      <alignment horizontal="left" vertical="center" wrapText="1"/>
    </xf>
    <xf numFmtId="0" fontId="3" fillId="0" borderId="15" xfId="0" applyFont="1" applyFill="1" applyBorder="1" applyAlignment="1">
      <alignment horizontal="right" vertical="center" wrapText="1"/>
    </xf>
    <xf numFmtId="0" fontId="100" fillId="0" borderId="15" xfId="0" applyFont="1" applyFill="1" applyBorder="1" applyAlignment="1">
      <alignment horizontal="right" vertical="center" wrapText="1"/>
    </xf>
    <xf numFmtId="0" fontId="4" fillId="0" borderId="15"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100" fillId="0" borderId="0" xfId="0" applyFont="1" applyFill="1" applyAlignment="1">
      <alignment horizontal="left" vertical="center"/>
    </xf>
    <xf numFmtId="49" fontId="101" fillId="0" borderId="18" xfId="5" applyNumberFormat="1" applyFont="1" applyFill="1" applyBorder="1" applyAlignment="1" applyProtection="1">
      <alignment horizontal="left" vertical="center"/>
      <protection locked="0"/>
    </xf>
    <xf numFmtId="0" fontId="102" fillId="0" borderId="19" xfId="9" applyFont="1" applyFill="1" applyBorder="1" applyAlignment="1" applyProtection="1">
      <alignment horizontal="left" vertical="center" wrapText="1"/>
      <protection locked="0"/>
    </xf>
    <xf numFmtId="0" fontId="84" fillId="0" borderId="73" xfId="0" applyFont="1" applyBorder="1" applyAlignment="1">
      <alignment vertical="center" wrapText="1"/>
    </xf>
    <xf numFmtId="14" fontId="2" fillId="3" borderId="73" xfId="8" quotePrefix="1" applyNumberFormat="1" applyFont="1" applyFill="1" applyBorder="1" applyAlignment="1" applyProtection="1">
      <alignment horizontal="left"/>
      <protection locked="0"/>
    </xf>
    <xf numFmtId="0" fontId="6" fillId="0" borderId="73" xfId="17" applyFill="1" applyBorder="1" applyAlignment="1" applyProtection="1"/>
    <xf numFmtId="49" fontId="84" fillId="0" borderId="73"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100" fillId="0" borderId="87" xfId="0" applyFont="1" applyFill="1" applyBorder="1" applyAlignment="1">
      <alignment horizontal="left" vertical="center" wrapText="1"/>
    </xf>
    <xf numFmtId="10" fontId="96" fillId="0" borderId="87" xfId="20950" applyNumberFormat="1" applyFont="1" applyFill="1" applyBorder="1" applyAlignment="1">
      <alignment horizontal="left" vertical="center" wrapText="1"/>
    </xf>
    <xf numFmtId="10" fontId="3" fillId="0"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left" vertical="center" wrapText="1"/>
    </xf>
    <xf numFmtId="10" fontId="100" fillId="0" borderId="87" xfId="20950" applyNumberFormat="1" applyFont="1" applyFill="1" applyBorder="1" applyAlignment="1">
      <alignment horizontal="left" vertical="center" wrapText="1"/>
    </xf>
    <xf numFmtId="10" fontId="4" fillId="35"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center" vertical="center" wrapText="1"/>
    </xf>
    <xf numFmtId="10" fontId="102" fillId="0" borderId="19" xfId="20950" applyNumberFormat="1" applyFont="1" applyFill="1" applyBorder="1" applyAlignment="1" applyProtection="1">
      <alignment horizontal="left" vertical="center"/>
    </xf>
    <xf numFmtId="0" fontId="4" fillId="35" borderId="87" xfId="0" applyFont="1" applyFill="1" applyBorder="1" applyAlignment="1">
      <alignment horizontal="left" vertical="center" wrapText="1"/>
    </xf>
    <xf numFmtId="0" fontId="3" fillId="0" borderId="87" xfId="0" applyFont="1" applyFill="1" applyBorder="1" applyAlignment="1">
      <alignment horizontal="left" vertical="center" wrapText="1"/>
    </xf>
    <xf numFmtId="0" fontId="4" fillId="35" borderId="75" xfId="0" applyFont="1" applyFill="1" applyBorder="1" applyAlignment="1">
      <alignment vertical="center" wrapText="1"/>
    </xf>
    <xf numFmtId="0" fontId="4" fillId="35" borderId="86" xfId="0" applyFont="1" applyFill="1" applyBorder="1" applyAlignment="1">
      <alignment vertical="center" wrapText="1"/>
    </xf>
    <xf numFmtId="0" fontId="4" fillId="35" borderId="63" xfId="0" applyFont="1" applyFill="1" applyBorder="1" applyAlignment="1">
      <alignment vertical="center" wrapText="1"/>
    </xf>
    <xf numFmtId="0" fontId="4" fillId="35" borderId="26" xfId="0" applyFont="1" applyFill="1" applyBorder="1" applyAlignment="1">
      <alignment vertical="center" wrapText="1"/>
    </xf>
    <xf numFmtId="0" fontId="84" fillId="0" borderId="87" xfId="0" applyFont="1" applyBorder="1"/>
    <xf numFmtId="0" fontId="6" fillId="0" borderId="87" xfId="17" applyFill="1" applyBorder="1" applyAlignment="1" applyProtection="1">
      <alignment horizontal="left" vertical="center"/>
    </xf>
    <xf numFmtId="0" fontId="6" fillId="0" borderId="87" xfId="17" applyBorder="1" applyAlignment="1" applyProtection="1"/>
    <xf numFmtId="0" fontId="84" fillId="0" borderId="87" xfId="0" applyFont="1" applyFill="1" applyBorder="1"/>
    <xf numFmtId="0" fontId="6" fillId="0" borderId="87" xfId="17" applyFill="1" applyBorder="1" applyAlignment="1" applyProtection="1">
      <alignment horizontal="left" vertical="center" wrapText="1"/>
    </xf>
    <xf numFmtId="0" fontId="6" fillId="0" borderId="87" xfId="17" applyFill="1" applyBorder="1" applyAlignment="1" applyProtection="1"/>
    <xf numFmtId="0" fontId="45" fillId="0" borderId="13" xfId="0" applyFont="1" applyBorder="1" applyAlignment="1">
      <alignment horizontal="center" vertical="center" wrapText="1"/>
    </xf>
    <xf numFmtId="0" fontId="45" fillId="0" borderId="14" xfId="0" applyFont="1" applyBorder="1" applyAlignment="1">
      <alignment horizontal="center" vertical="center" wrapText="1"/>
    </xf>
    <xf numFmtId="0" fontId="2" fillId="0" borderId="3" xfId="0" applyFont="1" applyBorder="1" applyAlignment="1">
      <alignment wrapText="1"/>
    </xf>
    <xf numFmtId="0" fontId="84" fillId="0" borderId="16" xfId="0" applyFont="1" applyBorder="1" applyAlignment="1"/>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14" fontId="2" fillId="0" borderId="0" xfId="0" applyNumberFormat="1" applyFont="1"/>
    <xf numFmtId="169" fontId="2" fillId="36" borderId="0" xfId="20" applyFont="1" applyBorder="1"/>
    <xf numFmtId="169" fontId="2" fillId="36" borderId="84" xfId="20" applyFont="1" applyBorder="1"/>
    <xf numFmtId="0" fontId="2" fillId="0" borderId="15" xfId="0" applyFont="1" applyFill="1" applyBorder="1" applyAlignment="1">
      <alignment horizontal="right" vertical="center" wrapText="1"/>
    </xf>
    <xf numFmtId="0" fontId="2" fillId="2" borderId="15" xfId="0" applyFont="1" applyFill="1" applyBorder="1" applyAlignment="1">
      <alignment horizontal="right" vertical="center"/>
    </xf>
    <xf numFmtId="0" fontId="45" fillId="0" borderId="15" xfId="0" applyFont="1" applyFill="1" applyBorder="1" applyAlignment="1">
      <alignment horizontal="center" vertical="center" wrapText="1"/>
    </xf>
    <xf numFmtId="0" fontId="2" fillId="2" borderId="18"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0" xfId="0" applyFont="1" applyFill="1" applyBorder="1"/>
    <xf numFmtId="0" fontId="3" fillId="3" borderId="88" xfId="0" applyFont="1" applyFill="1" applyBorder="1" applyAlignment="1">
      <alignment wrapText="1"/>
    </xf>
    <xf numFmtId="0" fontId="3" fillId="3" borderId="89" xfId="0" applyFont="1" applyFill="1" applyBorder="1"/>
    <xf numFmtId="0" fontId="4" fillId="3" borderId="69" xfId="0" applyFont="1" applyFill="1" applyBorder="1" applyAlignment="1">
      <alignment horizontal="center" wrapText="1"/>
    </xf>
    <xf numFmtId="0" fontId="3" fillId="0" borderId="87" xfId="0" applyFont="1" applyFill="1" applyBorder="1" applyAlignment="1">
      <alignment horizontal="center"/>
    </xf>
    <xf numFmtId="0" fontId="3" fillId="0" borderId="87" xfId="0" applyFont="1" applyBorder="1" applyAlignment="1">
      <alignment horizontal="center"/>
    </xf>
    <xf numFmtId="0" fontId="3" fillId="3" borderId="57"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4" xfId="0" applyFont="1" applyFill="1" applyBorder="1" applyAlignment="1">
      <alignment horizontal="center" vertical="center" wrapText="1"/>
    </xf>
    <xf numFmtId="0" fontId="3" fillId="0" borderId="15" xfId="0" applyFont="1" applyBorder="1"/>
    <xf numFmtId="0" fontId="3" fillId="0" borderId="87" xfId="0" applyFont="1" applyBorder="1" applyAlignment="1">
      <alignment wrapText="1"/>
    </xf>
    <xf numFmtId="0" fontId="99" fillId="0" borderId="87" xfId="0" applyFont="1" applyBorder="1" applyAlignment="1">
      <alignment horizontal="left" wrapText="1" indent="2"/>
    </xf>
    <xf numFmtId="0" fontId="4" fillId="0" borderId="15" xfId="0" applyFont="1" applyBorder="1"/>
    <xf numFmtId="0" fontId="4" fillId="0" borderId="87" xfId="0" applyFont="1" applyBorder="1" applyAlignment="1">
      <alignment wrapText="1"/>
    </xf>
    <xf numFmtId="0" fontId="109" fillId="3" borderId="57" xfId="0" applyFont="1" applyFill="1" applyBorder="1" applyAlignment="1">
      <alignment horizontal="left"/>
    </xf>
    <xf numFmtId="0" fontId="109"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4" xfId="7" applyNumberFormat="1" applyFont="1" applyFill="1" applyBorder="1"/>
    <xf numFmtId="0" fontId="99" fillId="0" borderId="87"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4" xfId="0" applyFont="1" applyFill="1" applyBorder="1"/>
    <xf numFmtId="0" fontId="4" fillId="0" borderId="18" xfId="0" applyFont="1" applyBorder="1"/>
    <xf numFmtId="0" fontId="4" fillId="0" borderId="19" xfId="0" applyFont="1" applyBorder="1" applyAlignment="1">
      <alignment wrapText="1"/>
    </xf>
    <xf numFmtId="0" fontId="2" fillId="2" borderId="79" xfId="0" applyFont="1" applyFill="1" applyBorder="1" applyAlignment="1">
      <alignment horizontal="right" vertical="center"/>
    </xf>
    <xf numFmtId="0" fontId="2" fillId="0" borderId="85" xfId="0" applyFont="1" applyBorder="1" applyAlignment="1">
      <alignment vertical="center" wrapText="1"/>
    </xf>
    <xf numFmtId="191" fontId="87" fillId="2" borderId="81" xfId="0" applyNumberFormat="1" applyFont="1" applyFill="1" applyBorder="1" applyAlignment="1" applyProtection="1">
      <alignment vertical="center"/>
      <protection locked="0"/>
    </xf>
    <xf numFmtId="0" fontId="110" fillId="0" borderId="0" xfId="11" applyFont="1" applyFill="1" applyBorder="1" applyProtection="1"/>
    <xf numFmtId="0" fontId="110" fillId="0" borderId="0" xfId="11" applyFont="1" applyFill="1" applyBorder="1" applyAlignment="1" applyProtection="1"/>
    <xf numFmtId="0" fontId="112" fillId="0" borderId="0" xfId="11" applyFont="1" applyFill="1" applyBorder="1" applyAlignment="1" applyProtection="1"/>
    <xf numFmtId="0" fontId="111" fillId="0" borderId="0" xfId="0" applyFont="1" applyFill="1"/>
    <xf numFmtId="0" fontId="113" fillId="0" borderId="62" xfId="0" applyNumberFormat="1" applyFont="1" applyFill="1" applyBorder="1" applyAlignment="1">
      <alignment horizontal="left" vertical="center" wrapText="1"/>
    </xf>
    <xf numFmtId="0" fontId="6" fillId="0" borderId="99" xfId="17" applyBorder="1" applyAlignment="1" applyProtection="1"/>
    <xf numFmtId="0" fontId="111" fillId="0" borderId="0" xfId="0" applyFont="1" applyFill="1" applyAlignment="1">
      <alignment horizontal="left" vertical="top" wrapText="1"/>
    </xf>
    <xf numFmtId="191" fontId="94" fillId="0" borderId="0" xfId="0" applyNumberFormat="1" applyFont="1" applyFill="1" applyBorder="1" applyAlignment="1" applyProtection="1">
      <alignment horizontal="right"/>
    </xf>
    <xf numFmtId="167" fontId="84" fillId="0" borderId="53" xfId="0" applyNumberFormat="1" applyFont="1" applyFill="1" applyBorder="1" applyAlignment="1">
      <alignment horizontal="center"/>
    </xf>
    <xf numFmtId="167" fontId="88" fillId="0" borderId="53" xfId="0" applyNumberFormat="1" applyFont="1" applyFill="1" applyBorder="1" applyAlignment="1">
      <alignment horizontal="center"/>
    </xf>
    <xf numFmtId="167" fontId="46" fillId="0" borderId="53" xfId="0" applyNumberFormat="1" applyFont="1" applyFill="1" applyBorder="1" applyAlignment="1">
      <alignment horizontal="center"/>
    </xf>
    <xf numFmtId="167" fontId="84" fillId="0" borderId="55" xfId="0" applyNumberFormat="1" applyFont="1" applyFill="1" applyBorder="1" applyAlignment="1">
      <alignment horizontal="center"/>
    </xf>
    <xf numFmtId="191" fontId="84" fillId="0" borderId="9" xfId="0" applyNumberFormat="1" applyFont="1" applyBorder="1" applyAlignment="1">
      <alignment horizontal="center" vertical="center"/>
    </xf>
    <xf numFmtId="191" fontId="84" fillId="0" borderId="9" xfId="0" applyNumberFormat="1" applyFont="1" applyFill="1" applyBorder="1" applyAlignment="1">
      <alignment horizontal="center" vertical="center"/>
    </xf>
    <xf numFmtId="191" fontId="88" fillId="0" borderId="9" xfId="0" applyNumberFormat="1" applyFont="1" applyFill="1" applyBorder="1" applyAlignment="1">
      <alignment horizontal="center" vertical="center"/>
    </xf>
    <xf numFmtId="191" fontId="84" fillId="0" borderId="10" xfId="0" applyNumberFormat="1" applyFont="1" applyFill="1" applyBorder="1" applyAlignment="1">
      <alignment horizontal="center" vertical="center"/>
    </xf>
    <xf numFmtId="191" fontId="84" fillId="0" borderId="10" xfId="0" applyNumberFormat="1" applyFont="1" applyBorder="1" applyAlignment="1">
      <alignment horizontal="center" vertical="center"/>
    </xf>
    <xf numFmtId="0" fontId="111" fillId="0" borderId="0" xfId="0" applyFont="1"/>
    <xf numFmtId="0" fontId="114" fillId="0" borderId="105" xfId="0" applyFont="1" applyBorder="1"/>
    <xf numFmtId="0" fontId="114" fillId="0" borderId="105" xfId="0" applyFont="1" applyFill="1" applyBorder="1" applyAlignment="1">
      <alignment horizontal="center" vertical="center" wrapText="1"/>
    </xf>
    <xf numFmtId="0" fontId="111" fillId="0" borderId="0" xfId="0" applyFont="1" applyAlignment="1">
      <alignment wrapText="1"/>
    </xf>
    <xf numFmtId="0" fontId="110" fillId="0" borderId="105" xfId="0" applyFont="1" applyBorder="1"/>
    <xf numFmtId="0" fontId="110" fillId="0" borderId="105" xfId="0" applyFont="1" applyFill="1" applyBorder="1"/>
    <xf numFmtId="0" fontId="114" fillId="0" borderId="0" xfId="0" applyFont="1"/>
    <xf numFmtId="0" fontId="113" fillId="0" borderId="105" xfId="0" applyFont="1" applyBorder="1"/>
    <xf numFmtId="0" fontId="110" fillId="0" borderId="105" xfId="0" applyFont="1" applyBorder="1" applyAlignment="1">
      <alignment horizontal="center" vertical="center" wrapText="1"/>
    </xf>
    <xf numFmtId="0" fontId="110" fillId="0" borderId="109" xfId="0" applyFont="1" applyFill="1" applyBorder="1" applyAlignment="1">
      <alignment horizontal="center" vertical="center" wrapText="1"/>
    </xf>
    <xf numFmtId="0" fontId="110" fillId="0" borderId="105"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Border="1"/>
    <xf numFmtId="0" fontId="111" fillId="0" borderId="0" xfId="0" applyFont="1" applyBorder="1" applyAlignment="1">
      <alignment horizontal="left"/>
    </xf>
    <xf numFmtId="0" fontId="113" fillId="0" borderId="105" xfId="0" applyFont="1" applyFill="1" applyBorder="1"/>
    <xf numFmtId="0" fontId="110" fillId="0" borderId="105" xfId="0" applyNumberFormat="1" applyFont="1" applyFill="1" applyBorder="1" applyAlignment="1">
      <alignment horizontal="left" vertical="center" wrapText="1"/>
    </xf>
    <xf numFmtId="0" fontId="113" fillId="0" borderId="105" xfId="0" applyFont="1" applyFill="1" applyBorder="1" applyAlignment="1">
      <alignment horizontal="left" wrapText="1" indent="1"/>
    </xf>
    <xf numFmtId="0" fontId="113" fillId="0" borderId="105" xfId="0" applyFont="1" applyFill="1" applyBorder="1" applyAlignment="1">
      <alignment horizontal="left" vertical="center" indent="1"/>
    </xf>
    <xf numFmtId="0" fontId="110" fillId="0" borderId="105" xfId="0" applyFont="1" applyFill="1" applyBorder="1" applyAlignment="1">
      <alignment horizontal="left" wrapText="1" indent="1"/>
    </xf>
    <xf numFmtId="0" fontId="110" fillId="0" borderId="105" xfId="0" applyFont="1" applyFill="1" applyBorder="1" applyAlignment="1">
      <alignment horizontal="left" indent="1"/>
    </xf>
    <xf numFmtId="0" fontId="110" fillId="0" borderId="105" xfId="0" applyFont="1" applyFill="1" applyBorder="1" applyAlignment="1">
      <alignment horizontal="left" wrapText="1" indent="4"/>
    </xf>
    <xf numFmtId="0" fontId="110" fillId="0" borderId="105" xfId="0" applyNumberFormat="1" applyFont="1" applyFill="1" applyBorder="1" applyAlignment="1">
      <alignment horizontal="left" indent="3"/>
    </xf>
    <xf numFmtId="0" fontId="113" fillId="0" borderId="105" xfId="0" applyFont="1" applyFill="1" applyBorder="1" applyAlignment="1">
      <alignment horizontal="left" indent="1"/>
    </xf>
    <xf numFmtId="0" fontId="111" fillId="77" borderId="105" xfId="0" applyFont="1" applyFill="1" applyBorder="1"/>
    <xf numFmtId="0" fontId="114" fillId="0" borderId="5" xfId="0" applyFont="1" applyBorder="1"/>
    <xf numFmtId="0" fontId="114" fillId="0" borderId="105" xfId="0" applyFont="1" applyFill="1" applyBorder="1"/>
    <xf numFmtId="0" fontId="111" fillId="0" borderId="105" xfId="0" applyFont="1" applyFill="1" applyBorder="1" applyAlignment="1">
      <alignment horizontal="left" wrapText="1" indent="2"/>
    </xf>
    <xf numFmtId="0" fontId="111" fillId="0" borderId="105" xfId="0" applyFont="1" applyFill="1" applyBorder="1"/>
    <xf numFmtId="0" fontId="111" fillId="0" borderId="105" xfId="0" applyFont="1" applyFill="1" applyBorder="1" applyAlignment="1">
      <alignment horizontal="left" wrapText="1"/>
    </xf>
    <xf numFmtId="0" fontId="110" fillId="0" borderId="0" xfId="0" applyFont="1" applyBorder="1"/>
    <xf numFmtId="0" fontId="110" fillId="0" borderId="105" xfId="0" applyFont="1" applyBorder="1" applyAlignment="1">
      <alignment horizontal="left" indent="1"/>
    </xf>
    <xf numFmtId="0" fontId="110" fillId="0" borderId="105" xfId="0" applyFont="1" applyBorder="1" applyAlignment="1">
      <alignment horizontal="center"/>
    </xf>
    <xf numFmtId="0" fontId="110" fillId="0" borderId="0" xfId="0" applyFont="1" applyBorder="1" applyAlignment="1">
      <alignment horizontal="center" vertical="center"/>
    </xf>
    <xf numFmtId="0" fontId="110" fillId="0" borderId="105" xfId="0" applyFont="1" applyFill="1" applyBorder="1" applyAlignment="1">
      <alignment horizontal="center" vertical="center" wrapText="1"/>
    </xf>
    <xf numFmtId="0" fontId="110" fillId="0" borderId="5" xfId="0" applyFont="1" applyBorder="1" applyAlignment="1">
      <alignment horizontal="center" vertical="center" wrapText="1"/>
    </xf>
    <xf numFmtId="0" fontId="110" fillId="0" borderId="5" xfId="0" applyFont="1" applyBorder="1" applyAlignment="1">
      <alignment wrapText="1"/>
    </xf>
    <xf numFmtId="0" fontId="110" fillId="0" borderId="0" xfId="0" applyFont="1" applyBorder="1" applyAlignment="1">
      <alignment horizontal="center" vertical="center" wrapText="1"/>
    </xf>
    <xf numFmtId="0" fontId="110" fillId="0" borderId="92" xfId="0" applyFont="1" applyFill="1" applyBorder="1" applyAlignment="1">
      <alignment horizontal="center" vertical="center" wrapText="1"/>
    </xf>
    <xf numFmtId="0" fontId="110" fillId="0" borderId="0" xfId="0" applyFont="1" applyFill="1" applyBorder="1" applyAlignment="1">
      <alignment horizontal="center" vertical="center" wrapText="1"/>
    </xf>
    <xf numFmtId="0" fontId="110" fillId="0" borderId="108" xfId="0" applyFont="1" applyFill="1" applyBorder="1" applyAlignment="1">
      <alignment horizontal="center" vertical="center" wrapText="1"/>
    </xf>
    <xf numFmtId="0" fontId="110" fillId="0" borderId="93" xfId="0" applyFont="1" applyFill="1" applyBorder="1" applyAlignment="1">
      <alignment horizontal="center" vertical="center" wrapText="1"/>
    </xf>
    <xf numFmtId="0" fontId="110" fillId="0" borderId="0" xfId="0" applyFont="1" applyFill="1"/>
    <xf numFmtId="0" fontId="110" fillId="0" borderId="20" xfId="0" applyFont="1" applyFill="1" applyBorder="1"/>
    <xf numFmtId="0" fontId="110" fillId="0" borderId="19" xfId="0" applyFont="1" applyFill="1" applyBorder="1"/>
    <xf numFmtId="0" fontId="110" fillId="0" borderId="22" xfId="0" applyFont="1" applyFill="1" applyBorder="1"/>
    <xf numFmtId="49" fontId="110" fillId="0" borderId="20" xfId="0" applyNumberFormat="1" applyFont="1" applyFill="1" applyBorder="1" applyAlignment="1">
      <alignment horizontal="left" wrapText="1" indent="1"/>
    </xf>
    <xf numFmtId="0" fontId="110" fillId="0" borderId="18" xfId="0" applyNumberFormat="1" applyFont="1" applyFill="1" applyBorder="1" applyAlignment="1">
      <alignment horizontal="left" wrapText="1" indent="1"/>
    </xf>
    <xf numFmtId="0" fontId="110" fillId="0" borderId="74" xfId="0" applyFont="1" applyFill="1" applyBorder="1"/>
    <xf numFmtId="0" fontId="110" fillId="0" borderId="108" xfId="0" applyFont="1" applyFill="1" applyBorder="1"/>
    <xf numFmtId="49" fontId="110" fillId="0" borderId="74" xfId="0" applyNumberFormat="1" applyFont="1" applyFill="1" applyBorder="1" applyAlignment="1">
      <alignment horizontal="left" wrapText="1" indent="1"/>
    </xf>
    <xf numFmtId="0" fontId="110" fillId="0" borderId="15" xfId="0" applyNumberFormat="1" applyFont="1" applyFill="1" applyBorder="1" applyAlignment="1">
      <alignment horizontal="left" wrapText="1" indent="1"/>
    </xf>
    <xf numFmtId="49" fontId="110" fillId="0" borderId="15" xfId="0" applyNumberFormat="1" applyFont="1" applyFill="1" applyBorder="1" applyAlignment="1">
      <alignment horizontal="left" wrapText="1" indent="3"/>
    </xf>
    <xf numFmtId="49" fontId="110" fillId="0" borderId="74" xfId="0" applyNumberFormat="1" applyFont="1" applyFill="1" applyBorder="1" applyAlignment="1">
      <alignment horizontal="left" wrapText="1" indent="3"/>
    </xf>
    <xf numFmtId="49" fontId="110" fillId="0" borderId="74" xfId="0" applyNumberFormat="1" applyFont="1" applyFill="1" applyBorder="1" applyAlignment="1">
      <alignment horizontal="left" wrapText="1" indent="2"/>
    </xf>
    <xf numFmtId="49" fontId="110" fillId="0" borderId="15" xfId="0" applyNumberFormat="1" applyFont="1" applyBorder="1" applyAlignment="1">
      <alignment horizontal="left" wrapText="1" indent="2"/>
    </xf>
    <xf numFmtId="49" fontId="110" fillId="0" borderId="74" xfId="0" applyNumberFormat="1" applyFont="1" applyFill="1" applyBorder="1" applyAlignment="1">
      <alignment horizontal="left" vertical="top" wrapText="1" indent="2"/>
    </xf>
    <xf numFmtId="0" fontId="110" fillId="78" borderId="74" xfId="0" applyFont="1" applyFill="1" applyBorder="1"/>
    <xf numFmtId="0" fontId="110" fillId="78" borderId="105" xfId="0" applyFont="1" applyFill="1" applyBorder="1"/>
    <xf numFmtId="0" fontId="110" fillId="78" borderId="108" xfId="0" applyFont="1" applyFill="1" applyBorder="1"/>
    <xf numFmtId="49" fontId="110" fillId="0" borderId="74" xfId="0" applyNumberFormat="1" applyFont="1" applyFill="1" applyBorder="1" applyAlignment="1">
      <alignment horizontal="left" indent="1"/>
    </xf>
    <xf numFmtId="0" fontId="110" fillId="0" borderId="15" xfId="0" applyNumberFormat="1" applyFont="1" applyBorder="1" applyAlignment="1">
      <alignment horizontal="left" indent="1"/>
    </xf>
    <xf numFmtId="0" fontId="110" fillId="0" borderId="74" xfId="0" applyFont="1" applyBorder="1"/>
    <xf numFmtId="0" fontId="110" fillId="0" borderId="108" xfId="0" applyFont="1" applyBorder="1"/>
    <xf numFmtId="49" fontId="110" fillId="0" borderId="15" xfId="0" applyNumberFormat="1" applyFont="1" applyBorder="1" applyAlignment="1">
      <alignment horizontal="left" indent="1"/>
    </xf>
    <xf numFmtId="49" fontId="110" fillId="0" borderId="74" xfId="0" applyNumberFormat="1" applyFont="1" applyFill="1" applyBorder="1" applyAlignment="1">
      <alignment horizontal="left" indent="3"/>
    </xf>
    <xf numFmtId="49" fontId="110" fillId="0" borderId="15" xfId="0" applyNumberFormat="1" applyFont="1" applyBorder="1" applyAlignment="1">
      <alignment horizontal="left" indent="3"/>
    </xf>
    <xf numFmtId="0" fontId="110" fillId="0" borderId="15" xfId="0" applyFont="1" applyBorder="1" applyAlignment="1">
      <alignment horizontal="left" indent="2"/>
    </xf>
    <xf numFmtId="0" fontId="110" fillId="0" borderId="74" xfId="0" applyFont="1" applyBorder="1" applyAlignment="1">
      <alignment horizontal="left" indent="2"/>
    </xf>
    <xf numFmtId="0" fontId="110" fillId="0" borderId="15" xfId="0" applyFont="1" applyBorder="1" applyAlignment="1">
      <alignment horizontal="left" indent="1"/>
    </xf>
    <xf numFmtId="0" fontId="110" fillId="0" borderId="74" xfId="0" applyFont="1" applyBorder="1" applyAlignment="1">
      <alignment horizontal="left" indent="1"/>
    </xf>
    <xf numFmtId="0" fontId="113" fillId="0" borderId="58" xfId="0" applyFont="1" applyBorder="1"/>
    <xf numFmtId="0" fontId="110" fillId="0" borderId="61" xfId="0" applyFont="1" applyBorder="1"/>
    <xf numFmtId="0" fontId="110" fillId="0" borderId="69" xfId="0" applyFont="1" applyBorder="1" applyAlignment="1">
      <alignment horizontal="center" vertical="center" wrapText="1"/>
    </xf>
    <xf numFmtId="0" fontId="110" fillId="0" borderId="74" xfId="0" applyFont="1" applyFill="1" applyBorder="1" applyAlignment="1">
      <alignment horizontal="center" vertical="center" wrapText="1"/>
    </xf>
    <xf numFmtId="0" fontId="110" fillId="0" borderId="0" xfId="0" applyFont="1" applyBorder="1" applyAlignment="1">
      <alignment wrapText="1"/>
    </xf>
    <xf numFmtId="14" fontId="110" fillId="0" borderId="0" xfId="0" applyNumberFormat="1" applyFont="1" applyBorder="1"/>
    <xf numFmtId="0" fontId="110" fillId="0" borderId="0" xfId="0" applyFont="1" applyAlignment="1">
      <alignment horizontal="center" vertical="center"/>
    </xf>
    <xf numFmtId="0" fontId="110" fillId="0" borderId="0" xfId="0" applyFont="1" applyBorder="1" applyAlignment="1">
      <alignment horizontal="left"/>
    </xf>
    <xf numFmtId="0" fontId="113" fillId="0" borderId="105" xfId="0" applyNumberFormat="1" applyFont="1" applyFill="1" applyBorder="1" applyAlignment="1">
      <alignment horizontal="left" vertical="center" wrapText="1"/>
    </xf>
    <xf numFmtId="0" fontId="110" fillId="0" borderId="5" xfId="0" applyFont="1" applyFill="1" applyBorder="1" applyAlignment="1">
      <alignment horizontal="center" vertical="center" wrapText="1"/>
    </xf>
    <xf numFmtId="0" fontId="115" fillId="0" borderId="0" xfId="0" applyFont="1"/>
    <xf numFmtId="0" fontId="94" fillId="0" borderId="0" xfId="0" applyFont="1" applyFill="1" applyBorder="1" applyAlignment="1">
      <alignment wrapText="1"/>
    </xf>
    <xf numFmtId="0" fontId="113" fillId="0" borderId="105"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03" xfId="0" applyNumberFormat="1" applyFont="1" applyFill="1" applyBorder="1" applyAlignment="1">
      <alignment horizontal="left" vertical="center" wrapText="1" indent="1" readingOrder="1"/>
    </xf>
    <xf numFmtId="0" fontId="131" fillId="0" borderId="105" xfId="0" applyFont="1" applyBorder="1" applyAlignment="1">
      <alignment horizontal="left" indent="3"/>
    </xf>
    <xf numFmtId="0" fontId="113" fillId="0" borderId="105" xfId="0" applyNumberFormat="1" applyFont="1" applyFill="1" applyBorder="1" applyAlignment="1">
      <alignment vertical="center" wrapText="1" readingOrder="1"/>
    </xf>
    <xf numFmtId="0" fontId="131" fillId="0" borderId="105" xfId="0" applyFont="1" applyFill="1" applyBorder="1" applyAlignment="1">
      <alignment horizontal="left" indent="2"/>
    </xf>
    <xf numFmtId="0" fontId="110" fillId="0" borderId="104" xfId="0" applyNumberFormat="1" applyFont="1" applyFill="1" applyBorder="1" applyAlignment="1">
      <alignment vertical="center" wrapText="1" readingOrder="1"/>
    </xf>
    <xf numFmtId="0" fontId="131" fillId="0" borderId="109" xfId="0" applyFont="1" applyBorder="1" applyAlignment="1">
      <alignment horizontal="left" indent="2"/>
    </xf>
    <xf numFmtId="0" fontId="110" fillId="0" borderId="103" xfId="0" applyNumberFormat="1" applyFont="1" applyFill="1" applyBorder="1" applyAlignment="1">
      <alignment vertical="center" wrapText="1" readingOrder="1"/>
    </xf>
    <xf numFmtId="0" fontId="131" fillId="0" borderId="105" xfId="0" applyFont="1" applyBorder="1" applyAlignment="1">
      <alignment horizontal="left" indent="2"/>
    </xf>
    <xf numFmtId="0" fontId="110" fillId="0" borderId="102" xfId="0" applyNumberFormat="1" applyFont="1" applyFill="1" applyBorder="1" applyAlignment="1">
      <alignment vertical="center" wrapText="1" readingOrder="1"/>
    </xf>
    <xf numFmtId="0" fontId="131" fillId="0" borderId="5" xfId="0" applyFont="1" applyBorder="1"/>
    <xf numFmtId="0" fontId="96" fillId="0" borderId="0" xfId="11" applyFont="1" applyFill="1" applyBorder="1" applyProtection="1"/>
    <xf numFmtId="0" fontId="132" fillId="0" borderId="0" xfId="11" applyFont="1" applyFill="1" applyBorder="1" applyAlignment="1" applyProtection="1"/>
    <xf numFmtId="0" fontId="133" fillId="0" borderId="0" xfId="0" applyFont="1"/>
    <xf numFmtId="0" fontId="134" fillId="80" borderId="13" xfId="0" applyFont="1" applyFill="1" applyBorder="1" applyAlignment="1">
      <alignment horizontal="center" vertical="center"/>
    </xf>
    <xf numFmtId="0" fontId="134" fillId="80" borderId="14" xfId="0" applyFont="1" applyFill="1" applyBorder="1" applyAlignment="1">
      <alignment horizontal="center" vertical="center"/>
    </xf>
    <xf numFmtId="0" fontId="134" fillId="81" borderId="105" xfId="0" applyFont="1" applyFill="1" applyBorder="1" applyAlignment="1">
      <alignment horizontal="left" vertical="center"/>
    </xf>
    <xf numFmtId="192" fontId="134" fillId="81" borderId="74" xfId="7" applyNumberFormat="1" applyFont="1" applyFill="1" applyBorder="1" applyAlignment="1">
      <alignment horizontal="left" vertical="center"/>
    </xf>
    <xf numFmtId="49" fontId="136" fillId="0" borderId="105" xfId="0" applyNumberFormat="1" applyFont="1" applyFill="1" applyBorder="1" applyAlignment="1">
      <alignment horizontal="left" vertical="center"/>
    </xf>
    <xf numFmtId="192" fontId="136" fillId="0" borderId="74" xfId="7" applyNumberFormat="1" applyFont="1" applyFill="1" applyBorder="1" applyAlignment="1">
      <alignment horizontal="left" vertical="center"/>
    </xf>
    <xf numFmtId="0" fontId="136" fillId="0" borderId="105" xfId="0" applyFont="1" applyFill="1" applyBorder="1" applyAlignment="1">
      <alignment horizontal="left" vertical="center"/>
    </xf>
    <xf numFmtId="0" fontId="134" fillId="0" borderId="105" xfId="0" applyFont="1" applyFill="1" applyBorder="1" applyAlignment="1">
      <alignment horizontal="left" vertical="center"/>
    </xf>
    <xf numFmtId="10" fontId="96" fillId="0" borderId="74" xfId="0" applyNumberFormat="1" applyFont="1" applyFill="1" applyBorder="1" applyAlignment="1">
      <alignment horizontal="right" vertical="center" wrapText="1"/>
    </xf>
    <xf numFmtId="0" fontId="138" fillId="82" borderId="19" xfId="0" applyFont="1" applyFill="1" applyBorder="1" applyAlignment="1">
      <alignment horizontal="left" vertical="center"/>
    </xf>
    <xf numFmtId="10" fontId="132" fillId="83" borderId="20"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05" xfId="0" applyFont="1" applyFill="1" applyBorder="1" applyAlignment="1" applyProtection="1">
      <alignment horizontal="center" vertical="center" wrapText="1"/>
    </xf>
    <xf numFmtId="192" fontId="4" fillId="83" borderId="105" xfId="7" applyNumberFormat="1" applyFont="1" applyFill="1" applyBorder="1" applyAlignment="1">
      <alignment vertical="center"/>
    </xf>
    <xf numFmtId="192" fontId="4" fillId="83" borderId="74" xfId="7" applyNumberFormat="1" applyFont="1" applyFill="1" applyBorder="1" applyAlignment="1">
      <alignment vertical="center"/>
    </xf>
    <xf numFmtId="192" fontId="4" fillId="35" borderId="105" xfId="7" applyNumberFormat="1" applyFont="1" applyFill="1" applyBorder="1" applyAlignment="1">
      <alignment vertical="center"/>
    </xf>
    <xf numFmtId="192" fontId="143" fillId="80" borderId="105" xfId="7" applyNumberFormat="1" applyFont="1" applyFill="1" applyBorder="1" applyAlignment="1">
      <alignment vertical="center"/>
    </xf>
    <xf numFmtId="192" fontId="143" fillId="82" borderId="74" xfId="7" applyNumberFormat="1" applyFont="1" applyFill="1" applyBorder="1" applyAlignment="1">
      <alignment vertical="center"/>
    </xf>
    <xf numFmtId="192" fontId="144" fillId="81" borderId="105" xfId="7" applyNumberFormat="1" applyFont="1" applyFill="1" applyBorder="1" applyAlignment="1">
      <alignment vertical="center"/>
    </xf>
    <xf numFmtId="192" fontId="144" fillId="82" borderId="74" xfId="7" applyNumberFormat="1" applyFont="1" applyFill="1" applyBorder="1" applyAlignment="1">
      <alignment vertical="center"/>
    </xf>
    <xf numFmtId="192" fontId="144" fillId="81" borderId="19" xfId="7" applyNumberFormat="1" applyFont="1" applyFill="1" applyBorder="1" applyAlignment="1">
      <alignment vertical="center"/>
    </xf>
    <xf numFmtId="192" fontId="144" fillId="82" borderId="20" xfId="7" applyNumberFormat="1" applyFont="1" applyFill="1" applyBorder="1" applyAlignment="1">
      <alignment vertical="center"/>
    </xf>
    <xf numFmtId="0" fontId="348" fillId="0" borderId="0" xfId="0" applyFont="1"/>
    <xf numFmtId="169" fontId="9" fillId="36" borderId="84" xfId="20" applyBorder="1"/>
    <xf numFmtId="0" fontId="94" fillId="0" borderId="163" xfId="0" applyFont="1" applyFill="1" applyBorder="1" applyAlignment="1">
      <alignment horizontal="center" vertical="center" wrapText="1"/>
    </xf>
    <xf numFmtId="0" fontId="347" fillId="0" borderId="0" xfId="0" applyFont="1"/>
    <xf numFmtId="0" fontId="0" fillId="0" borderId="0" xfId="0"/>
    <xf numFmtId="0" fontId="94" fillId="0" borderId="0" xfId="0" applyFont="1"/>
    <xf numFmtId="0" fontId="349" fillId="0" borderId="0" xfId="0" applyFont="1"/>
    <xf numFmtId="0" fontId="94" fillId="0" borderId="0" xfId="0" applyFont="1" applyBorder="1"/>
    <xf numFmtId="0" fontId="349" fillId="0" borderId="0" xfId="0" applyFont="1" applyBorder="1"/>
    <xf numFmtId="0" fontId="349" fillId="0" borderId="0" xfId="0" applyFont="1" applyAlignment="1">
      <alignment horizontal="center"/>
    </xf>
    <xf numFmtId="0" fontId="349" fillId="0" borderId="0" xfId="0" applyFont="1" applyAlignment="1">
      <alignment horizontal="left" vertical="center"/>
    </xf>
    <xf numFmtId="0" fontId="2" fillId="0" borderId="0" xfId="13" applyFont="1" applyFill="1" applyBorder="1" applyAlignment="1" applyProtection="1">
      <alignment wrapText="1"/>
      <protection locked="0"/>
    </xf>
    <xf numFmtId="0" fontId="351" fillId="0" borderId="169" xfId="20954" applyFont="1" applyFill="1" applyBorder="1" applyAlignment="1">
      <alignment horizontal="left" vertical="center" wrapText="1"/>
    </xf>
    <xf numFmtId="49" fontId="84" fillId="0" borderId="73" xfId="0" applyNumberFormat="1" applyFont="1" applyFill="1" applyBorder="1" applyAlignment="1">
      <alignment horizontal="right"/>
    </xf>
    <xf numFmtId="0" fontId="6" fillId="0" borderId="169" xfId="17" applyFill="1" applyBorder="1" applyAlignment="1" applyProtection="1"/>
    <xf numFmtId="49" fontId="84" fillId="0" borderId="169" xfId="0" applyNumberFormat="1" applyFont="1" applyFill="1" applyBorder="1" applyAlignment="1">
      <alignment horizontal="right"/>
    </xf>
    <xf numFmtId="0" fontId="84" fillId="0" borderId="169" xfId="0" applyFont="1" applyFill="1" applyBorder="1"/>
    <xf numFmtId="0" fontId="96" fillId="0" borderId="0" xfId="0" applyFont="1" applyFill="1"/>
    <xf numFmtId="0" fontId="354" fillId="3" borderId="0" xfId="37364" applyFont="1" applyFill="1" applyAlignment="1" applyProtection="1">
      <alignment vertical="center"/>
      <protection locked="0"/>
    </xf>
    <xf numFmtId="3" fontId="131" fillId="151" borderId="169" xfId="5" applyNumberFormat="1" applyFont="1" applyFill="1" applyBorder="1" applyAlignment="1" applyProtection="1"/>
    <xf numFmtId="0" fontId="355" fillId="3" borderId="169" xfId="37365" applyFont="1" applyFill="1" applyBorder="1" applyAlignment="1" applyProtection="1">
      <alignment horizontal="right"/>
      <protection locked="0"/>
    </xf>
    <xf numFmtId="359" fontId="131" fillId="151" borderId="169" xfId="5" applyNumberFormat="1" applyFont="1" applyFill="1" applyBorder="1" applyAlignment="1" applyProtection="1">
      <protection locked="0"/>
    </xf>
    <xf numFmtId="164" fontId="131" fillId="151" borderId="169" xfId="1" applyNumberFormat="1" applyFont="1" applyFill="1" applyBorder="1" applyAlignment="1" applyProtection="1"/>
    <xf numFmtId="3" fontId="131" fillId="3" borderId="169" xfId="5" applyNumberFormat="1" applyFont="1" applyFill="1" applyBorder="1" applyAlignment="1" applyProtection="1">
      <protection locked="0"/>
    </xf>
    <xf numFmtId="0" fontId="131" fillId="3" borderId="169" xfId="5" applyFont="1" applyFill="1" applyBorder="1" applyAlignment="1" applyProtection="1">
      <protection locked="0"/>
    </xf>
    <xf numFmtId="0" fontId="359" fillId="0" borderId="0" xfId="37364" applyFont="1" applyFill="1" applyAlignment="1" applyProtection="1">
      <alignment vertical="center"/>
      <protection locked="0"/>
    </xf>
    <xf numFmtId="0" fontId="131" fillId="3" borderId="169" xfId="5" applyFont="1" applyFill="1" applyBorder="1" applyProtection="1">
      <protection locked="0"/>
    </xf>
    <xf numFmtId="0" fontId="131" fillId="0" borderId="169" xfId="37365" applyFont="1" applyFill="1" applyBorder="1" applyAlignment="1" applyProtection="1">
      <alignment horizontal="center" vertical="top" wrapText="1"/>
      <protection locked="0"/>
    </xf>
    <xf numFmtId="0" fontId="354" fillId="3" borderId="169" xfId="37365" applyFont="1" applyFill="1" applyBorder="1" applyAlignment="1" applyProtection="1">
      <alignment wrapText="1"/>
      <protection locked="0"/>
    </xf>
    <xf numFmtId="3" fontId="131" fillId="0" borderId="169" xfId="5" applyNumberFormat="1" applyFont="1" applyFill="1" applyBorder="1" applyProtection="1"/>
    <xf numFmtId="0" fontId="349" fillId="0" borderId="0" xfId="0" applyFont="1" applyAlignment="1">
      <alignment wrapText="1"/>
    </xf>
    <xf numFmtId="0" fontId="350" fillId="0" borderId="5" xfId="0" applyFont="1" applyBorder="1" applyAlignment="1">
      <alignment horizontal="center" vertical="center"/>
    </xf>
    <xf numFmtId="0" fontId="361" fillId="0" borderId="169" xfId="0" applyFont="1" applyBorder="1"/>
    <xf numFmtId="0" fontId="362" fillId="0" borderId="169" xfId="17" applyFont="1" applyBorder="1" applyAlignment="1" applyProtection="1"/>
    <xf numFmtId="0" fontId="45" fillId="0" borderId="0" xfId="0" applyFont="1"/>
    <xf numFmtId="179" fontId="45" fillId="0" borderId="0" xfId="0" applyNumberFormat="1" applyFont="1" applyAlignment="1">
      <alignment horizontal="left"/>
    </xf>
    <xf numFmtId="10" fontId="87" fillId="2" borderId="81" xfId="20950" applyNumberFormat="1" applyFont="1" applyFill="1" applyBorder="1" applyAlignment="1" applyProtection="1">
      <alignment vertical="center"/>
      <protection locked="0"/>
    </xf>
    <xf numFmtId="191" fontId="45" fillId="0" borderId="165" xfId="0" applyNumberFormat="1" applyFont="1" applyFill="1" applyBorder="1" applyAlignment="1" applyProtection="1">
      <alignment horizontal="right" vertical="center" wrapText="1"/>
      <protection locked="0"/>
    </xf>
    <xf numFmtId="169" fontId="2" fillId="36" borderId="57" xfId="20" applyFont="1" applyBorder="1"/>
    <xf numFmtId="191" fontId="84" fillId="0" borderId="190" xfId="0" applyNumberFormat="1" applyFont="1" applyFill="1" applyBorder="1" applyAlignment="1" applyProtection="1">
      <alignment vertical="center" wrapText="1"/>
      <protection locked="0"/>
    </xf>
    <xf numFmtId="191" fontId="84" fillId="0" borderId="191" xfId="0" applyNumberFormat="1" applyFont="1" applyFill="1" applyBorder="1" applyAlignment="1" applyProtection="1">
      <alignment vertical="center" wrapText="1"/>
      <protection locked="0"/>
    </xf>
    <xf numFmtId="191" fontId="84" fillId="0" borderId="192" xfId="0" applyNumberFormat="1" applyFont="1" applyFill="1" applyBorder="1" applyAlignment="1" applyProtection="1">
      <alignment vertical="center" wrapText="1"/>
      <protection locked="0"/>
    </xf>
    <xf numFmtId="10" fontId="84" fillId="0" borderId="190" xfId="20950" applyNumberFormat="1" applyFont="1" applyBorder="1" applyAlignment="1" applyProtection="1">
      <alignment vertical="center" wrapText="1"/>
      <protection locked="0"/>
    </xf>
    <xf numFmtId="10" fontId="84" fillId="0" borderId="191" xfId="20950" applyNumberFormat="1" applyFont="1" applyBorder="1" applyAlignment="1" applyProtection="1">
      <alignment vertical="center" wrapText="1"/>
      <protection locked="0"/>
    </xf>
    <xf numFmtId="10" fontId="84" fillId="0" borderId="192" xfId="20950" applyNumberFormat="1" applyFont="1" applyBorder="1" applyAlignment="1" applyProtection="1">
      <alignment vertical="center" wrapText="1"/>
      <protection locked="0"/>
    </xf>
    <xf numFmtId="169" fontId="9" fillId="36" borderId="57" xfId="20" applyBorder="1"/>
    <xf numFmtId="191" fontId="84" fillId="0" borderId="190" xfId="0" applyNumberFormat="1" applyFont="1" applyBorder="1" applyAlignment="1" applyProtection="1">
      <alignment vertical="center" wrapText="1"/>
      <protection locked="0"/>
    </xf>
    <xf numFmtId="191" fontId="84" fillId="0" borderId="191" xfId="0" applyNumberFormat="1" applyFont="1" applyBorder="1" applyAlignment="1" applyProtection="1">
      <alignment vertical="center" wrapText="1"/>
      <protection locked="0"/>
    </xf>
    <xf numFmtId="191" fontId="84" fillId="0" borderId="192" xfId="0" applyNumberFormat="1" applyFont="1" applyBorder="1" applyAlignment="1" applyProtection="1">
      <alignment vertical="center" wrapText="1"/>
      <protection locked="0"/>
    </xf>
    <xf numFmtId="10" fontId="87" fillId="2" borderId="190" xfId="20950" applyNumberFormat="1" applyFont="1" applyFill="1" applyBorder="1" applyAlignment="1" applyProtection="1">
      <alignment vertical="center"/>
      <protection locked="0"/>
    </xf>
    <xf numFmtId="10" fontId="87" fillId="2" borderId="191" xfId="20950" applyNumberFormat="1" applyFont="1" applyFill="1" applyBorder="1" applyAlignment="1" applyProtection="1">
      <alignment vertical="center"/>
      <protection locked="0"/>
    </xf>
    <xf numFmtId="10" fontId="87" fillId="2" borderId="192" xfId="20950" applyNumberFormat="1" applyFont="1" applyFill="1" applyBorder="1" applyAlignment="1" applyProtection="1">
      <alignment vertical="center"/>
      <protection locked="0"/>
    </xf>
    <xf numFmtId="10" fontId="84" fillId="0" borderId="190" xfId="20950" applyNumberFormat="1" applyFont="1" applyFill="1" applyBorder="1" applyAlignment="1" applyProtection="1">
      <alignment horizontal="center" vertical="center" wrapText="1"/>
      <protection locked="0"/>
    </xf>
    <xf numFmtId="10" fontId="84" fillId="0" borderId="191" xfId="20950" applyNumberFormat="1" applyFont="1" applyFill="1" applyBorder="1" applyAlignment="1" applyProtection="1">
      <alignment horizontal="center" vertical="center" wrapText="1"/>
      <protection locked="0"/>
    </xf>
    <xf numFmtId="10" fontId="84" fillId="0" borderId="192" xfId="20950" applyNumberFormat="1" applyFont="1" applyFill="1" applyBorder="1" applyAlignment="1" applyProtection="1">
      <alignment horizontal="center" vertical="center" wrapText="1"/>
      <protection locked="0"/>
    </xf>
    <xf numFmtId="191" fontId="87" fillId="2" borderId="190" xfId="0" applyNumberFormat="1" applyFont="1" applyFill="1" applyBorder="1" applyAlignment="1" applyProtection="1">
      <alignment vertical="center"/>
      <protection locked="0"/>
    </xf>
    <xf numFmtId="191" fontId="87" fillId="2" borderId="191" xfId="0" applyNumberFormat="1" applyFont="1" applyFill="1" applyBorder="1" applyAlignment="1" applyProtection="1">
      <alignment vertical="center"/>
      <protection locked="0"/>
    </xf>
    <xf numFmtId="191" fontId="87" fillId="2" borderId="192" xfId="0" applyNumberFormat="1" applyFont="1" applyFill="1" applyBorder="1" applyAlignment="1" applyProtection="1">
      <alignment vertical="center"/>
      <protection locked="0"/>
    </xf>
    <xf numFmtId="10" fontId="87" fillId="2" borderId="79" xfId="20950" applyNumberFormat="1" applyFont="1" applyFill="1" applyBorder="1" applyAlignment="1" applyProtection="1">
      <alignment vertical="center"/>
      <protection locked="0"/>
    </xf>
    <xf numFmtId="10" fontId="87" fillId="2" borderId="176" xfId="20950" applyNumberFormat="1" applyFont="1" applyFill="1" applyBorder="1" applyAlignment="1" applyProtection="1">
      <alignment vertical="center"/>
      <protection locked="0"/>
    </xf>
    <xf numFmtId="191" fontId="87" fillId="2" borderId="79" xfId="0" applyNumberFormat="1" applyFont="1" applyFill="1" applyBorder="1" applyAlignment="1" applyProtection="1">
      <alignment vertical="center"/>
      <protection locked="0"/>
    </xf>
    <xf numFmtId="191" fontId="87" fillId="2" borderId="176" xfId="0" applyNumberFormat="1" applyFont="1" applyFill="1" applyBorder="1" applyAlignment="1" applyProtection="1">
      <alignment vertical="center"/>
      <protection locked="0"/>
    </xf>
    <xf numFmtId="10" fontId="87" fillId="2" borderId="193" xfId="20950" applyNumberFormat="1" applyFont="1" applyFill="1" applyBorder="1" applyAlignment="1" applyProtection="1">
      <alignment vertical="center"/>
      <protection locked="0"/>
    </xf>
    <xf numFmtId="10" fontId="87" fillId="2" borderId="194" xfId="20950" applyNumberFormat="1" applyFont="1" applyFill="1" applyBorder="1" applyAlignment="1" applyProtection="1">
      <alignment vertical="center"/>
      <protection locked="0"/>
    </xf>
    <xf numFmtId="10" fontId="87" fillId="2" borderId="195" xfId="20950" applyNumberFormat="1" applyFont="1" applyFill="1" applyBorder="1" applyAlignment="1" applyProtection="1">
      <alignment vertical="center"/>
      <protection locked="0"/>
    </xf>
    <xf numFmtId="10" fontId="45" fillId="0" borderId="165" xfId="20950" applyNumberFormat="1" applyFont="1" applyFill="1" applyBorder="1" applyAlignment="1" applyProtection="1">
      <alignment horizontal="right" vertical="center" wrapText="1"/>
      <protection locked="0"/>
    </xf>
    <xf numFmtId="169" fontId="45" fillId="36" borderId="0" xfId="20" applyFont="1" applyBorder="1"/>
    <xf numFmtId="191" fontId="45" fillId="0" borderId="165" xfId="0" applyNumberFormat="1" applyFont="1" applyFill="1" applyBorder="1" applyAlignment="1" applyProtection="1">
      <alignment vertical="center" wrapText="1"/>
      <protection locked="0"/>
    </xf>
    <xf numFmtId="10" fontId="45" fillId="0" borderId="165" xfId="20950" applyNumberFormat="1" applyFont="1" applyBorder="1" applyAlignment="1" applyProtection="1">
      <alignment horizontal="right" vertical="center" wrapText="1"/>
      <protection locked="0"/>
    </xf>
    <xf numFmtId="169" fontId="41" fillId="36" borderId="0" xfId="20" applyFont="1" applyBorder="1"/>
    <xf numFmtId="191" fontId="45" fillId="0" borderId="165" xfId="0" applyNumberFormat="1" applyFont="1" applyBorder="1" applyAlignment="1" applyProtection="1">
      <alignment horizontal="right" vertical="center" wrapText="1"/>
      <protection locked="0"/>
    </xf>
    <xf numFmtId="10" fontId="45" fillId="2" borderId="165" xfId="20950" applyNumberFormat="1" applyFont="1" applyFill="1" applyBorder="1" applyAlignment="1" applyProtection="1">
      <alignment vertical="center"/>
      <protection locked="0"/>
    </xf>
    <xf numFmtId="169" fontId="45" fillId="36" borderId="0" xfId="20" applyFont="1" applyBorder="1" applyAlignment="1">
      <alignment horizontal="right"/>
    </xf>
    <xf numFmtId="191" fontId="45" fillId="2" borderId="165" xfId="0" applyNumberFormat="1" applyFont="1" applyFill="1" applyBorder="1" applyAlignment="1" applyProtection="1">
      <alignment vertical="center"/>
      <protection locked="0"/>
    </xf>
    <xf numFmtId="10" fontId="45" fillId="2" borderId="166" xfId="20950" applyNumberFormat="1" applyFont="1" applyFill="1" applyBorder="1" applyAlignment="1" applyProtection="1">
      <alignment vertical="center"/>
      <protection locked="0"/>
    </xf>
    <xf numFmtId="191" fontId="45" fillId="2" borderId="166" xfId="0" applyNumberFormat="1" applyFont="1" applyFill="1" applyBorder="1" applyAlignment="1" applyProtection="1">
      <alignment vertical="center"/>
      <protection locked="0"/>
    </xf>
    <xf numFmtId="10" fontId="45" fillId="2" borderId="183" xfId="20950" applyNumberFormat="1" applyFont="1" applyFill="1" applyBorder="1" applyAlignment="1" applyProtection="1">
      <alignment vertical="center"/>
      <protection locked="0"/>
    </xf>
    <xf numFmtId="164" fontId="363" fillId="0" borderId="190" xfId="7" applyNumberFormat="1" applyFont="1" applyBorder="1"/>
    <xf numFmtId="164" fontId="363" fillId="0" borderId="170" xfId="7" applyNumberFormat="1" applyFont="1" applyBorder="1"/>
    <xf numFmtId="164" fontId="363" fillId="35" borderId="192" xfId="7" applyNumberFormat="1" applyFont="1" applyFill="1" applyBorder="1"/>
    <xf numFmtId="164" fontId="0" fillId="0" borderId="190" xfId="7" applyNumberFormat="1" applyFont="1" applyBorder="1"/>
    <xf numFmtId="164" fontId="0" fillId="0" borderId="170" xfId="7" applyNumberFormat="1" applyFont="1" applyBorder="1"/>
    <xf numFmtId="164" fontId="363" fillId="0" borderId="190" xfId="7" applyNumberFormat="1" applyFont="1" applyBorder="1" applyAlignment="1">
      <alignment vertical="center"/>
    </xf>
    <xf numFmtId="164" fontId="363" fillId="0" borderId="170" xfId="7" applyNumberFormat="1" applyFont="1" applyBorder="1" applyAlignment="1">
      <alignment vertical="center"/>
    </xf>
    <xf numFmtId="164" fontId="363" fillId="35" borderId="192" xfId="7" applyNumberFormat="1" applyFont="1" applyFill="1" applyBorder="1" applyAlignment="1">
      <alignment vertical="center"/>
    </xf>
    <xf numFmtId="164" fontId="0" fillId="0" borderId="169" xfId="7" applyNumberFormat="1" applyFont="1" applyBorder="1"/>
    <xf numFmtId="164" fontId="363" fillId="35" borderId="169" xfId="7" applyNumberFormat="1" applyFont="1" applyFill="1" applyBorder="1"/>
    <xf numFmtId="164" fontId="363" fillId="0" borderId="169" xfId="7" applyNumberFormat="1" applyFont="1" applyBorder="1"/>
    <xf numFmtId="164" fontId="363" fillId="0" borderId="193" xfId="7" applyNumberFormat="1" applyFont="1" applyBorder="1"/>
    <xf numFmtId="164" fontId="363" fillId="0" borderId="194" xfId="7" applyNumberFormat="1" applyFont="1" applyBorder="1"/>
    <xf numFmtId="164" fontId="363" fillId="35" borderId="194" xfId="7" applyNumberFormat="1" applyFont="1" applyFill="1" applyBorder="1"/>
    <xf numFmtId="164" fontId="363" fillId="0" borderId="197" xfId="7" applyNumberFormat="1" applyFont="1" applyBorder="1"/>
    <xf numFmtId="164" fontId="363" fillId="35" borderId="195" xfId="7" applyNumberFormat="1" applyFont="1" applyFill="1" applyBorder="1"/>
    <xf numFmtId="0" fontId="0" fillId="0" borderId="190" xfId="0" applyBorder="1" applyAlignment="1">
      <alignment horizontal="center" vertical="center"/>
    </xf>
    <xf numFmtId="0" fontId="0" fillId="0" borderId="193" xfId="0" applyBorder="1" applyAlignment="1">
      <alignment horizontal="center" vertical="center"/>
    </xf>
    <xf numFmtId="0" fontId="120" fillId="3" borderId="169" xfId="20954" applyFont="1" applyFill="1" applyBorder="1" applyAlignment="1">
      <alignment horizontal="left" vertical="center" wrapText="1"/>
    </xf>
    <xf numFmtId="0" fontId="94" fillId="0" borderId="169" xfId="20954" applyFont="1" applyFill="1" applyBorder="1" applyAlignment="1">
      <alignment horizontal="left" vertical="center" wrapText="1" indent="1"/>
    </xf>
    <xf numFmtId="0" fontId="351" fillId="3" borderId="169" xfId="0" applyFont="1" applyFill="1" applyBorder="1" applyAlignment="1">
      <alignment horizontal="left" vertical="center" wrapText="1"/>
    </xf>
    <xf numFmtId="0" fontId="94" fillId="3" borderId="169" xfId="20954" applyFont="1" applyFill="1" applyBorder="1" applyAlignment="1">
      <alignment horizontal="left" vertical="center" wrapText="1" indent="1"/>
    </xf>
    <xf numFmtId="0" fontId="120" fillId="0" borderId="169" xfId="0" applyFont="1" applyFill="1" applyBorder="1" applyAlignment="1">
      <alignment horizontal="left" vertical="center" wrapText="1"/>
    </xf>
    <xf numFmtId="0" fontId="351" fillId="0" borderId="169" xfId="0" applyFont="1" applyFill="1" applyBorder="1" applyAlignment="1">
      <alignment horizontal="left" vertical="center" wrapText="1"/>
    </xf>
    <xf numFmtId="0" fontId="351" fillId="0" borderId="169" xfId="0" applyFont="1" applyFill="1" applyBorder="1" applyAlignment="1">
      <alignment vertical="center" wrapText="1"/>
    </xf>
    <xf numFmtId="0" fontId="352" fillId="0" borderId="169" xfId="0" applyFont="1" applyFill="1" applyBorder="1" applyAlignment="1">
      <alignment horizontal="left" vertical="center" wrapText="1" indent="1"/>
    </xf>
    <xf numFmtId="0" fontId="352" fillId="3" borderId="169" xfId="0" applyFont="1" applyFill="1" applyBorder="1" applyAlignment="1">
      <alignment horizontal="left" vertical="center" wrapText="1" indent="1"/>
    </xf>
    <xf numFmtId="0" fontId="352" fillId="0" borderId="169" xfId="20954" applyFont="1" applyFill="1" applyBorder="1" applyAlignment="1">
      <alignment horizontal="left" vertical="center" wrapText="1" indent="1"/>
    </xf>
    <xf numFmtId="0" fontId="351" fillId="0" borderId="169" xfId="20954" applyFont="1" applyFill="1" applyBorder="1" applyAlignment="1">
      <alignment horizontal="center" vertical="center" wrapText="1"/>
    </xf>
    <xf numFmtId="0" fontId="94" fillId="3" borderId="169" xfId="0" applyFont="1" applyFill="1" applyBorder="1" applyAlignment="1">
      <alignment horizontal="left" vertical="center" wrapText="1" indent="1"/>
    </xf>
    <xf numFmtId="0" fontId="351" fillId="0" borderId="169" xfId="0" applyFont="1" applyBorder="1" applyAlignment="1">
      <alignment horizontal="left" vertical="center" wrapText="1"/>
    </xf>
    <xf numFmtId="0" fontId="94" fillId="0" borderId="169" xfId="0" applyFont="1" applyBorder="1" applyAlignment="1">
      <alignment horizontal="left" vertical="center" wrapText="1" indent="1"/>
    </xf>
    <xf numFmtId="0" fontId="351" fillId="3" borderId="169" xfId="20954" applyFont="1" applyFill="1" applyBorder="1" applyAlignment="1">
      <alignment horizontal="left" vertical="center" wrapText="1"/>
    </xf>
    <xf numFmtId="0" fontId="94" fillId="0" borderId="169" xfId="0" applyFont="1" applyFill="1" applyBorder="1" applyAlignment="1">
      <alignment horizontal="left" vertical="center" wrapText="1" indent="1"/>
    </xf>
    <xf numFmtId="0" fontId="353" fillId="0" borderId="165" xfId="0" applyFont="1" applyBorder="1" applyAlignment="1">
      <alignment horizontal="justify"/>
    </xf>
    <xf numFmtId="0" fontId="349" fillId="0" borderId="190" xfId="0" applyFont="1" applyBorder="1" applyAlignment="1">
      <alignment horizontal="center"/>
    </xf>
    <xf numFmtId="164" fontId="363" fillId="0" borderId="169" xfId="7" applyNumberFormat="1" applyFont="1" applyBorder="1" applyAlignment="1">
      <alignment vertical="center"/>
    </xf>
    <xf numFmtId="164" fontId="363" fillId="35" borderId="169" xfId="7" applyNumberFormat="1" applyFont="1" applyFill="1" applyBorder="1" applyAlignment="1">
      <alignment vertical="center"/>
    </xf>
    <xf numFmtId="0" fontId="349" fillId="0" borderId="193" xfId="0" applyFont="1" applyBorder="1" applyAlignment="1">
      <alignment horizontal="center"/>
    </xf>
    <xf numFmtId="0" fontId="351" fillId="0" borderId="194" xfId="0" applyFont="1" applyFill="1" applyBorder="1" applyAlignment="1">
      <alignment horizontal="left" vertical="center" wrapText="1"/>
    </xf>
    <xf numFmtId="0" fontId="123" fillId="0" borderId="169" xfId="0" applyFont="1" applyFill="1" applyBorder="1" applyAlignment="1">
      <alignment horizontal="left" vertical="center" wrapText="1" indent="1"/>
    </xf>
    <xf numFmtId="0" fontId="125" fillId="0" borderId="169" xfId="0" applyFont="1" applyFill="1" applyBorder="1" applyAlignment="1">
      <alignment horizontal="left" vertical="center" wrapText="1" indent="1"/>
    </xf>
    <xf numFmtId="0" fontId="124" fillId="0" borderId="169" xfId="0" applyFont="1" applyFill="1" applyBorder="1" applyAlignment="1">
      <alignment horizontal="left" vertical="center" wrapText="1"/>
    </xf>
    <xf numFmtId="0" fontId="124" fillId="0" borderId="169" xfId="0" applyFont="1" applyFill="1" applyBorder="1" applyAlignment="1">
      <alignment vertical="center" wrapText="1"/>
    </xf>
    <xf numFmtId="0" fontId="124" fillId="0" borderId="165" xfId="0" applyFont="1" applyFill="1" applyBorder="1" applyAlignment="1">
      <alignment horizontal="justify" vertical="center" wrapText="1"/>
    </xf>
    <xf numFmtId="0" fontId="123" fillId="0" borderId="165" xfId="0" applyFont="1" applyFill="1" applyBorder="1" applyAlignment="1">
      <alignment horizontal="left" vertical="center" wrapText="1" indent="1"/>
    </xf>
    <xf numFmtId="0" fontId="122" fillId="0" borderId="165" xfId="0" applyFont="1" applyFill="1" applyBorder="1" applyAlignment="1">
      <alignment horizontal="justify" vertical="center" wrapText="1"/>
    </xf>
    <xf numFmtId="0" fontId="124" fillId="3" borderId="165" xfId="0" applyFont="1" applyFill="1" applyBorder="1" applyAlignment="1">
      <alignment horizontal="justify" vertical="center" wrapText="1"/>
    </xf>
    <xf numFmtId="0" fontId="125" fillId="0" borderId="165" xfId="0" applyFont="1" applyFill="1" applyBorder="1" applyAlignment="1">
      <alignment horizontal="left" vertical="center" wrapText="1" indent="1"/>
    </xf>
    <xf numFmtId="0" fontId="124" fillId="0" borderId="165" xfId="0" applyFont="1" applyFill="1" applyBorder="1" applyAlignment="1">
      <alignment horizontal="left" vertical="center" wrapText="1"/>
    </xf>
    <xf numFmtId="0" fontId="122" fillId="0" borderId="165" xfId="0" applyFont="1" applyFill="1" applyBorder="1" applyAlignment="1">
      <alignment vertical="center" wrapText="1"/>
    </xf>
    <xf numFmtId="0" fontId="123" fillId="0" borderId="165" xfId="0" applyFont="1" applyFill="1" applyBorder="1" applyAlignment="1">
      <alignment horizontal="left" vertical="center" wrapText="1"/>
    </xf>
    <xf numFmtId="0" fontId="124" fillId="0" borderId="165" xfId="0" applyFont="1" applyFill="1" applyBorder="1" applyAlignment="1">
      <alignment vertical="center" wrapText="1"/>
    </xf>
    <xf numFmtId="0" fontId="124" fillId="3" borderId="183" xfId="0" applyFont="1" applyFill="1" applyBorder="1" applyAlignment="1">
      <alignment vertical="center" wrapText="1"/>
    </xf>
    <xf numFmtId="38" fontId="363" fillId="0" borderId="169" xfId="7" applyNumberFormat="1" applyFont="1" applyBorder="1"/>
    <xf numFmtId="38" fontId="363" fillId="35" borderId="169" xfId="7" applyNumberFormat="1" applyFont="1" applyFill="1" applyBorder="1"/>
    <xf numFmtId="38" fontId="0" fillId="0" borderId="169" xfId="7" applyNumberFormat="1" applyFont="1" applyBorder="1"/>
    <xf numFmtId="38" fontId="363" fillId="35" borderId="192" xfId="7" applyNumberFormat="1" applyFont="1" applyFill="1" applyBorder="1"/>
    <xf numFmtId="38" fontId="363" fillId="0" borderId="194" xfId="7" applyNumberFormat="1" applyFont="1" applyBorder="1"/>
    <xf numFmtId="38" fontId="363" fillId="35" borderId="194" xfId="7" applyNumberFormat="1" applyFont="1" applyFill="1" applyBorder="1"/>
    <xf numFmtId="38" fontId="363" fillId="35" borderId="195" xfId="7" applyNumberFormat="1" applyFont="1" applyFill="1" applyBorder="1"/>
    <xf numFmtId="0" fontId="0" fillId="0" borderId="61" xfId="0" applyBorder="1" applyAlignment="1">
      <alignment horizontal="center" vertical="center"/>
    </xf>
    <xf numFmtId="0" fontId="124" fillId="0" borderId="131" xfId="0" applyFont="1" applyFill="1" applyBorder="1" applyAlignment="1">
      <alignment horizontal="justify" vertical="center" wrapText="1"/>
    </xf>
    <xf numFmtId="38" fontId="363" fillId="0" borderId="5" xfId="7" applyNumberFormat="1" applyFont="1" applyBorder="1"/>
    <xf numFmtId="38" fontId="363" fillId="35" borderId="5" xfId="7" applyNumberFormat="1" applyFont="1" applyFill="1" applyBorder="1"/>
    <xf numFmtId="38" fontId="363" fillId="35" borderId="58" xfId="7" applyNumberFormat="1" applyFont="1" applyFill="1" applyBorder="1"/>
    <xf numFmtId="0" fontId="2" fillId="0" borderId="203" xfId="0" applyFont="1" applyFill="1" applyBorder="1" applyAlignment="1" applyProtection="1">
      <alignment horizontal="center" vertical="center" wrapText="1"/>
    </xf>
    <xf numFmtId="0" fontId="2" fillId="0" borderId="204" xfId="0" applyFont="1" applyFill="1" applyBorder="1" applyAlignment="1" applyProtection="1">
      <alignment horizontal="center" vertical="center" wrapText="1"/>
    </xf>
    <xf numFmtId="0" fontId="2" fillId="0" borderId="205" xfId="0" applyFont="1" applyFill="1" applyBorder="1" applyAlignment="1" applyProtection="1">
      <alignment horizontal="center" vertical="center" wrapText="1"/>
    </xf>
    <xf numFmtId="0" fontId="94" fillId="0" borderId="204" xfId="0" applyFont="1" applyFill="1" applyBorder="1" applyAlignment="1" applyProtection="1">
      <alignment horizontal="center" vertical="center" wrapText="1"/>
    </xf>
    <xf numFmtId="0" fontId="94" fillId="0" borderId="205" xfId="0" applyFont="1" applyFill="1" applyBorder="1" applyAlignment="1" applyProtection="1">
      <alignment horizontal="center" vertical="center" wrapText="1"/>
    </xf>
    <xf numFmtId="164" fontId="94" fillId="0" borderId="190" xfId="7" applyNumberFormat="1" applyFont="1" applyFill="1" applyBorder="1" applyAlignment="1" applyProtection="1">
      <alignment horizontal="right"/>
    </xf>
    <xf numFmtId="164" fontId="94" fillId="0" borderId="169" xfId="7" applyNumberFormat="1" applyFont="1" applyFill="1" applyBorder="1" applyAlignment="1" applyProtection="1">
      <alignment horizontal="right"/>
    </xf>
    <xf numFmtId="164" fontId="364" fillId="35" borderId="169" xfId="7" applyNumberFormat="1" applyFont="1" applyFill="1" applyBorder="1" applyAlignment="1" applyProtection="1">
      <alignment horizontal="right"/>
    </xf>
    <xf numFmtId="164" fontId="364" fillId="35" borderId="192" xfId="7" applyNumberFormat="1" applyFont="1" applyFill="1" applyBorder="1" applyAlignment="1" applyProtection="1">
      <alignment horizontal="right"/>
    </xf>
    <xf numFmtId="164" fontId="364" fillId="0" borderId="190" xfId="7" applyNumberFormat="1" applyFont="1" applyFill="1" applyBorder="1" applyAlignment="1" applyProtection="1">
      <alignment horizontal="right"/>
    </xf>
    <xf numFmtId="164" fontId="364" fillId="0" borderId="169" xfId="7" applyNumberFormat="1" applyFont="1" applyFill="1" applyBorder="1" applyAlignment="1" applyProtection="1">
      <alignment horizontal="right"/>
    </xf>
    <xf numFmtId="164" fontId="94" fillId="0" borderId="193" xfId="7" applyNumberFormat="1" applyFont="1" applyFill="1" applyBorder="1" applyAlignment="1" applyProtection="1">
      <alignment horizontal="right"/>
    </xf>
    <xf numFmtId="164" fontId="94" fillId="0" borderId="194" xfId="7" applyNumberFormat="1" applyFont="1" applyFill="1" applyBorder="1" applyAlignment="1" applyProtection="1">
      <alignment horizontal="right"/>
    </xf>
    <xf numFmtId="164" fontId="364" fillId="35" borderId="194" xfId="7" applyNumberFormat="1" applyFont="1" applyFill="1" applyBorder="1" applyAlignment="1" applyProtection="1">
      <alignment horizontal="right"/>
    </xf>
    <xf numFmtId="164" fontId="364" fillId="35" borderId="195" xfId="7" applyNumberFormat="1" applyFont="1" applyFill="1" applyBorder="1" applyAlignment="1" applyProtection="1">
      <alignment horizontal="right"/>
    </xf>
    <xf numFmtId="0" fontId="84" fillId="0" borderId="190" xfId="0" applyFont="1" applyBorder="1" applyAlignment="1">
      <alignment horizontal="center"/>
    </xf>
    <xf numFmtId="0" fontId="45" fillId="0" borderId="170" xfId="0" applyNumberFormat="1" applyFont="1" applyFill="1" applyBorder="1" applyAlignment="1">
      <alignment vertical="center" wrapText="1"/>
    </xf>
    <xf numFmtId="0" fontId="2" fillId="0" borderId="170" xfId="0" applyNumberFormat="1" applyFont="1" applyFill="1" applyBorder="1" applyAlignment="1">
      <alignment horizontal="left" vertical="center" wrapText="1" indent="4"/>
    </xf>
    <xf numFmtId="0" fontId="2" fillId="0" borderId="169" xfId="0" applyFont="1" applyFill="1" applyBorder="1" applyAlignment="1" applyProtection="1">
      <alignment horizontal="left" vertical="center" indent="11"/>
      <protection locked="0"/>
    </xf>
    <xf numFmtId="0" fontId="46" fillId="0" borderId="169" xfId="0" applyFont="1" applyFill="1" applyBorder="1" applyAlignment="1" applyProtection="1">
      <alignment horizontal="left" vertical="center" indent="17"/>
      <protection locked="0"/>
    </xf>
    <xf numFmtId="0" fontId="86" fillId="0" borderId="169" xfId="0" applyFont="1" applyBorder="1" applyAlignment="1">
      <alignment vertical="center"/>
    </xf>
    <xf numFmtId="0" fontId="45" fillId="0" borderId="169" xfId="0" applyNumberFormat="1" applyFont="1" applyFill="1" applyBorder="1" applyAlignment="1">
      <alignment vertical="center" wrapText="1"/>
    </xf>
    <xf numFmtId="0" fontId="2" fillId="0" borderId="170" xfId="0" applyNumberFormat="1" applyFont="1" applyFill="1" applyBorder="1" applyAlignment="1">
      <alignment horizontal="left" vertical="center" wrapText="1"/>
    </xf>
    <xf numFmtId="0" fontId="84" fillId="0" borderId="193" xfId="0" applyFont="1" applyBorder="1" applyAlignment="1">
      <alignment horizontal="center"/>
    </xf>
    <xf numFmtId="0" fontId="45" fillId="0" borderId="197" xfId="0" applyNumberFormat="1" applyFont="1" applyFill="1" applyBorder="1" applyAlignment="1">
      <alignment vertical="center" wrapText="1"/>
    </xf>
    <xf numFmtId="0" fontId="84" fillId="0" borderId="61" xfId="0" applyFont="1" applyBorder="1" applyAlignment="1">
      <alignment horizontal="center"/>
    </xf>
    <xf numFmtId="0" fontId="45" fillId="0" borderId="69" xfId="0" applyNumberFormat="1" applyFont="1" applyFill="1" applyBorder="1" applyAlignment="1">
      <alignment vertical="center" wrapText="1"/>
    </xf>
    <xf numFmtId="164" fontId="94" fillId="0" borderId="61" xfId="7" applyNumberFormat="1" applyFont="1" applyFill="1" applyBorder="1" applyAlignment="1" applyProtection="1">
      <alignment horizontal="right"/>
    </xf>
    <xf numFmtId="164" fontId="94" fillId="0" borderId="5" xfId="7" applyNumberFormat="1" applyFont="1" applyFill="1" applyBorder="1" applyAlignment="1" applyProtection="1">
      <alignment horizontal="right"/>
    </xf>
    <xf numFmtId="164" fontId="364" fillId="35" borderId="5" xfId="7" applyNumberFormat="1" applyFont="1" applyFill="1" applyBorder="1" applyAlignment="1" applyProtection="1">
      <alignment horizontal="right"/>
    </xf>
    <xf numFmtId="164" fontId="364" fillId="35" borderId="58" xfId="7" applyNumberFormat="1" applyFont="1" applyFill="1" applyBorder="1" applyAlignment="1" applyProtection="1">
      <alignment horizontal="right"/>
    </xf>
    <xf numFmtId="164" fontId="366" fillId="35" borderId="190" xfId="7" applyNumberFormat="1" applyFont="1" applyFill="1" applyBorder="1" applyAlignment="1">
      <alignment vertical="center" wrapText="1"/>
    </xf>
    <xf numFmtId="164" fontId="366" fillId="35" borderId="169" xfId="7" applyNumberFormat="1" applyFont="1" applyFill="1" applyBorder="1" applyAlignment="1">
      <alignment vertical="center" wrapText="1"/>
    </xf>
    <xf numFmtId="164" fontId="366" fillId="35" borderId="192" xfId="7" applyNumberFormat="1" applyFont="1" applyFill="1" applyBorder="1" applyAlignment="1">
      <alignment vertical="center" wrapText="1"/>
    </xf>
    <xf numFmtId="164" fontId="103" fillId="0" borderId="190" xfId="7" applyNumberFormat="1" applyFont="1" applyBorder="1" applyAlignment="1">
      <alignment vertical="center" wrapText="1"/>
    </xf>
    <xf numFmtId="164" fontId="103" fillId="0" borderId="169" xfId="7" applyNumberFormat="1" applyFont="1" applyBorder="1" applyAlignment="1">
      <alignment vertical="center" wrapText="1"/>
    </xf>
    <xf numFmtId="164" fontId="103" fillId="0" borderId="192" xfId="7" applyNumberFormat="1" applyFont="1" applyBorder="1" applyAlignment="1">
      <alignment vertical="center" wrapText="1"/>
    </xf>
    <xf numFmtId="164" fontId="103" fillId="0" borderId="190" xfId="7" applyNumberFormat="1" applyFont="1" applyFill="1" applyBorder="1" applyAlignment="1">
      <alignment vertical="center" wrapText="1"/>
    </xf>
    <xf numFmtId="164" fontId="103" fillId="0" borderId="169" xfId="7" applyNumberFormat="1" applyFont="1" applyFill="1" applyBorder="1" applyAlignment="1">
      <alignment vertical="center" wrapText="1"/>
    </xf>
    <xf numFmtId="164" fontId="103" fillId="0" borderId="192" xfId="7" applyNumberFormat="1" applyFont="1" applyFill="1" applyBorder="1" applyAlignment="1">
      <alignment vertical="center" wrapText="1"/>
    </xf>
    <xf numFmtId="164" fontId="367" fillId="35" borderId="193" xfId="7" applyNumberFormat="1" applyFont="1" applyFill="1" applyBorder="1" applyAlignment="1">
      <alignment vertical="center" wrapText="1"/>
    </xf>
    <xf numFmtId="164" fontId="367" fillId="35" borderId="194" xfId="7" applyNumberFormat="1" applyFont="1" applyFill="1" applyBorder="1" applyAlignment="1">
      <alignment vertical="center" wrapText="1"/>
    </xf>
    <xf numFmtId="164" fontId="367" fillId="35" borderId="195" xfId="7" applyNumberFormat="1" applyFont="1" applyFill="1" applyBorder="1" applyAlignment="1">
      <alignment vertical="center" wrapText="1"/>
    </xf>
    <xf numFmtId="0" fontId="368" fillId="0" borderId="13" xfId="0" applyNumberFormat="1" applyFont="1" applyFill="1" applyBorder="1" applyAlignment="1">
      <alignment horizontal="left" vertical="center" wrapText="1" indent="1"/>
    </xf>
    <xf numFmtId="0" fontId="368" fillId="0" borderId="14" xfId="0" applyNumberFormat="1" applyFont="1" applyFill="1" applyBorder="1" applyAlignment="1">
      <alignment horizontal="left" vertical="center" wrapText="1" indent="1"/>
    </xf>
    <xf numFmtId="9" fontId="84" fillId="0" borderId="17" xfId="20950" applyFont="1" applyBorder="1" applyAlignment="1"/>
    <xf numFmtId="10" fontId="84" fillId="0" borderId="17" xfId="20950" applyNumberFormat="1" applyFont="1" applyBorder="1" applyAlignment="1"/>
    <xf numFmtId="10" fontId="84" fillId="0" borderId="34" xfId="20950" applyNumberFormat="1" applyFont="1" applyBorder="1" applyAlignment="1"/>
    <xf numFmtId="0" fontId="2" fillId="0" borderId="187" xfId="11" applyFont="1" applyFill="1" applyBorder="1" applyAlignment="1" applyProtection="1">
      <alignment vertical="center"/>
    </xf>
    <xf numFmtId="0" fontId="2" fillId="0" borderId="188" xfId="11" applyFont="1" applyFill="1" applyBorder="1" applyAlignment="1" applyProtection="1">
      <alignment vertical="center"/>
    </xf>
    <xf numFmtId="0" fontId="45" fillId="0" borderId="188" xfId="11" applyFont="1" applyFill="1" applyBorder="1" applyAlignment="1" applyProtection="1">
      <alignment horizontal="center" vertical="center"/>
    </xf>
    <xf numFmtId="0" fontId="45" fillId="0" borderId="189" xfId="11" applyFont="1" applyFill="1" applyBorder="1" applyAlignment="1" applyProtection="1">
      <alignment horizontal="center" vertical="center"/>
    </xf>
    <xf numFmtId="0" fontId="84" fillId="0" borderId="190" xfId="0" applyFont="1" applyFill="1" applyBorder="1"/>
    <xf numFmtId="0" fontId="86" fillId="0" borderId="169" xfId="0" applyFont="1" applyFill="1" applyBorder="1" applyAlignment="1">
      <alignment horizontal="center" vertical="center" wrapText="1"/>
    </xf>
    <xf numFmtId="0" fontId="86" fillId="0" borderId="192" xfId="0" applyFont="1" applyFill="1" applyBorder="1" applyAlignment="1">
      <alignment horizontal="center" vertical="center" wrapText="1"/>
    </xf>
    <xf numFmtId="0" fontId="0" fillId="0" borderId="169" xfId="0" applyBorder="1" applyAlignment="1">
      <alignment horizontal="center"/>
    </xf>
    <xf numFmtId="0" fontId="122" fillId="3" borderId="169" xfId="20954" applyFont="1" applyFill="1" applyBorder="1" applyAlignment="1">
      <alignment horizontal="left" vertical="center" wrapText="1"/>
    </xf>
    <xf numFmtId="0" fontId="123" fillId="0" borderId="169" xfId="20954" applyFont="1" applyFill="1" applyBorder="1" applyAlignment="1">
      <alignment horizontal="left" vertical="center" wrapText="1" indent="1"/>
    </xf>
    <xf numFmtId="0" fontId="123" fillId="3" borderId="169" xfId="20954" applyFont="1" applyFill="1" applyBorder="1" applyAlignment="1">
      <alignment horizontal="left" vertical="center" wrapText="1" indent="1"/>
    </xf>
    <xf numFmtId="0" fontId="125" fillId="0" borderId="169" xfId="20954" applyFont="1" applyFill="1" applyBorder="1" applyAlignment="1">
      <alignment horizontal="left" vertical="center" wrapText="1" indent="1"/>
    </xf>
    <xf numFmtId="0" fontId="84" fillId="0" borderId="193" xfId="0" applyFont="1" applyBorder="1"/>
    <xf numFmtId="191" fontId="86" fillId="35" borderId="194" xfId="0" applyNumberFormat="1" applyFont="1" applyFill="1" applyBorder="1" applyAlignment="1">
      <alignment horizontal="left" vertical="center" wrapText="1"/>
    </xf>
    <xf numFmtId="164" fontId="365" fillId="0" borderId="169" xfId="7" applyNumberFormat="1" applyFont="1" applyFill="1" applyBorder="1" applyAlignment="1">
      <alignment horizontal="center" vertical="center"/>
    </xf>
    <xf numFmtId="164" fontId="84" fillId="0" borderId="169" xfId="7" applyNumberFormat="1" applyFont="1" applyFill="1" applyBorder="1" applyAlignment="1">
      <alignment horizontal="center" vertical="center"/>
    </xf>
    <xf numFmtId="164" fontId="365" fillId="0" borderId="192" xfId="7" applyNumberFormat="1" applyFont="1" applyFill="1" applyBorder="1" applyAlignment="1">
      <alignment horizontal="center" vertical="center"/>
    </xf>
    <xf numFmtId="164" fontId="84" fillId="0" borderId="192" xfId="7" applyNumberFormat="1" applyFont="1" applyFill="1" applyBorder="1" applyAlignment="1">
      <alignment horizontal="center" vertical="center"/>
    </xf>
    <xf numFmtId="164" fontId="86" fillId="35" borderId="194" xfId="0" applyNumberFormat="1" applyFont="1" applyFill="1" applyBorder="1" applyAlignment="1">
      <alignment horizontal="center" vertical="center"/>
    </xf>
    <xf numFmtId="164" fontId="86" fillId="35" borderId="195" xfId="0" applyNumberFormat="1" applyFont="1" applyFill="1" applyBorder="1" applyAlignment="1">
      <alignment horizontal="center" vertical="center"/>
    </xf>
    <xf numFmtId="0" fontId="124" fillId="3" borderId="169" xfId="0" applyFont="1" applyFill="1" applyBorder="1" applyAlignment="1">
      <alignment horizontal="left" vertical="center" wrapText="1"/>
    </xf>
    <xf numFmtId="0" fontId="122" fillId="0" borderId="169" xfId="0" applyFont="1" applyFill="1" applyBorder="1" applyAlignment="1">
      <alignment horizontal="left" vertical="center" wrapText="1"/>
    </xf>
    <xf numFmtId="0" fontId="125" fillId="3" borderId="169" xfId="0" applyFont="1" applyFill="1" applyBorder="1" applyAlignment="1">
      <alignment horizontal="left" vertical="center" wrapText="1" indent="1"/>
    </xf>
    <xf numFmtId="191" fontId="365" fillId="35" borderId="14" xfId="0" applyNumberFormat="1" applyFont="1" applyFill="1" applyBorder="1" applyAlignment="1">
      <alignment horizontal="center" vertical="center"/>
    </xf>
    <xf numFmtId="191" fontId="365" fillId="35" borderId="16" xfId="0" applyNumberFormat="1" applyFont="1" applyFill="1" applyBorder="1" applyAlignment="1">
      <alignment horizontal="center" vertical="center" wrapText="1"/>
    </xf>
    <xf numFmtId="191" fontId="365" fillId="35" borderId="20" xfId="0" applyNumberFormat="1" applyFont="1" applyFill="1" applyBorder="1" applyAlignment="1">
      <alignment horizontal="center" vertical="center" wrapText="1"/>
    </xf>
    <xf numFmtId="191" fontId="368" fillId="35" borderId="192" xfId="2" applyNumberFormat="1" applyFont="1" applyFill="1" applyBorder="1" applyAlignment="1" applyProtection="1">
      <alignment vertical="top"/>
    </xf>
    <xf numFmtId="191" fontId="2" fillId="3" borderId="192" xfId="2" applyNumberFormat="1" applyFont="1" applyFill="1" applyBorder="1" applyAlignment="1" applyProtection="1">
      <alignment vertical="top"/>
      <protection locked="0"/>
    </xf>
    <xf numFmtId="191" fontId="2" fillId="35" borderId="192" xfId="2" applyNumberFormat="1" applyFont="1" applyFill="1" applyBorder="1" applyAlignment="1" applyProtection="1">
      <alignment vertical="top" wrapText="1"/>
    </xf>
    <xf numFmtId="191" fontId="2" fillId="3" borderId="192" xfId="2" applyNumberFormat="1" applyFont="1" applyFill="1" applyBorder="1" applyAlignment="1" applyProtection="1">
      <alignment vertical="top" wrapText="1"/>
      <protection locked="0"/>
    </xf>
    <xf numFmtId="191" fontId="368" fillId="35" borderId="192" xfId="2" applyNumberFormat="1" applyFont="1" applyFill="1" applyBorder="1" applyAlignment="1" applyProtection="1">
      <alignment vertical="top" wrapText="1"/>
    </xf>
    <xf numFmtId="191" fontId="2" fillId="35" borderId="192" xfId="2" applyNumberFormat="1" applyFont="1" applyFill="1" applyBorder="1" applyAlignment="1" applyProtection="1">
      <alignment vertical="top" wrapText="1"/>
      <protection locked="0"/>
    </xf>
    <xf numFmtId="191" fontId="2" fillId="35" borderId="195" xfId="2" applyNumberFormat="1" applyFont="1" applyFill="1" applyBorder="1" applyAlignment="1" applyProtection="1">
      <alignment vertical="top" wrapText="1"/>
    </xf>
    <xf numFmtId="164" fontId="3" fillId="0" borderId="74" xfId="7" applyNumberFormat="1" applyFont="1" applyFill="1" applyBorder="1" applyAlignment="1">
      <alignment horizontal="right" vertical="center" wrapText="1"/>
    </xf>
    <xf numFmtId="164" fontId="4" fillId="35" borderId="74" xfId="7" applyNumberFormat="1" applyFont="1" applyFill="1" applyBorder="1" applyAlignment="1">
      <alignment horizontal="left" vertical="center" wrapText="1"/>
    </xf>
    <xf numFmtId="164" fontId="4" fillId="35" borderId="74" xfId="7" applyNumberFormat="1" applyFont="1" applyFill="1" applyBorder="1" applyAlignment="1">
      <alignment horizontal="center" vertical="center" wrapText="1"/>
    </xf>
    <xf numFmtId="164" fontId="3" fillId="0" borderId="20" xfId="7" applyNumberFormat="1" applyFont="1" applyFill="1" applyBorder="1" applyAlignment="1">
      <alignment horizontal="right" vertical="center" wrapText="1"/>
    </xf>
    <xf numFmtId="0" fontId="4" fillId="83" borderId="169" xfId="0" applyFont="1" applyFill="1" applyBorder="1" applyAlignment="1" applyProtection="1">
      <alignment vertical="center" wrapText="1"/>
    </xf>
    <xf numFmtId="0" fontId="136" fillId="81" borderId="169" xfId="0" applyFont="1" applyFill="1" applyBorder="1" applyAlignment="1">
      <alignment horizontal="left" vertical="center" wrapText="1" indent="3"/>
    </xf>
    <xf numFmtId="0" fontId="142" fillId="81" borderId="169" xfId="0" applyFont="1" applyFill="1" applyBorder="1" applyAlignment="1">
      <alignment horizontal="left" vertical="center" wrapText="1" indent="5"/>
    </xf>
    <xf numFmtId="0" fontId="143" fillId="80" borderId="169" xfId="0" applyFont="1" applyFill="1" applyBorder="1" applyAlignment="1" applyProtection="1">
      <alignment horizontal="left" vertical="center" wrapText="1" indent="1"/>
    </xf>
    <xf numFmtId="0" fontId="142" fillId="81" borderId="194" xfId="0" applyFont="1" applyFill="1" applyBorder="1" applyAlignment="1">
      <alignment horizontal="left" vertical="center" wrapText="1" indent="5"/>
    </xf>
    <xf numFmtId="0" fontId="0" fillId="0" borderId="190" xfId="0" applyBorder="1" applyAlignment="1">
      <alignment horizontal="center"/>
    </xf>
    <xf numFmtId="191" fontId="86" fillId="0" borderId="208" xfId="0" applyNumberFormat="1" applyFont="1" applyFill="1" applyBorder="1" applyAlignment="1">
      <alignment horizontal="center" vertical="center"/>
    </xf>
    <xf numFmtId="167" fontId="86" fillId="0" borderId="209" xfId="0" applyNumberFormat="1" applyFont="1" applyFill="1" applyBorder="1" applyAlignment="1">
      <alignment horizontal="center"/>
    </xf>
    <xf numFmtId="0" fontId="126" fillId="0" borderId="169" xfId="20954" applyFont="1" applyFill="1" applyBorder="1" applyAlignment="1">
      <alignment horizontal="center" vertical="center" wrapText="1"/>
    </xf>
    <xf numFmtId="0" fontId="123" fillId="3" borderId="169" xfId="0" applyFont="1" applyFill="1" applyBorder="1" applyAlignment="1">
      <alignment horizontal="left" vertical="center" wrapText="1" indent="1"/>
    </xf>
    <xf numFmtId="167" fontId="84" fillId="0" borderId="192" xfId="0" applyNumberFormat="1" applyFont="1" applyBorder="1" applyAlignment="1">
      <alignment horizontal="center"/>
    </xf>
    <xf numFmtId="0" fontId="124" fillId="0" borderId="169" xfId="0" applyFont="1" applyBorder="1" applyAlignment="1">
      <alignment horizontal="left" vertical="center" wrapText="1"/>
    </xf>
    <xf numFmtId="167" fontId="86" fillId="0" borderId="192" xfId="0" applyNumberFormat="1" applyFont="1" applyFill="1" applyBorder="1" applyAlignment="1">
      <alignment horizontal="center"/>
    </xf>
    <xf numFmtId="0" fontId="84" fillId="0" borderId="169" xfId="0" applyFont="1" applyBorder="1" applyAlignment="1">
      <alignment horizontal="center"/>
    </xf>
    <xf numFmtId="0" fontId="84" fillId="0" borderId="192" xfId="0" applyFont="1" applyBorder="1"/>
    <xf numFmtId="0" fontId="123" fillId="0" borderId="169" xfId="0" applyFont="1" applyBorder="1" applyAlignment="1">
      <alignment horizontal="left" vertical="center" wrapText="1" indent="1"/>
    </xf>
    <xf numFmtId="0" fontId="124" fillId="0" borderId="169" xfId="20954" applyFont="1" applyFill="1" applyBorder="1" applyAlignment="1">
      <alignment horizontal="left" vertical="center" wrapText="1"/>
    </xf>
    <xf numFmtId="0" fontId="84" fillId="0" borderId="169" xfId="0" applyFont="1" applyBorder="1"/>
    <xf numFmtId="0" fontId="124" fillId="3" borderId="169" xfId="20954" applyFont="1" applyFill="1" applyBorder="1" applyAlignment="1">
      <alignment horizontal="left" vertical="center" wrapText="1"/>
    </xf>
    <xf numFmtId="0" fontId="127" fillId="0" borderId="169" xfId="0" applyFont="1" applyBorder="1" applyAlignment="1">
      <alignment horizontal="justify"/>
    </xf>
    <xf numFmtId="0" fontId="0" fillId="0" borderId="193" xfId="0" applyBorder="1" applyAlignment="1">
      <alignment horizontal="center"/>
    </xf>
    <xf numFmtId="0" fontId="124" fillId="0" borderId="194" xfId="0" applyFont="1" applyFill="1" applyBorder="1" applyAlignment="1">
      <alignment horizontal="left" vertical="center" wrapText="1"/>
    </xf>
    <xf numFmtId="0" fontId="84" fillId="0" borderId="195" xfId="0" applyFont="1" applyBorder="1"/>
    <xf numFmtId="0" fontId="0" fillId="0" borderId="61" xfId="0" applyBorder="1" applyAlignment="1">
      <alignment horizontal="center"/>
    </xf>
    <xf numFmtId="0" fontId="122" fillId="3" borderId="5" xfId="20954" applyFont="1" applyFill="1" applyBorder="1" applyAlignment="1">
      <alignment horizontal="left" vertical="center" wrapText="1"/>
    </xf>
    <xf numFmtId="167" fontId="84" fillId="0" borderId="52" xfId="0" applyNumberFormat="1" applyFont="1" applyBorder="1" applyAlignment="1">
      <alignment horizontal="center"/>
    </xf>
    <xf numFmtId="0" fontId="84" fillId="0" borderId="210" xfId="0" applyFont="1" applyFill="1" applyBorder="1" applyAlignment="1">
      <alignment horizontal="center" vertical="center" wrapText="1"/>
    </xf>
    <xf numFmtId="0" fontId="86" fillId="0" borderId="211" xfId="0" applyFont="1" applyFill="1" applyBorder="1" applyAlignment="1">
      <alignment horizontal="center" vertical="center" wrapText="1"/>
    </xf>
    <xf numFmtId="0" fontId="84" fillId="0" borderId="212" xfId="0" applyFont="1" applyFill="1" applyBorder="1" applyAlignment="1">
      <alignment horizontal="center" vertical="center" wrapText="1"/>
    </xf>
    <xf numFmtId="0" fontId="84" fillId="0" borderId="206" xfId="0" applyFont="1" applyFill="1" applyBorder="1" applyAlignment="1">
      <alignment horizontal="center" vertical="center" wrapText="1"/>
    </xf>
    <xf numFmtId="191" fontId="365" fillId="0" borderId="11" xfId="0" applyNumberFormat="1" applyFont="1" applyBorder="1" applyAlignment="1">
      <alignment horizontal="center" vertical="center"/>
    </xf>
    <xf numFmtId="191" fontId="369" fillId="0" borderId="9" xfId="0" applyNumberFormat="1" applyFont="1" applyFill="1" applyBorder="1" applyAlignment="1">
      <alignment horizontal="center" vertical="center"/>
    </xf>
    <xf numFmtId="191" fontId="365" fillId="0" borderId="9" xfId="0" applyNumberFormat="1" applyFont="1" applyFill="1" applyBorder="1" applyAlignment="1">
      <alignment horizontal="center" vertical="center"/>
    </xf>
    <xf numFmtId="191" fontId="370" fillId="0" borderId="9" xfId="0" applyNumberFormat="1" applyFont="1" applyFill="1" applyBorder="1" applyAlignment="1">
      <alignment horizontal="center" vertical="center"/>
    </xf>
    <xf numFmtId="167" fontId="371" fillId="79" borderId="52" xfId="0" applyNumberFormat="1" applyFont="1" applyFill="1" applyBorder="1" applyAlignment="1">
      <alignment horizontal="center"/>
    </xf>
    <xf numFmtId="191" fontId="365" fillId="0" borderId="213" xfId="0" applyNumberFormat="1" applyFont="1" applyBorder="1" applyAlignment="1">
      <alignment horizontal="center" vertical="center"/>
    </xf>
    <xf numFmtId="191" fontId="365" fillId="0" borderId="9" xfId="0" applyNumberFormat="1" applyFont="1" applyBorder="1" applyAlignment="1">
      <alignment horizontal="center" vertical="center"/>
    </xf>
    <xf numFmtId="191" fontId="365" fillId="0" borderId="10" xfId="0" applyNumberFormat="1" applyFont="1" applyBorder="1" applyAlignment="1">
      <alignment horizontal="center" vertical="center"/>
    </xf>
    <xf numFmtId="0" fontId="365" fillId="0" borderId="169" xfId="0" applyFont="1" applyBorder="1" applyAlignment="1">
      <alignment horizontal="center"/>
    </xf>
    <xf numFmtId="191" fontId="365" fillId="0" borderId="214" xfId="0" applyNumberFormat="1" applyFont="1" applyBorder="1" applyAlignment="1">
      <alignment horizontal="center" vertical="center"/>
    </xf>
    <xf numFmtId="0" fontId="84" fillId="0" borderId="61" xfId="0" applyFont="1" applyBorder="1" applyAlignment="1">
      <alignment vertical="center"/>
    </xf>
    <xf numFmtId="0" fontId="2" fillId="3" borderId="5" xfId="11" applyFont="1" applyFill="1" applyBorder="1" applyAlignment="1">
      <alignment horizontal="left" vertical="center" wrapText="1"/>
    </xf>
    <xf numFmtId="191" fontId="84" fillId="0" borderId="5" xfId="0" applyNumberFormat="1" applyFont="1" applyBorder="1" applyAlignment="1"/>
    <xf numFmtId="0" fontId="3" fillId="0" borderId="215" xfId="0" applyFont="1" applyBorder="1"/>
    <xf numFmtId="0" fontId="3" fillId="0" borderId="188" xfId="0" applyFont="1" applyBorder="1" applyAlignment="1">
      <alignment horizontal="center" vertical="center"/>
    </xf>
    <xf numFmtId="0" fontId="3" fillId="0" borderId="182" xfId="0" applyFont="1" applyBorder="1" applyAlignment="1">
      <alignment horizontal="center" vertical="center"/>
    </xf>
    <xf numFmtId="0" fontId="3" fillId="0" borderId="189" xfId="0" applyFont="1" applyBorder="1" applyAlignment="1">
      <alignment horizontal="center" vertical="center"/>
    </xf>
    <xf numFmtId="0" fontId="3" fillId="0" borderId="216" xfId="0" applyFont="1" applyBorder="1"/>
    <xf numFmtId="0" fontId="84" fillId="0" borderId="204" xfId="0" applyFont="1" applyBorder="1" applyAlignment="1">
      <alignment horizontal="center" vertical="center" wrapText="1"/>
    </xf>
    <xf numFmtId="0" fontId="84" fillId="0" borderId="79" xfId="0" applyFont="1" applyBorder="1" applyAlignment="1">
      <alignment vertical="center"/>
    </xf>
    <xf numFmtId="0" fontId="2" fillId="3" borderId="176" xfId="11" applyFont="1" applyFill="1" applyBorder="1" applyAlignment="1">
      <alignment horizontal="left" vertical="center" wrapText="1"/>
    </xf>
    <xf numFmtId="191" fontId="84" fillId="0" borderId="176" xfId="0" applyNumberFormat="1" applyFont="1" applyBorder="1" applyAlignment="1"/>
    <xf numFmtId="0" fontId="2" fillId="3" borderId="200" xfId="9" applyFont="1" applyFill="1" applyBorder="1" applyAlignment="1" applyProtection="1">
      <alignment horizontal="left" vertical="center"/>
      <protection locked="0"/>
    </xf>
    <xf numFmtId="0" fontId="45" fillId="3" borderId="199" xfId="16" applyFont="1" applyFill="1" applyBorder="1" applyAlignment="1" applyProtection="1">
      <protection locked="0"/>
    </xf>
    <xf numFmtId="191" fontId="365" fillId="35" borderId="199" xfId="0" applyNumberFormat="1" applyFont="1" applyFill="1" applyBorder="1"/>
    <xf numFmtId="167" fontId="365" fillId="0" borderId="58" xfId="0" applyNumberFormat="1" applyFont="1" applyBorder="1" applyAlignment="1"/>
    <xf numFmtId="167" fontId="365" fillId="0" borderId="192" xfId="0" applyNumberFormat="1" applyFont="1" applyBorder="1" applyAlignment="1"/>
    <xf numFmtId="167" fontId="365" fillId="0" borderId="81" xfId="0" applyNumberFormat="1" applyFont="1" applyBorder="1" applyAlignment="1"/>
    <xf numFmtId="167" fontId="365" fillId="35" borderId="219" xfId="0" applyNumberFormat="1" applyFont="1" applyFill="1" applyBorder="1"/>
    <xf numFmtId="191" fontId="372" fillId="35" borderId="19" xfId="0" applyNumberFormat="1" applyFont="1" applyFill="1" applyBorder="1"/>
    <xf numFmtId="9" fontId="372" fillId="35" borderId="20" xfId="20950" applyFont="1" applyFill="1" applyBorder="1"/>
    <xf numFmtId="9" fontId="372" fillId="0" borderId="16" xfId="20950" applyFont="1" applyBorder="1"/>
    <xf numFmtId="0" fontId="3" fillId="3" borderId="196" xfId="0" applyFont="1" applyFill="1" applyBorder="1" applyAlignment="1">
      <alignment vertical="center"/>
    </xf>
    <xf numFmtId="0" fontId="3" fillId="3" borderId="171" xfId="0" applyFont="1" applyFill="1" applyBorder="1" applyAlignment="1">
      <alignment vertical="center"/>
    </xf>
    <xf numFmtId="361" fontId="3" fillId="0" borderId="196" xfId="7" applyNumberFormat="1" applyFont="1" applyFill="1" applyBorder="1" applyAlignment="1">
      <alignment vertical="center"/>
    </xf>
    <xf numFmtId="361" fontId="3" fillId="0" borderId="131" xfId="7" applyNumberFormat="1" applyFont="1" applyFill="1" applyBorder="1" applyAlignment="1">
      <alignment vertical="center"/>
    </xf>
    <xf numFmtId="361" fontId="4" fillId="0" borderId="192" xfId="7" applyNumberFormat="1" applyFont="1" applyFill="1" applyBorder="1" applyAlignment="1">
      <alignment vertical="center"/>
    </xf>
    <xf numFmtId="361" fontId="3" fillId="0" borderId="171" xfId="7" applyNumberFormat="1" applyFont="1" applyFill="1" applyBorder="1" applyAlignment="1">
      <alignment vertical="center"/>
    </xf>
    <xf numFmtId="361" fontId="3" fillId="0" borderId="169" xfId="7" applyNumberFormat="1" applyFont="1" applyFill="1" applyBorder="1" applyAlignment="1">
      <alignment vertical="center"/>
    </xf>
    <xf numFmtId="361" fontId="3" fillId="0" borderId="190" xfId="7" applyNumberFormat="1" applyFont="1" applyFill="1" applyBorder="1" applyAlignment="1">
      <alignment vertical="center"/>
    </xf>
    <xf numFmtId="0" fontId="3" fillId="0" borderId="190" xfId="0" applyFont="1" applyFill="1" applyBorder="1" applyAlignment="1">
      <alignment vertical="center"/>
    </xf>
    <xf numFmtId="0" fontId="3" fillId="0" borderId="165" xfId="0" applyFont="1" applyFill="1" applyBorder="1" applyAlignment="1">
      <alignment vertical="center"/>
    </xf>
    <xf numFmtId="0" fontId="3" fillId="0" borderId="170" xfId="0" applyFont="1" applyFill="1" applyBorder="1" applyAlignment="1">
      <alignment vertical="center"/>
    </xf>
    <xf numFmtId="361" fontId="4" fillId="0" borderId="190" xfId="0" applyNumberFormat="1" applyFont="1" applyFill="1" applyBorder="1" applyAlignment="1">
      <alignment vertical="center"/>
    </xf>
    <xf numFmtId="361" fontId="4" fillId="0" borderId="171" xfId="0" applyNumberFormat="1" applyFont="1" applyFill="1" applyBorder="1" applyAlignment="1">
      <alignment vertical="center"/>
    </xf>
    <xf numFmtId="361" fontId="4" fillId="0" borderId="196" xfId="0" applyNumberFormat="1" applyFont="1" applyFill="1" applyBorder="1" applyAlignment="1">
      <alignment vertical="center"/>
    </xf>
    <xf numFmtId="361" fontId="4" fillId="0" borderId="169" xfId="0" applyNumberFormat="1" applyFont="1" applyFill="1" applyBorder="1" applyAlignment="1">
      <alignment vertical="center"/>
    </xf>
    <xf numFmtId="361" fontId="3" fillId="0" borderId="165" xfId="7" applyNumberFormat="1" applyFont="1" applyFill="1" applyBorder="1" applyAlignment="1">
      <alignment vertical="center"/>
    </xf>
    <xf numFmtId="361" fontId="3" fillId="0" borderId="170" xfId="7" applyNumberFormat="1" applyFont="1" applyFill="1" applyBorder="1" applyAlignment="1">
      <alignment vertical="center"/>
    </xf>
    <xf numFmtId="361" fontId="4" fillId="0" borderId="193" xfId="0" applyNumberFormat="1" applyFont="1" applyFill="1" applyBorder="1" applyAlignment="1">
      <alignment vertical="center"/>
    </xf>
    <xf numFmtId="361" fontId="4" fillId="0" borderId="220" xfId="0" applyNumberFormat="1" applyFont="1" applyFill="1" applyBorder="1" applyAlignment="1">
      <alignment vertical="center"/>
    </xf>
    <xf numFmtId="361" fontId="4" fillId="0" borderId="195" xfId="7" applyNumberFormat="1" applyFont="1" applyFill="1" applyBorder="1" applyAlignment="1">
      <alignment vertical="center"/>
    </xf>
    <xf numFmtId="361" fontId="4" fillId="0" borderId="221" xfId="0" applyNumberFormat="1" applyFont="1" applyFill="1" applyBorder="1" applyAlignment="1">
      <alignment vertical="center"/>
    </xf>
    <xf numFmtId="361" fontId="4" fillId="0" borderId="194" xfId="0" applyNumberFormat="1" applyFont="1" applyFill="1" applyBorder="1" applyAlignment="1">
      <alignment vertical="center"/>
    </xf>
    <xf numFmtId="169" fontId="9" fillId="36" borderId="222" xfId="20" applyBorder="1"/>
    <xf numFmtId="361" fontId="3" fillId="0" borderId="224" xfId="7" applyNumberFormat="1" applyFont="1" applyFill="1" applyBorder="1" applyAlignment="1">
      <alignment vertical="center"/>
    </xf>
    <xf numFmtId="361" fontId="3" fillId="0" borderId="182" xfId="7" applyNumberFormat="1" applyFont="1" applyFill="1" applyBorder="1" applyAlignment="1">
      <alignment vertical="center"/>
    </xf>
    <xf numFmtId="361" fontId="4" fillId="0" borderId="189" xfId="7" applyNumberFormat="1" applyFont="1" applyFill="1" applyBorder="1" applyAlignment="1">
      <alignment vertical="center"/>
    </xf>
    <xf numFmtId="169" fontId="9" fillId="36" borderId="183" xfId="20" applyBorder="1"/>
    <xf numFmtId="169" fontId="9" fillId="36" borderId="220" xfId="20" applyBorder="1"/>
    <xf numFmtId="169" fontId="9" fillId="36" borderId="197" xfId="20" applyBorder="1"/>
    <xf numFmtId="43" fontId="3" fillId="0" borderId="72" xfId="0" applyNumberFormat="1" applyFont="1" applyFill="1" applyBorder="1" applyAlignment="1">
      <alignment vertical="center"/>
    </xf>
    <xf numFmtId="164" fontId="3" fillId="0" borderId="194" xfId="0" applyNumberFormat="1" applyFont="1" applyFill="1" applyBorder="1" applyAlignment="1">
      <alignment vertical="center"/>
    </xf>
    <xf numFmtId="361" fontId="4" fillId="0" borderId="81" xfId="7" applyNumberFormat="1" applyFont="1" applyFill="1" applyBorder="1" applyAlignment="1">
      <alignment vertical="center"/>
    </xf>
    <xf numFmtId="169" fontId="9" fillId="36" borderId="185" xfId="20" applyBorder="1"/>
    <xf numFmtId="10" fontId="4" fillId="0" borderId="184" xfId="20950" applyNumberFormat="1" applyFont="1" applyFill="1" applyBorder="1" applyAlignment="1">
      <alignment vertical="center"/>
    </xf>
    <xf numFmtId="10" fontId="4" fillId="0" borderId="225" xfId="20950" applyNumberFormat="1" applyFont="1" applyFill="1" applyBorder="1" applyAlignment="1">
      <alignment vertical="center"/>
    </xf>
    <xf numFmtId="10" fontId="4" fillId="0" borderId="219" xfId="20950" applyNumberFormat="1" applyFont="1" applyFill="1" applyBorder="1" applyAlignment="1">
      <alignment vertical="center"/>
    </xf>
    <xf numFmtId="0" fontId="99" fillId="3" borderId="57" xfId="0" applyFont="1" applyFill="1" applyBorder="1" applyAlignment="1">
      <alignment horizontal="left"/>
    </xf>
    <xf numFmtId="0" fontId="99" fillId="3" borderId="0" xfId="0" applyFont="1" applyFill="1" applyBorder="1" applyAlignment="1">
      <alignment horizontal="left"/>
    </xf>
    <xf numFmtId="0" fontId="45" fillId="0" borderId="61" xfId="0" applyFont="1" applyFill="1" applyBorder="1" applyAlignment="1">
      <alignment horizontal="center" vertical="center" wrapText="1"/>
    </xf>
    <xf numFmtId="0" fontId="45" fillId="0" borderId="5" xfId="0" applyFont="1" applyFill="1" applyBorder="1" applyAlignment="1">
      <alignment horizontal="center" vertical="center" wrapText="1"/>
    </xf>
    <xf numFmtId="0" fontId="45" fillId="0" borderId="58" xfId="0" applyFont="1" applyFill="1" applyBorder="1" applyAlignment="1">
      <alignment horizontal="center" vertical="center" wrapText="1"/>
    </xf>
    <xf numFmtId="0" fontId="45" fillId="0" borderId="69" xfId="0" applyFont="1" applyFill="1" applyBorder="1" applyAlignment="1">
      <alignment horizontal="center" vertical="center" wrapText="1"/>
    </xf>
    <xf numFmtId="0" fontId="45" fillId="0" borderId="229" xfId="0" applyFont="1" applyFill="1" applyBorder="1" applyAlignment="1">
      <alignment horizontal="center" vertical="center" wrapText="1"/>
    </xf>
    <xf numFmtId="0" fontId="131" fillId="3" borderId="12" xfId="5" applyFont="1" applyFill="1" applyBorder="1" applyAlignment="1" applyProtection="1">
      <alignment vertical="center" wrapText="1"/>
      <protection locked="0"/>
    </xf>
    <xf numFmtId="0" fontId="131" fillId="0" borderId="13" xfId="37365" applyFont="1" applyFill="1" applyBorder="1" applyAlignment="1" applyProtection="1">
      <alignment horizontal="center" vertical="center" wrapText="1"/>
      <protection locked="0"/>
    </xf>
    <xf numFmtId="3" fontId="131" fillId="3" borderId="13" xfId="1" applyNumberFormat="1" applyFont="1" applyFill="1" applyBorder="1" applyAlignment="1" applyProtection="1">
      <alignment horizontal="center" vertical="center" wrapText="1"/>
      <protection locked="0"/>
    </xf>
    <xf numFmtId="9" fontId="131" fillId="3" borderId="13" xfId="15" applyNumberFormat="1" applyFont="1" applyFill="1" applyBorder="1" applyAlignment="1" applyProtection="1">
      <alignment horizontal="center" vertical="center" wrapText="1"/>
      <protection locked="0"/>
    </xf>
    <xf numFmtId="0" fontId="131" fillId="3" borderId="14" xfId="37365" applyFont="1" applyFill="1" applyBorder="1" applyAlignment="1" applyProtection="1">
      <alignment horizontal="center" vertical="center" wrapText="1"/>
      <protection locked="0"/>
    </xf>
    <xf numFmtId="0" fontId="354" fillId="3" borderId="190" xfId="37365" applyFont="1" applyFill="1" applyBorder="1" applyAlignment="1" applyProtection="1">
      <protection locked="0"/>
    </xf>
    <xf numFmtId="3" fontId="131" fillId="151" borderId="192" xfId="5" applyNumberFormat="1" applyFont="1" applyFill="1" applyBorder="1" applyAlignment="1" applyProtection="1"/>
    <xf numFmtId="0" fontId="355" fillId="3" borderId="190" xfId="37365" applyFont="1" applyFill="1" applyBorder="1" applyAlignment="1" applyProtection="1">
      <alignment horizontal="right"/>
      <protection locked="0"/>
    </xf>
    <xf numFmtId="0" fontId="131" fillId="3" borderId="190" xfId="37365" applyFont="1" applyFill="1" applyBorder="1" applyAlignment="1" applyProtection="1">
      <alignment horizontal="left" vertical="center"/>
      <protection locked="0"/>
    </xf>
    <xf numFmtId="0" fontId="356" fillId="3" borderId="190" xfId="37365" applyFont="1" applyFill="1" applyBorder="1" applyAlignment="1" applyProtection="1">
      <alignment horizontal="right"/>
      <protection locked="0"/>
    </xf>
    <xf numFmtId="0" fontId="131" fillId="0" borderId="190" xfId="37365" applyFont="1" applyFill="1" applyBorder="1" applyAlignment="1" applyProtection="1">
      <alignment horizontal="left" vertical="center"/>
      <protection locked="0"/>
    </xf>
    <xf numFmtId="0" fontId="354" fillId="3" borderId="193" xfId="16" applyFont="1" applyFill="1" applyBorder="1" applyAlignment="1" applyProtection="1">
      <protection locked="0"/>
    </xf>
    <xf numFmtId="3" fontId="354" fillId="75" borderId="194" xfId="16" applyNumberFormat="1" applyFont="1" applyFill="1" applyBorder="1" applyAlignment="1" applyProtection="1"/>
    <xf numFmtId="359" fontId="131" fillId="151" borderId="194" xfId="5" applyNumberFormat="1" applyFont="1" applyFill="1" applyBorder="1" applyAlignment="1" applyProtection="1">
      <protection locked="0"/>
    </xf>
    <xf numFmtId="164" fontId="131" fillId="151" borderId="194" xfId="1" applyNumberFormat="1" applyFont="1" applyFill="1" applyBorder="1" applyAlignment="1" applyProtection="1"/>
    <xf numFmtId="3" fontId="354" fillId="75" borderId="195" xfId="16" applyNumberFormat="1" applyFont="1" applyFill="1" applyBorder="1" applyAlignment="1" applyProtection="1"/>
    <xf numFmtId="0" fontId="120" fillId="75" borderId="63" xfId="20952" applyFont="1" applyFill="1" applyBorder="1" applyAlignment="1">
      <alignment vertical="center"/>
    </xf>
    <xf numFmtId="0" fontId="120" fillId="75" borderId="24" xfId="20952" applyFont="1" applyFill="1" applyBorder="1" applyAlignment="1">
      <alignment vertical="center"/>
    </xf>
    <xf numFmtId="0" fontId="120" fillId="75" borderId="25" xfId="20952" applyFont="1" applyFill="1" applyBorder="1" applyAlignment="1">
      <alignment vertical="center"/>
    </xf>
    <xf numFmtId="0" fontId="94" fillId="69" borderId="79" xfId="20952" applyFont="1" applyFill="1" applyBorder="1" applyAlignment="1">
      <alignment horizontal="center" vertical="center"/>
    </xf>
    <xf numFmtId="0" fontId="94" fillId="69" borderId="170" xfId="20952" applyFont="1" applyFill="1" applyBorder="1" applyAlignment="1">
      <alignment horizontal="left" vertical="center" wrapText="1"/>
    </xf>
    <xf numFmtId="164" fontId="94" fillId="0" borderId="192" xfId="7" applyNumberFormat="1" applyFont="1" applyFill="1" applyBorder="1" applyAlignment="1" applyProtection="1">
      <alignment horizontal="right" vertical="center"/>
      <protection locked="0"/>
    </xf>
    <xf numFmtId="0" fontId="120" fillId="76" borderId="190" xfId="20952" applyFont="1" applyFill="1" applyBorder="1" applyAlignment="1">
      <alignment horizontal="center" vertical="center"/>
    </xf>
    <xf numFmtId="0" fontId="120" fillId="76" borderId="171" xfId="20952" applyFont="1" applyFill="1" applyBorder="1" applyAlignment="1">
      <alignment vertical="top" wrapText="1"/>
    </xf>
    <xf numFmtId="0" fontId="120" fillId="75" borderId="196" xfId="20952" applyFont="1" applyFill="1" applyBorder="1" applyAlignment="1">
      <alignment vertical="center"/>
    </xf>
    <xf numFmtId="0" fontId="120" fillId="75" borderId="171" xfId="20952" applyFont="1" applyFill="1" applyBorder="1" applyAlignment="1">
      <alignment vertical="center"/>
    </xf>
    <xf numFmtId="164" fontId="120" fillId="75" borderId="77" xfId="7" applyNumberFormat="1" applyFont="1" applyFill="1" applyBorder="1" applyAlignment="1">
      <alignment horizontal="right" vertical="center"/>
    </xf>
    <xf numFmtId="0" fontId="94" fillId="69" borderId="171" xfId="20952" applyFont="1" applyFill="1" applyBorder="1" applyAlignment="1">
      <alignment vertical="center" wrapText="1"/>
    </xf>
    <xf numFmtId="0" fontId="94" fillId="69" borderId="170" xfId="20952" applyFont="1" applyFill="1" applyBorder="1" applyAlignment="1">
      <alignment horizontal="left" vertical="center"/>
    </xf>
    <xf numFmtId="360" fontId="94" fillId="0" borderId="192" xfId="7" applyNumberFormat="1" applyFont="1" applyFill="1" applyBorder="1" applyAlignment="1" applyProtection="1">
      <alignment horizontal="right" vertical="center"/>
      <protection locked="0"/>
    </xf>
    <xf numFmtId="0" fontId="94" fillId="3" borderId="79" xfId="20952" applyFont="1" applyFill="1" applyBorder="1" applyAlignment="1">
      <alignment horizontal="center" vertical="center"/>
    </xf>
    <xf numFmtId="0" fontId="120" fillId="76" borderId="171" xfId="20952" applyFont="1" applyFill="1" applyBorder="1" applyAlignment="1">
      <alignment vertical="center"/>
    </xf>
    <xf numFmtId="164" fontId="94" fillId="76" borderId="192" xfId="7" applyNumberFormat="1" applyFont="1" applyFill="1" applyBorder="1" applyAlignment="1" applyProtection="1">
      <alignment horizontal="right" vertical="center"/>
      <protection locked="0"/>
    </xf>
    <xf numFmtId="0" fontId="106" fillId="69" borderId="79" xfId="20952" applyFont="1" applyFill="1" applyBorder="1" applyAlignment="1" applyProtection="1">
      <alignment horizontal="center" vertical="center"/>
      <protection locked="0"/>
    </xf>
    <xf numFmtId="0" fontId="107" fillId="76" borderId="190" xfId="20952" applyFont="1" applyFill="1" applyBorder="1" applyAlignment="1" applyProtection="1">
      <alignment horizontal="center" vertical="center"/>
      <protection locked="0"/>
    </xf>
    <xf numFmtId="164" fontId="94" fillId="3" borderId="192" xfId="7" applyNumberFormat="1" applyFont="1" applyFill="1" applyBorder="1" applyAlignment="1" applyProtection="1">
      <alignment horizontal="right" vertical="center"/>
      <protection locked="0"/>
    </xf>
    <xf numFmtId="0" fontId="120" fillId="3" borderId="171" xfId="20952" applyFont="1" applyFill="1" applyBorder="1" applyAlignment="1">
      <alignment vertical="center"/>
    </xf>
    <xf numFmtId="0" fontId="94" fillId="69" borderId="190" xfId="20952" applyFont="1" applyFill="1" applyBorder="1" applyAlignment="1">
      <alignment horizontal="center" vertical="center"/>
    </xf>
    <xf numFmtId="0" fontId="94" fillId="69" borderId="193" xfId="20952" applyFont="1" applyFill="1" applyBorder="1" applyAlignment="1">
      <alignment horizontal="center" vertical="center"/>
    </xf>
    <xf numFmtId="0" fontId="94" fillId="69" borderId="197" xfId="20952" applyFont="1" applyFill="1" applyBorder="1" applyAlignment="1">
      <alignment horizontal="left" vertical="center" wrapText="1"/>
    </xf>
    <xf numFmtId="164" fontId="94" fillId="3" borderId="195" xfId="7" applyNumberFormat="1" applyFont="1" applyFill="1" applyBorder="1" applyAlignment="1" applyProtection="1">
      <alignment horizontal="right" vertical="center"/>
      <protection locked="0"/>
    </xf>
    <xf numFmtId="10" fontId="94" fillId="0" borderId="192" xfId="20950" applyNumberFormat="1" applyFont="1" applyFill="1" applyBorder="1" applyAlignment="1" applyProtection="1">
      <alignment horizontal="right" vertical="center"/>
      <protection locked="0"/>
    </xf>
    <xf numFmtId="164" fontId="372" fillId="0" borderId="169" xfId="7" applyNumberFormat="1" applyFont="1" applyBorder="1"/>
    <xf numFmtId="164" fontId="372" fillId="0" borderId="192" xfId="7" applyNumberFormat="1" applyFont="1" applyBorder="1"/>
    <xf numFmtId="164" fontId="3" fillId="0" borderId="169" xfId="7" applyNumberFormat="1" applyFont="1" applyBorder="1"/>
    <xf numFmtId="164" fontId="3" fillId="0" borderId="192" xfId="7" applyNumberFormat="1" applyFont="1" applyBorder="1"/>
    <xf numFmtId="169" fontId="9" fillId="36" borderId="169" xfId="20" applyBorder="1"/>
    <xf numFmtId="164" fontId="3" fillId="0" borderId="169" xfId="7" applyNumberFormat="1" applyFont="1" applyBorder="1" applyAlignment="1">
      <alignment vertical="center"/>
    </xf>
    <xf numFmtId="164" fontId="372" fillId="0" borderId="169" xfId="7" applyNumberFormat="1" applyFont="1" applyBorder="1" applyAlignment="1">
      <alignment vertical="center"/>
    </xf>
    <xf numFmtId="164" fontId="4" fillId="0" borderId="192" xfId="7" applyNumberFormat="1" applyFont="1" applyBorder="1"/>
    <xf numFmtId="164" fontId="3" fillId="0" borderId="169" xfId="7" applyNumberFormat="1" applyFont="1" applyFill="1" applyBorder="1"/>
    <xf numFmtId="164" fontId="3" fillId="0" borderId="169" xfId="7" applyNumberFormat="1" applyFont="1" applyFill="1" applyBorder="1" applyAlignment="1">
      <alignment vertical="center"/>
    </xf>
    <xf numFmtId="10" fontId="4" fillId="0" borderId="195" xfId="20950" applyNumberFormat="1" applyFont="1" applyBorder="1"/>
    <xf numFmtId="49" fontId="115" fillId="3" borderId="190" xfId="5" applyNumberFormat="1" applyFont="1" applyFill="1" applyBorder="1" applyAlignment="1" applyProtection="1">
      <alignment horizontal="right" vertical="center"/>
      <protection locked="0"/>
    </xf>
    <xf numFmtId="0" fontId="115" fillId="3" borderId="169" xfId="13" applyFont="1" applyFill="1" applyBorder="1" applyAlignment="1" applyProtection="1">
      <alignment horizontal="left" vertical="center" wrapText="1"/>
      <protection locked="0"/>
    </xf>
    <xf numFmtId="0" fontId="115" fillId="0" borderId="169" xfId="13" applyFont="1" applyFill="1" applyBorder="1" applyAlignment="1" applyProtection="1">
      <alignment horizontal="left" vertical="center" wrapText="1"/>
      <protection locked="0"/>
    </xf>
    <xf numFmtId="0" fontId="117" fillId="0" borderId="169" xfId="13" applyFont="1" applyFill="1" applyBorder="1" applyAlignment="1" applyProtection="1">
      <alignment horizontal="left" vertical="center" wrapText="1"/>
      <protection locked="0"/>
    </xf>
    <xf numFmtId="49" fontId="115" fillId="0" borderId="190" xfId="5" applyNumberFormat="1" applyFont="1" applyFill="1" applyBorder="1" applyAlignment="1" applyProtection="1">
      <alignment horizontal="right" vertical="center"/>
      <protection locked="0"/>
    </xf>
    <xf numFmtId="49" fontId="116" fillId="0" borderId="193" xfId="5" applyNumberFormat="1" applyFont="1" applyFill="1" applyBorder="1" applyAlignment="1" applyProtection="1">
      <alignment horizontal="right" vertical="center"/>
      <protection locked="0"/>
    </xf>
    <xf numFmtId="0" fontId="114" fillId="0" borderId="194" xfId="0" applyFont="1" applyBorder="1"/>
    <xf numFmtId="49" fontId="115" fillId="3" borderId="61" xfId="5" applyNumberFormat="1" applyFont="1" applyFill="1" applyBorder="1" applyAlignment="1" applyProtection="1">
      <alignment horizontal="right" vertical="center"/>
      <protection locked="0"/>
    </xf>
    <xf numFmtId="0" fontId="115" fillId="3" borderId="5" xfId="13" applyFont="1" applyFill="1" applyBorder="1" applyAlignment="1" applyProtection="1">
      <alignment horizontal="left" vertical="center" wrapText="1"/>
      <protection locked="0"/>
    </xf>
    <xf numFmtId="0" fontId="114" fillId="0" borderId="204" xfId="0" applyFont="1" applyFill="1" applyBorder="1" applyAlignment="1">
      <alignment horizontal="center" vertical="center" wrapText="1"/>
    </xf>
    <xf numFmtId="0" fontId="114" fillId="0" borderId="205" xfId="0" applyFont="1" applyFill="1" applyBorder="1" applyAlignment="1">
      <alignment horizontal="center" vertical="center" wrapText="1"/>
    </xf>
    <xf numFmtId="164" fontId="373" fillId="0" borderId="5" xfId="7" applyNumberFormat="1" applyFont="1" applyBorder="1"/>
    <xf numFmtId="164" fontId="114" fillId="0" borderId="58" xfId="7" applyNumberFormat="1" applyFont="1" applyBorder="1"/>
    <xf numFmtId="164" fontId="373" fillId="0" borderId="169" xfId="7" applyNumberFormat="1" applyFont="1" applyBorder="1"/>
    <xf numFmtId="164" fontId="114" fillId="0" borderId="192" xfId="7" applyNumberFormat="1" applyFont="1" applyBorder="1"/>
    <xf numFmtId="164" fontId="114" fillId="0" borderId="194" xfId="7" applyNumberFormat="1" applyFont="1" applyBorder="1"/>
    <xf numFmtId="164" fontId="114" fillId="0" borderId="195" xfId="7" applyNumberFormat="1" applyFont="1" applyBorder="1"/>
    <xf numFmtId="0" fontId="110" fillId="0" borderId="176" xfId="0" applyFont="1" applyBorder="1" applyAlignment="1">
      <alignment horizontal="center" vertical="center"/>
    </xf>
    <xf numFmtId="0" fontId="110" fillId="0" borderId="14" xfId="0" applyFont="1" applyBorder="1" applyAlignment="1">
      <alignment horizontal="center" vertical="center" wrapText="1"/>
    </xf>
    <xf numFmtId="0" fontId="110" fillId="0" borderId="176" xfId="0" applyFont="1" applyFill="1" applyBorder="1" applyAlignment="1">
      <alignment horizontal="center" vertical="center" wrapText="1"/>
    </xf>
    <xf numFmtId="0" fontId="110" fillId="0" borderId="192" xfId="0" applyFont="1" applyBorder="1" applyAlignment="1">
      <alignment horizontal="center" vertical="center" wrapText="1"/>
    </xf>
    <xf numFmtId="49" fontId="115" fillId="3" borderId="190" xfId="5" applyNumberFormat="1" applyFont="1" applyFill="1" applyBorder="1" applyAlignment="1" applyProtection="1">
      <alignment horizontal="right" vertical="center" wrapText="1"/>
      <protection locked="0"/>
    </xf>
    <xf numFmtId="0" fontId="110" fillId="0" borderId="169" xfId="0" applyFont="1" applyBorder="1"/>
    <xf numFmtId="0" fontId="110" fillId="0" borderId="169" xfId="0" applyFont="1" applyFill="1" applyBorder="1"/>
    <xf numFmtId="49" fontId="115" fillId="0" borderId="190" xfId="5" applyNumberFormat="1" applyFont="1" applyFill="1" applyBorder="1" applyAlignment="1" applyProtection="1">
      <alignment horizontal="right" vertical="center" wrapText="1"/>
      <protection locked="0"/>
    </xf>
    <xf numFmtId="49" fontId="116" fillId="0" borderId="190" xfId="5" applyNumberFormat="1" applyFont="1" applyFill="1" applyBorder="1" applyAlignment="1" applyProtection="1">
      <alignment horizontal="right" vertical="center" wrapText="1"/>
      <protection locked="0"/>
    </xf>
    <xf numFmtId="0" fontId="113" fillId="0" borderId="169" xfId="0" applyFont="1" applyBorder="1"/>
    <xf numFmtId="0" fontId="110" fillId="0" borderId="190" xfId="0" applyFont="1" applyBorder="1" applyAlignment="1">
      <alignment wrapText="1"/>
    </xf>
    <xf numFmtId="0" fontId="110" fillId="0" borderId="169" xfId="0" applyFont="1" applyBorder="1" applyAlignment="1">
      <alignment horizontal="left" indent="8"/>
    </xf>
    <xf numFmtId="0" fontId="110" fillId="0" borderId="193" xfId="0" applyFont="1" applyBorder="1" applyAlignment="1">
      <alignment wrapText="1"/>
    </xf>
    <xf numFmtId="0" fontId="110" fillId="0" borderId="194" xfId="0" applyFont="1" applyBorder="1" applyAlignment="1">
      <alignment horizontal="left" indent="8"/>
    </xf>
    <xf numFmtId="0" fontId="110" fillId="0" borderId="194" xfId="0" applyFont="1" applyFill="1" applyBorder="1"/>
    <xf numFmtId="164" fontId="110" fillId="0" borderId="169" xfId="7" applyNumberFormat="1" applyFont="1" applyBorder="1"/>
    <xf numFmtId="164" fontId="110" fillId="0" borderId="169" xfId="7" applyNumberFormat="1" applyFont="1" applyFill="1" applyBorder="1"/>
    <xf numFmtId="164" fontId="113" fillId="0" borderId="169" xfId="7" applyNumberFormat="1" applyFont="1" applyBorder="1"/>
    <xf numFmtId="164" fontId="110" fillId="0" borderId="194" xfId="7" applyNumberFormat="1" applyFont="1" applyBorder="1"/>
    <xf numFmtId="164" fontId="110" fillId="0" borderId="194" xfId="7" applyNumberFormat="1" applyFont="1" applyFill="1" applyBorder="1"/>
    <xf numFmtId="164" fontId="374" fillId="35" borderId="192" xfId="7" applyNumberFormat="1" applyFont="1" applyFill="1" applyBorder="1"/>
    <xf numFmtId="164" fontId="374" fillId="35" borderId="195" xfId="7" applyNumberFormat="1" applyFont="1" applyFill="1" applyBorder="1"/>
    <xf numFmtId="164" fontId="110" fillId="0" borderId="105" xfId="7" applyNumberFormat="1" applyFont="1" applyBorder="1"/>
    <xf numFmtId="164" fontId="113" fillId="0" borderId="105" xfId="7" applyNumberFormat="1" applyFont="1" applyBorder="1"/>
    <xf numFmtId="164" fontId="374" fillId="35" borderId="105" xfId="7" applyNumberFormat="1" applyFont="1" applyFill="1" applyBorder="1"/>
    <xf numFmtId="164" fontId="374" fillId="0" borderId="169" xfId="7" applyNumberFormat="1" applyFont="1" applyBorder="1"/>
    <xf numFmtId="164" fontId="110" fillId="0" borderId="169" xfId="7" applyNumberFormat="1" applyFont="1" applyBorder="1" applyAlignment="1">
      <alignment horizontal="left" indent="1"/>
    </xf>
    <xf numFmtId="164" fontId="113" fillId="75" borderId="169" xfId="7" applyNumberFormat="1" applyFont="1" applyFill="1" applyBorder="1"/>
    <xf numFmtId="0" fontId="113" fillId="75" borderId="169" xfId="0" applyFont="1" applyFill="1" applyBorder="1"/>
    <xf numFmtId="164" fontId="375" fillId="0" borderId="169" xfId="7" applyNumberFormat="1" applyFont="1" applyBorder="1"/>
    <xf numFmtId="164" fontId="374" fillId="0" borderId="190" xfId="7" applyNumberFormat="1" applyFont="1" applyBorder="1"/>
    <xf numFmtId="164" fontId="374" fillId="0" borderId="192" xfId="7" applyNumberFormat="1" applyFont="1" applyBorder="1"/>
    <xf numFmtId="164" fontId="110" fillId="0" borderId="190" xfId="7" applyNumberFormat="1" applyFont="1" applyBorder="1" applyAlignment="1">
      <alignment horizontal="left" indent="1"/>
    </xf>
    <xf numFmtId="164" fontId="110" fillId="0" borderId="192" xfId="7" applyNumberFormat="1" applyFont="1" applyBorder="1"/>
    <xf numFmtId="164" fontId="110" fillId="0" borderId="190" xfId="7" applyNumberFormat="1" applyFont="1" applyBorder="1" applyAlignment="1">
      <alignment horizontal="left" indent="2"/>
    </xf>
    <xf numFmtId="164" fontId="110" fillId="0" borderId="190" xfId="7" applyNumberFormat="1" applyFont="1" applyFill="1" applyBorder="1" applyAlignment="1">
      <alignment horizontal="left" indent="3"/>
    </xf>
    <xf numFmtId="164" fontId="110" fillId="0" borderId="190" xfId="7" applyNumberFormat="1" applyFont="1" applyFill="1" applyBorder="1" applyAlignment="1">
      <alignment horizontal="left" indent="1"/>
    </xf>
    <xf numFmtId="164" fontId="110" fillId="78" borderId="190" xfId="7" applyNumberFormat="1" applyFont="1" applyFill="1" applyBorder="1"/>
    <xf numFmtId="164" fontId="110" fillId="78" borderId="169" xfId="7" applyNumberFormat="1" applyFont="1" applyFill="1" applyBorder="1"/>
    <xf numFmtId="164" fontId="110" fillId="78" borderId="192" xfId="7" applyNumberFormat="1" applyFont="1" applyFill="1" applyBorder="1"/>
    <xf numFmtId="164" fontId="110" fillId="0" borderId="190" xfId="7" applyNumberFormat="1" applyFont="1" applyFill="1" applyBorder="1" applyAlignment="1">
      <alignment horizontal="left" vertical="top" wrapText="1" indent="2"/>
    </xf>
    <xf numFmtId="164" fontId="110" fillId="0" borderId="192" xfId="7" applyNumberFormat="1" applyFont="1" applyFill="1" applyBorder="1"/>
    <xf numFmtId="164" fontId="110" fillId="0" borderId="190" xfId="7" applyNumberFormat="1" applyFont="1" applyFill="1" applyBorder="1" applyAlignment="1">
      <alignment horizontal="left" wrapText="1" indent="3"/>
    </xf>
    <xf numFmtId="164" fontId="110" fillId="0" borderId="190" xfId="7" applyNumberFormat="1" applyFont="1" applyFill="1" applyBorder="1" applyAlignment="1">
      <alignment horizontal="left" wrapText="1" indent="2"/>
    </xf>
    <xf numFmtId="49" fontId="110" fillId="0" borderId="190" xfId="0" applyNumberFormat="1" applyFont="1" applyFill="1" applyBorder="1" applyAlignment="1">
      <alignment horizontal="left" wrapText="1" indent="1"/>
    </xf>
    <xf numFmtId="0" fontId="110" fillId="0" borderId="192" xfId="0" applyFont="1" applyFill="1" applyBorder="1"/>
    <xf numFmtId="49" fontId="110" fillId="0" borderId="193" xfId="0" applyNumberFormat="1" applyFont="1" applyFill="1" applyBorder="1" applyAlignment="1">
      <alignment horizontal="left" wrapText="1" indent="1"/>
    </xf>
    <xf numFmtId="0" fontId="110" fillId="0" borderId="195" xfId="0" applyFont="1" applyFill="1" applyBorder="1"/>
    <xf numFmtId="164" fontId="110" fillId="0" borderId="169" xfId="7" applyNumberFormat="1" applyFont="1" applyFill="1" applyBorder="1" applyAlignment="1">
      <alignment horizontal="left" vertical="center" wrapText="1"/>
    </xf>
    <xf numFmtId="164" fontId="110" fillId="0" borderId="169" xfId="7" applyNumberFormat="1" applyFont="1" applyBorder="1" applyAlignment="1">
      <alignment horizontal="center" vertical="center" wrapText="1"/>
    </xf>
    <xf numFmtId="164" fontId="110" fillId="0" borderId="169" xfId="7" applyNumberFormat="1" applyFont="1" applyBorder="1" applyAlignment="1">
      <alignment horizontal="center" vertical="center"/>
    </xf>
    <xf numFmtId="164" fontId="113" fillId="0" borderId="169" xfId="7" applyNumberFormat="1" applyFont="1" applyFill="1" applyBorder="1" applyAlignment="1">
      <alignment horizontal="left" vertical="center" wrapText="1"/>
    </xf>
    <xf numFmtId="164" fontId="115" fillId="0" borderId="105" xfId="7" applyNumberFormat="1" applyFont="1" applyBorder="1"/>
    <xf numFmtId="164" fontId="115" fillId="0" borderId="169" xfId="7" applyNumberFormat="1" applyFont="1" applyBorder="1"/>
    <xf numFmtId="10" fontId="115" fillId="0" borderId="169" xfId="20950" applyNumberFormat="1" applyFont="1" applyBorder="1"/>
    <xf numFmtId="164" fontId="376" fillId="0" borderId="169" xfId="7" applyNumberFormat="1" applyFont="1" applyBorder="1"/>
    <xf numFmtId="164" fontId="115" fillId="0" borderId="176" xfId="7" applyNumberFormat="1" applyFont="1" applyBorder="1"/>
    <xf numFmtId="10" fontId="115" fillId="0" borderId="176" xfId="20950" applyNumberFormat="1" applyFont="1" applyBorder="1"/>
    <xf numFmtId="0" fontId="115" fillId="0" borderId="169" xfId="0" applyFont="1" applyBorder="1"/>
    <xf numFmtId="164" fontId="377" fillId="0" borderId="169" xfId="7" applyNumberFormat="1" applyFont="1" applyBorder="1"/>
    <xf numFmtId="164" fontId="111" fillId="0" borderId="169" xfId="7" applyNumberFormat="1" applyFont="1" applyBorder="1"/>
    <xf numFmtId="164" fontId="114" fillId="0" borderId="169" xfId="7" applyNumberFormat="1" applyFont="1" applyBorder="1"/>
    <xf numFmtId="164" fontId="0" fillId="0" borderId="0" xfId="0" applyNumberFormat="1" applyFont="1" applyProtection="1">
      <protection locked="0"/>
    </xf>
    <xf numFmtId="0" fontId="378" fillId="0" borderId="0" xfId="0" applyFont="1" applyAlignment="1">
      <alignment horizontal="justify"/>
    </xf>
    <xf numFmtId="0" fontId="45" fillId="0" borderId="182" xfId="0" applyNumberFormat="1" applyFont="1" applyFill="1" applyBorder="1" applyAlignment="1">
      <alignment horizontal="center" vertical="center" wrapText="1"/>
    </xf>
    <xf numFmtId="0" fontId="2" fillId="0" borderId="187" xfId="0" applyNumberFormat="1" applyFont="1" applyFill="1" applyBorder="1" applyAlignment="1">
      <alignment horizontal="center" vertical="center" wrapText="1"/>
    </xf>
    <xf numFmtId="0" fontId="2" fillId="0" borderId="188" xfId="0" applyNumberFormat="1" applyFont="1" applyFill="1" applyBorder="1" applyAlignment="1">
      <alignment horizontal="center" vertical="center" wrapText="1"/>
    </xf>
    <xf numFmtId="0" fontId="2" fillId="0" borderId="189" xfId="0" applyNumberFormat="1" applyFont="1" applyFill="1" applyBorder="1" applyAlignment="1">
      <alignment horizontal="center" vertical="center" wrapText="1"/>
    </xf>
    <xf numFmtId="164" fontId="111" fillId="0" borderId="0" xfId="0" applyNumberFormat="1" applyFont="1"/>
    <xf numFmtId="0" fontId="93" fillId="0" borderId="60" xfId="0" applyFont="1" applyBorder="1" applyAlignment="1">
      <alignment horizontal="left" wrapText="1"/>
    </xf>
    <xf numFmtId="0" fontId="93" fillId="0" borderId="59" xfId="0" applyFont="1" applyBorder="1" applyAlignment="1">
      <alignment horizontal="left" wrapText="1"/>
    </xf>
    <xf numFmtId="0" fontId="93" fillId="0" borderId="184" xfId="0" applyFont="1" applyBorder="1" applyAlignment="1">
      <alignment horizontal="center" vertical="center"/>
    </xf>
    <xf numFmtId="0" fontId="93" fillId="0" borderId="185" xfId="0" applyFont="1" applyBorder="1" applyAlignment="1">
      <alignment horizontal="center" vertical="center"/>
    </xf>
    <xf numFmtId="0" fontId="93" fillId="0" borderId="186" xfId="0" applyFont="1" applyBorder="1" applyAlignment="1">
      <alignment horizontal="center" vertical="center"/>
    </xf>
    <xf numFmtId="164" fontId="0" fillId="0" borderId="196" xfId="7" applyNumberFormat="1" applyFont="1" applyBorder="1" applyAlignment="1">
      <alignment horizontal="center"/>
    </xf>
    <xf numFmtId="164" fontId="0" fillId="0" borderId="171" xfId="7" applyNumberFormat="1" applyFont="1" applyBorder="1" applyAlignment="1">
      <alignment horizontal="center"/>
    </xf>
    <xf numFmtId="164" fontId="0" fillId="0" borderId="77" xfId="7" applyNumberFormat="1" applyFont="1" applyBorder="1" applyAlignment="1">
      <alignment horizontal="center"/>
    </xf>
    <xf numFmtId="0" fontId="349" fillId="0" borderId="187" xfId="0" applyFont="1" applyBorder="1" applyAlignment="1">
      <alignment horizontal="center" vertical="center"/>
    </xf>
    <xf numFmtId="0" fontId="349" fillId="0" borderId="190" xfId="0" applyFont="1" applyBorder="1" applyAlignment="1">
      <alignment horizontal="center" vertical="center"/>
    </xf>
    <xf numFmtId="0" fontId="350" fillId="0" borderId="188" xfId="0" applyFont="1" applyBorder="1" applyAlignment="1">
      <alignment horizontal="center" vertical="center"/>
    </xf>
    <xf numFmtId="0" fontId="350" fillId="0" borderId="204" xfId="0" applyFont="1" applyBorder="1" applyAlignment="1">
      <alignment horizontal="center" vertical="center"/>
    </xf>
    <xf numFmtId="0" fontId="120" fillId="0" borderId="188" xfId="0" applyFont="1" applyFill="1" applyBorder="1" applyAlignment="1" applyProtection="1">
      <alignment horizontal="center" vertical="center"/>
    </xf>
    <xf numFmtId="0" fontId="120" fillId="0" borderId="189" xfId="0" applyFont="1" applyFill="1" applyBorder="1" applyAlignment="1" applyProtection="1">
      <alignment horizontal="center" vertical="center"/>
    </xf>
    <xf numFmtId="0" fontId="349" fillId="0" borderId="131" xfId="0" applyFont="1" applyBorder="1" applyAlignment="1">
      <alignment horizontal="center"/>
    </xf>
    <xf numFmtId="0" fontId="349" fillId="0" borderId="96" xfId="0" applyFont="1" applyBorder="1" applyAlignment="1">
      <alignment horizontal="center"/>
    </xf>
    <xf numFmtId="0" fontId="349" fillId="0" borderId="110" xfId="0" applyFont="1" applyBorder="1" applyAlignment="1">
      <alignment horizontal="center"/>
    </xf>
    <xf numFmtId="0" fontId="0" fillId="0" borderId="198" xfId="0" applyBorder="1" applyAlignment="1">
      <alignment horizontal="center" vertical="center"/>
    </xf>
    <xf numFmtId="0" fontId="0" fillId="0" borderId="201" xfId="0" applyBorder="1" applyAlignment="1">
      <alignment horizontal="center" vertical="center"/>
    </xf>
    <xf numFmtId="0" fontId="119" fillId="0" borderId="182" xfId="0" applyFont="1" applyBorder="1" applyAlignment="1">
      <alignment horizontal="center" vertical="center" wrapText="1"/>
    </xf>
    <xf numFmtId="0" fontId="119" fillId="0" borderId="202" xfId="0" applyFont="1" applyBorder="1" applyAlignment="1">
      <alignment horizontal="center" vertical="center" wrapText="1"/>
    </xf>
    <xf numFmtId="0" fontId="120" fillId="0" borderId="187" xfId="0" applyFont="1" applyFill="1" applyBorder="1" applyAlignment="1" applyProtection="1">
      <alignment horizontal="center" vertical="center"/>
    </xf>
    <xf numFmtId="0" fontId="365" fillId="0" borderId="187" xfId="0" applyFont="1" applyBorder="1" applyAlignment="1">
      <alignment horizontal="center" vertical="center"/>
    </xf>
    <xf numFmtId="0" fontId="365" fillId="0" borderId="203" xfId="0" applyFont="1" applyBorder="1" applyAlignment="1">
      <alignment horizontal="center" vertical="center"/>
    </xf>
    <xf numFmtId="0" fontId="365" fillId="0" borderId="188" xfId="0" applyFont="1" applyBorder="1" applyAlignment="1">
      <alignment horizontal="center" vertical="center" wrapText="1"/>
    </xf>
    <xf numFmtId="0" fontId="365" fillId="0" borderId="204" xfId="0" applyFont="1" applyBorder="1" applyAlignment="1">
      <alignment horizontal="center" vertical="center" wrapText="1"/>
    </xf>
    <xf numFmtId="0" fontId="45" fillId="0" borderId="188" xfId="0" applyFont="1" applyFill="1" applyBorder="1" applyAlignment="1" applyProtection="1">
      <alignment horizontal="center" vertical="center"/>
    </xf>
    <xf numFmtId="0" fontId="45" fillId="0" borderId="189"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0" fontId="86" fillId="0" borderId="169" xfId="0" applyFont="1" applyFill="1" applyBorder="1" applyAlignment="1">
      <alignment horizontal="center" vertical="center" wrapText="1"/>
    </xf>
    <xf numFmtId="0" fontId="84" fillId="0" borderId="169" xfId="0" applyFont="1" applyFill="1" applyBorder="1" applyAlignment="1">
      <alignment horizontal="center" vertical="center" wrapText="1"/>
    </xf>
    <xf numFmtId="0" fontId="45" fillId="0" borderId="169" xfId="11" applyFont="1" applyFill="1" applyBorder="1" applyAlignment="1" applyProtection="1">
      <alignment horizontal="center" vertical="center" wrapText="1"/>
    </xf>
    <xf numFmtId="0" fontId="45" fillId="0" borderId="192" xfId="11" applyFont="1" applyFill="1" applyBorder="1" applyAlignment="1" applyProtection="1">
      <alignment horizontal="center" vertical="center" wrapText="1"/>
    </xf>
    <xf numFmtId="0" fontId="45" fillId="0" borderId="64"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188" xfId="0" applyFont="1" applyFill="1" applyBorder="1" applyAlignment="1" applyProtection="1">
      <alignment horizontal="center" vertical="center" wrapText="1"/>
    </xf>
    <xf numFmtId="0" fontId="3" fillId="84" borderId="169" xfId="0" applyFont="1" applyFill="1" applyBorder="1" applyAlignment="1" applyProtection="1">
      <alignment horizontal="center" vertical="center" wrapText="1"/>
    </xf>
    <xf numFmtId="0" fontId="3" fillId="84" borderId="5" xfId="11" applyFont="1" applyFill="1" applyBorder="1" applyAlignment="1">
      <alignment horizontal="center" vertical="top"/>
    </xf>
    <xf numFmtId="0" fontId="4" fillId="83" borderId="58" xfId="0" applyFont="1" applyFill="1" applyBorder="1" applyAlignment="1" applyProtection="1">
      <alignment horizontal="center" vertical="center" wrapText="1"/>
    </xf>
    <xf numFmtId="0" fontId="4" fillId="83" borderId="74" xfId="0" applyFont="1" applyFill="1" applyBorder="1" applyAlignment="1" applyProtection="1">
      <alignment horizontal="center" vertical="center" wrapText="1"/>
    </xf>
    <xf numFmtId="9" fontId="3" fillId="0" borderId="165" xfId="0" applyNumberFormat="1" applyFont="1" applyBorder="1" applyAlignment="1">
      <alignment horizontal="center" vertical="center"/>
    </xf>
    <xf numFmtId="9" fontId="3" fillId="0" borderId="170" xfId="0" applyNumberFormat="1" applyFont="1" applyBorder="1" applyAlignment="1">
      <alignment horizontal="center" vertical="center"/>
    </xf>
    <xf numFmtId="0" fontId="98" fillId="3" borderId="81" xfId="13" applyFont="1" applyFill="1" applyBorder="1" applyAlignment="1" applyProtection="1">
      <alignment horizontal="center" vertical="center" wrapText="1"/>
      <protection locked="0"/>
    </xf>
    <xf numFmtId="0" fontId="98" fillId="3" borderId="218" xfId="13" applyFont="1" applyFill="1" applyBorder="1" applyAlignment="1" applyProtection="1">
      <alignment horizontal="center" vertical="center" wrapText="1"/>
      <protection locked="0"/>
    </xf>
    <xf numFmtId="0" fontId="3" fillId="0" borderId="176" xfId="0" applyFont="1" applyBorder="1" applyAlignment="1">
      <alignment horizontal="center" vertical="center" wrapText="1"/>
    </xf>
    <xf numFmtId="0" fontId="3" fillId="0" borderId="217" xfId="0" applyFont="1" applyBorder="1" applyAlignment="1">
      <alignment horizontal="center" vertical="center" wrapText="1"/>
    </xf>
    <xf numFmtId="164" fontId="45" fillId="3" borderId="63"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7" xfId="0" applyFont="1" applyBorder="1" applyAlignment="1">
      <alignment horizontal="center" vertical="center" wrapText="1"/>
    </xf>
    <xf numFmtId="0" fontId="86" fillId="0" borderId="48" xfId="0" applyFont="1" applyBorder="1" applyAlignment="1">
      <alignment horizontal="center" vertical="center" wrapText="1"/>
    </xf>
    <xf numFmtId="164" fontId="45" fillId="0" borderId="66" xfId="1" applyNumberFormat="1" applyFont="1" applyFill="1" applyBorder="1" applyAlignment="1" applyProtection="1">
      <alignment horizontal="center" vertical="center" wrapText="1"/>
      <protection locked="0"/>
    </xf>
    <xf numFmtId="164" fontId="45" fillId="0" borderId="67" xfId="1" applyNumberFormat="1" applyFont="1" applyFill="1" applyBorder="1" applyAlignment="1" applyProtection="1">
      <alignment horizontal="center" vertical="center" wrapText="1"/>
      <protection locked="0"/>
    </xf>
    <xf numFmtId="0" fontId="3" fillId="0" borderId="65"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86" fillId="0" borderId="68" xfId="0" applyFont="1" applyBorder="1" applyAlignment="1">
      <alignment horizontal="center"/>
    </xf>
    <xf numFmtId="0" fontId="86" fillId="0" borderId="69" xfId="0" applyFont="1" applyBorder="1" applyAlignment="1">
      <alignment horizontal="center"/>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99" fillId="0" borderId="226" xfId="0" applyFont="1" applyFill="1" applyBorder="1" applyAlignment="1">
      <alignment horizontal="left" vertical="center"/>
    </xf>
    <xf numFmtId="0" fontId="99" fillId="0" borderId="227" xfId="0" applyFont="1" applyFill="1" applyBorder="1" applyAlignment="1">
      <alignment horizontal="left" vertical="center"/>
    </xf>
    <xf numFmtId="0" fontId="3" fillId="0" borderId="227" xfId="0" applyFont="1" applyFill="1" applyBorder="1" applyAlignment="1">
      <alignment horizontal="center" vertical="center" wrapText="1"/>
    </xf>
    <xf numFmtId="0" fontId="3" fillId="0" borderId="228" xfId="0" applyFont="1" applyFill="1" applyBorder="1" applyAlignment="1">
      <alignment horizontal="center" vertical="center" wrapText="1"/>
    </xf>
    <xf numFmtId="0" fontId="3" fillId="0" borderId="207" xfId="0" applyFont="1" applyFill="1" applyBorder="1" applyAlignment="1">
      <alignment horizontal="center" vertical="center" wrapText="1"/>
    </xf>
    <xf numFmtId="0" fontId="3" fillId="0" borderId="222" xfId="0" applyFont="1" applyFill="1" applyBorder="1" applyAlignment="1">
      <alignment horizontal="center" vertical="center" wrapText="1"/>
    </xf>
    <xf numFmtId="0" fontId="3" fillId="0" borderId="223" xfId="0" applyFont="1" applyFill="1" applyBorder="1" applyAlignment="1">
      <alignment horizontal="center" vertical="center" wrapText="1"/>
    </xf>
    <xf numFmtId="0" fontId="3" fillId="0" borderId="13" xfId="0" applyFont="1" applyBorder="1" applyAlignment="1">
      <alignment horizontal="center"/>
    </xf>
    <xf numFmtId="0" fontId="3" fillId="0" borderId="14" xfId="0" applyFont="1" applyBorder="1" applyAlignment="1">
      <alignment horizontal="center" vertical="center" wrapText="1"/>
    </xf>
    <xf numFmtId="0" fontId="3" fillId="0" borderId="74" xfId="0" applyFont="1" applyBorder="1" applyAlignment="1">
      <alignment horizontal="center" vertical="center" wrapText="1"/>
    </xf>
    <xf numFmtId="0" fontId="113" fillId="0" borderId="230" xfId="0" applyNumberFormat="1" applyFont="1" applyFill="1" applyBorder="1" applyAlignment="1">
      <alignment horizontal="left" vertical="center" wrapText="1"/>
    </xf>
    <xf numFmtId="0" fontId="113" fillId="0" borderId="231" xfId="0" applyNumberFormat="1" applyFont="1" applyFill="1" applyBorder="1" applyAlignment="1">
      <alignment horizontal="left" vertical="center" wrapText="1"/>
    </xf>
    <xf numFmtId="0" fontId="113" fillId="0" borderId="232" xfId="0" applyNumberFormat="1" applyFont="1" applyFill="1" applyBorder="1" applyAlignment="1">
      <alignment horizontal="left" vertical="center" wrapText="1"/>
    </xf>
    <xf numFmtId="0" fontId="113" fillId="0" borderId="95" xfId="0" applyNumberFormat="1" applyFont="1" applyFill="1" applyBorder="1" applyAlignment="1">
      <alignment horizontal="left" vertical="center" wrapText="1"/>
    </xf>
    <xf numFmtId="0" fontId="113" fillId="0" borderId="234" xfId="0" applyNumberFormat="1" applyFont="1" applyFill="1" applyBorder="1" applyAlignment="1">
      <alignment horizontal="left" vertical="center" wrapText="1"/>
    </xf>
    <xf numFmtId="0" fontId="113" fillId="0" borderId="235" xfId="0" applyNumberFormat="1" applyFont="1" applyFill="1" applyBorder="1" applyAlignment="1">
      <alignment horizontal="left" vertical="center" wrapText="1"/>
    </xf>
    <xf numFmtId="0" fontId="114" fillId="0" borderId="54" xfId="0" applyFont="1" applyFill="1" applyBorder="1" applyAlignment="1">
      <alignment horizontal="center" vertical="center" wrapText="1"/>
    </xf>
    <xf numFmtId="0" fontId="114" fillId="0" borderId="51" xfId="0" applyFont="1" applyFill="1" applyBorder="1" applyAlignment="1">
      <alignment horizontal="center" vertical="center" wrapText="1"/>
    </xf>
    <xf numFmtId="0" fontId="114" fillId="0" borderId="71" xfId="0" applyFont="1" applyFill="1" applyBorder="1" applyAlignment="1">
      <alignment horizontal="center" vertical="center" wrapText="1"/>
    </xf>
    <xf numFmtId="0" fontId="114" fillId="0" borderId="131" xfId="0" applyFont="1" applyFill="1" applyBorder="1" applyAlignment="1">
      <alignment horizontal="center" vertical="center" wrapText="1"/>
    </xf>
    <xf numFmtId="0" fontId="114" fillId="0" borderId="96" xfId="0" applyFont="1" applyFill="1" applyBorder="1" applyAlignment="1">
      <alignment horizontal="center" vertical="center" wrapText="1"/>
    </xf>
    <xf numFmtId="0" fontId="114" fillId="0" borderId="110" xfId="0" applyFont="1" applyFill="1" applyBorder="1" applyAlignment="1">
      <alignment horizontal="center" vertical="center" wrapText="1"/>
    </xf>
    <xf numFmtId="0" fontId="110" fillId="0" borderId="4" xfId="0" applyFont="1" applyBorder="1" applyAlignment="1">
      <alignment horizontal="center" vertical="center" wrapText="1"/>
    </xf>
    <xf numFmtId="0" fontId="110" fillId="0" borderId="5" xfId="0" applyFont="1" applyBorder="1" applyAlignment="1">
      <alignment horizontal="center" vertical="center" wrapText="1"/>
    </xf>
    <xf numFmtId="0" fontId="113" fillId="0" borderId="233" xfId="0" applyNumberFormat="1" applyFont="1" applyFill="1" applyBorder="1" applyAlignment="1">
      <alignment horizontal="left" vertical="center" wrapText="1"/>
    </xf>
    <xf numFmtId="0" fontId="113" fillId="0" borderId="98" xfId="0" applyNumberFormat="1" applyFont="1" applyFill="1" applyBorder="1" applyAlignment="1">
      <alignment horizontal="left" vertical="center" wrapText="1"/>
    </xf>
    <xf numFmtId="0" fontId="110" fillId="0" borderId="13" xfId="0" applyFont="1" applyBorder="1" applyAlignment="1">
      <alignment horizontal="center" vertical="center" wrapText="1"/>
    </xf>
    <xf numFmtId="0" fontId="110" fillId="0" borderId="169" xfId="0" applyFont="1" applyBorder="1" applyAlignment="1">
      <alignment horizontal="center" vertical="center" wrapText="1"/>
    </xf>
    <xf numFmtId="0" fontId="110" fillId="0" borderId="109" xfId="0" applyFont="1" applyBorder="1" applyAlignment="1">
      <alignment horizontal="center" vertical="center" wrapText="1"/>
    </xf>
    <xf numFmtId="0" fontId="113" fillId="0" borderId="90" xfId="0" applyNumberFormat="1" applyFont="1" applyFill="1" applyBorder="1" applyAlignment="1">
      <alignment horizontal="left" vertical="center" wrapText="1"/>
    </xf>
    <xf numFmtId="0" fontId="113" fillId="0" borderId="91" xfId="0" applyNumberFormat="1" applyFont="1" applyFill="1" applyBorder="1" applyAlignment="1">
      <alignment horizontal="left" vertical="center" wrapText="1"/>
    </xf>
    <xf numFmtId="0" fontId="113" fillId="0" borderId="97" xfId="0" applyNumberFormat="1" applyFont="1" applyFill="1" applyBorder="1" applyAlignment="1">
      <alignment horizontal="left" vertical="center" wrapText="1"/>
    </xf>
    <xf numFmtId="0" fontId="110" fillId="0" borderId="105" xfId="0" applyFont="1" applyBorder="1" applyAlignment="1">
      <alignment horizontal="center" vertical="center" wrapText="1"/>
    </xf>
    <xf numFmtId="0" fontId="118" fillId="0" borderId="105" xfId="0" applyFont="1" applyFill="1" applyBorder="1" applyAlignment="1">
      <alignment horizontal="center" vertical="center"/>
    </xf>
    <xf numFmtId="0" fontId="118" fillId="0" borderId="92" xfId="0" applyFont="1" applyFill="1" applyBorder="1" applyAlignment="1">
      <alignment horizontal="center" vertical="center"/>
    </xf>
    <xf numFmtId="0" fontId="118" fillId="0" borderId="94" xfId="0" applyFont="1" applyFill="1" applyBorder="1" applyAlignment="1">
      <alignment horizontal="center" vertical="center"/>
    </xf>
    <xf numFmtId="0" fontId="118" fillId="0" borderId="78" xfId="0" applyFont="1" applyFill="1" applyBorder="1" applyAlignment="1">
      <alignment horizontal="center" vertical="center"/>
    </xf>
    <xf numFmtId="0" fontId="118" fillId="0" borderId="69" xfId="0" applyFont="1" applyFill="1" applyBorder="1" applyAlignment="1">
      <alignment horizontal="center" vertical="center"/>
    </xf>
    <xf numFmtId="0" fontId="114" fillId="0" borderId="105" xfId="0" applyFont="1" applyFill="1" applyBorder="1" applyAlignment="1">
      <alignment horizontal="center" vertical="center" wrapText="1"/>
    </xf>
    <xf numFmtId="0" fontId="110" fillId="0" borderId="108" xfId="0" applyFont="1" applyBorder="1" applyAlignment="1">
      <alignment horizontal="center" vertical="center" wrapText="1"/>
    </xf>
    <xf numFmtId="0" fontId="113" fillId="0" borderId="92" xfId="0" applyFont="1" applyFill="1" applyBorder="1" applyAlignment="1">
      <alignment horizontal="center" vertical="center" wrapText="1"/>
    </xf>
    <xf numFmtId="0" fontId="113" fillId="0" borderId="94" xfId="0" applyFont="1" applyFill="1" applyBorder="1" applyAlignment="1">
      <alignment horizontal="center" vertical="center" wrapText="1"/>
    </xf>
    <xf numFmtId="0" fontId="113" fillId="0" borderId="64" xfId="0" applyFont="1" applyFill="1" applyBorder="1" applyAlignment="1">
      <alignment horizontal="center" vertical="center" wrapText="1"/>
    </xf>
    <xf numFmtId="0" fontId="113" fillId="0" borderId="62" xfId="0" applyFont="1" applyFill="1" applyBorder="1" applyAlignment="1">
      <alignment horizontal="center" vertical="center" wrapText="1"/>
    </xf>
    <xf numFmtId="0" fontId="113" fillId="0" borderId="78" xfId="0" applyFont="1" applyFill="1" applyBorder="1" applyAlignment="1">
      <alignment horizontal="center" vertical="center" wrapText="1"/>
    </xf>
    <xf numFmtId="0" fontId="113" fillId="0" borderId="69" xfId="0" applyFont="1" applyFill="1" applyBorder="1" applyAlignment="1">
      <alignment horizontal="center" vertical="center" wrapText="1"/>
    </xf>
    <xf numFmtId="0" fontId="110" fillId="0" borderId="106" xfId="0" applyFont="1" applyFill="1" applyBorder="1" applyAlignment="1">
      <alignment horizontal="center" vertical="center" wrapText="1"/>
    </xf>
    <xf numFmtId="0" fontId="110" fillId="0" borderId="107" xfId="0" applyFont="1" applyFill="1" applyBorder="1" applyAlignment="1">
      <alignment horizontal="center" vertical="center" wrapText="1"/>
    </xf>
    <xf numFmtId="0" fontId="113" fillId="0" borderId="70" xfId="0" applyFont="1" applyFill="1" applyBorder="1" applyAlignment="1">
      <alignment horizontal="center" vertical="center" wrapText="1"/>
    </xf>
    <xf numFmtId="0" fontId="113" fillId="0" borderId="5" xfId="0" applyFont="1" applyFill="1" applyBorder="1" applyAlignment="1">
      <alignment horizontal="center" vertical="center" wrapText="1"/>
    </xf>
    <xf numFmtId="0" fontId="110" fillId="0" borderId="70" xfId="0" applyFont="1" applyFill="1" applyBorder="1" applyAlignment="1">
      <alignment horizontal="center" vertical="center" wrapText="1"/>
    </xf>
    <xf numFmtId="0" fontId="110" fillId="0" borderId="69" xfId="0" applyFont="1" applyBorder="1" applyAlignment="1">
      <alignment horizontal="center" vertical="center" wrapText="1"/>
    </xf>
    <xf numFmtId="0" fontId="113" fillId="0" borderId="50" xfId="0" applyNumberFormat="1" applyFont="1" applyFill="1" applyBorder="1" applyAlignment="1">
      <alignment horizontal="left" vertical="top" wrapText="1"/>
    </xf>
    <xf numFmtId="0" fontId="113" fillId="0" borderId="71" xfId="0" applyNumberFormat="1" applyFont="1" applyFill="1" applyBorder="1" applyAlignment="1">
      <alignment horizontal="left" vertical="top" wrapText="1"/>
    </xf>
    <xf numFmtId="0" fontId="113" fillId="0" borderId="57" xfId="0" applyNumberFormat="1" applyFont="1" applyFill="1" applyBorder="1" applyAlignment="1">
      <alignment horizontal="left" vertical="top" wrapText="1"/>
    </xf>
    <xf numFmtId="0" fontId="113" fillId="0" borderId="84" xfId="0" applyNumberFormat="1" applyFont="1" applyFill="1" applyBorder="1" applyAlignment="1">
      <alignment horizontal="left" vertical="top" wrapText="1"/>
    </xf>
    <xf numFmtId="0" fontId="113" fillId="0" borderId="89" xfId="0" applyNumberFormat="1" applyFont="1" applyFill="1" applyBorder="1" applyAlignment="1">
      <alignment horizontal="left" vertical="top" wrapText="1"/>
    </xf>
    <xf numFmtId="0" fontId="113" fillId="0" borderId="110" xfId="0" applyNumberFormat="1" applyFont="1" applyFill="1" applyBorder="1" applyAlignment="1">
      <alignment horizontal="left" vertical="top" wrapText="1"/>
    </xf>
    <xf numFmtId="0" fontId="113" fillId="0" borderId="79" xfId="0" applyFont="1" applyFill="1" applyBorder="1" applyAlignment="1">
      <alignment horizontal="center" vertical="center" wrapText="1"/>
    </xf>
    <xf numFmtId="0" fontId="113" fillId="0" borderId="61" xfId="0" applyFont="1" applyFill="1" applyBorder="1" applyAlignment="1">
      <alignment horizontal="center" vertical="center" wrapText="1"/>
    </xf>
    <xf numFmtId="0" fontId="110" fillId="0" borderId="58" xfId="0" applyFont="1" applyBorder="1" applyAlignment="1">
      <alignment horizontal="center" vertical="center" wrapText="1"/>
    </xf>
    <xf numFmtId="0" fontId="110" fillId="0" borderId="63" xfId="0" applyFont="1" applyFill="1" applyBorder="1" applyAlignment="1">
      <alignment horizontal="center" vertical="center" wrapText="1"/>
    </xf>
    <xf numFmtId="0" fontId="110" fillId="0" borderId="24" xfId="0" applyFont="1" applyFill="1" applyBorder="1" applyAlignment="1">
      <alignment horizontal="center" vertical="center" wrapText="1"/>
    </xf>
    <xf numFmtId="0" fontId="110" fillId="0" borderId="25" xfId="0" applyFont="1" applyFill="1" applyBorder="1" applyAlignment="1">
      <alignment horizontal="center" vertical="center" wrapText="1"/>
    </xf>
    <xf numFmtId="0" fontId="110" fillId="0" borderId="92" xfId="0" applyFont="1" applyBorder="1" applyAlignment="1">
      <alignment horizontal="center" vertical="top" wrapText="1"/>
    </xf>
    <xf numFmtId="0" fontId="110" fillId="0" borderId="93" xfId="0" applyFont="1" applyBorder="1" applyAlignment="1">
      <alignment horizontal="center" vertical="top" wrapText="1"/>
    </xf>
    <xf numFmtId="0" fontId="110" fillId="0" borderId="92" xfId="0" applyFont="1" applyFill="1" applyBorder="1" applyAlignment="1">
      <alignment horizontal="center" vertical="top" wrapText="1"/>
    </xf>
    <xf numFmtId="0" fontId="110" fillId="0" borderId="107" xfId="0" applyFont="1" applyFill="1" applyBorder="1" applyAlignment="1">
      <alignment horizontal="center" vertical="top" wrapText="1"/>
    </xf>
    <xf numFmtId="0" fontId="110" fillId="0" borderId="108" xfId="0" applyFont="1" applyFill="1" applyBorder="1" applyAlignment="1">
      <alignment horizontal="center" vertical="top" wrapText="1"/>
    </xf>
    <xf numFmtId="0" fontId="130" fillId="0" borderId="100" xfId="0" applyNumberFormat="1" applyFont="1" applyFill="1" applyBorder="1" applyAlignment="1">
      <alignment horizontal="left" vertical="top" wrapText="1"/>
    </xf>
    <xf numFmtId="0" fontId="130" fillId="0" borderId="101" xfId="0" applyNumberFormat="1" applyFont="1" applyFill="1" applyBorder="1" applyAlignment="1">
      <alignment horizontal="left" vertical="top" wrapText="1"/>
    </xf>
    <xf numFmtId="0" fontId="116" fillId="0" borderId="92" xfId="0" applyFont="1" applyBorder="1" applyAlignment="1">
      <alignment horizontal="center" vertical="center"/>
    </xf>
    <xf numFmtId="0" fontId="116" fillId="0" borderId="94" xfId="0" applyFont="1" applyBorder="1" applyAlignment="1">
      <alignment horizontal="center" vertical="center"/>
    </xf>
    <xf numFmtId="0" fontId="116" fillId="0" borderId="78" xfId="0" applyFont="1" applyBorder="1" applyAlignment="1">
      <alignment horizontal="center" vertical="center"/>
    </xf>
    <xf numFmtId="0" fontId="116" fillId="0" borderId="69" xfId="0" applyFont="1" applyBorder="1" applyAlignment="1">
      <alignment horizontal="center" vertical="center"/>
    </xf>
    <xf numFmtId="0" fontId="115" fillId="0" borderId="105" xfId="0" applyFont="1" applyBorder="1" applyAlignment="1">
      <alignment horizontal="center" vertical="center" wrapText="1"/>
    </xf>
    <xf numFmtId="0" fontId="115" fillId="0" borderId="109"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isbank.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showGridLines="0" tabSelected="1" zoomScaleNormal="100" workbookViewId="0">
      <selection activeCell="B1" sqref="B1"/>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102"/>
      <c r="B1" s="107" t="s">
        <v>209</v>
      </c>
      <c r="C1" s="102"/>
    </row>
    <row r="2" spans="1:3" ht="15">
      <c r="A2" s="108">
        <v>1</v>
      </c>
      <c r="B2" s="200" t="s">
        <v>210</v>
      </c>
      <c r="C2" s="443" t="s">
        <v>752</v>
      </c>
    </row>
    <row r="3" spans="1:3" ht="15">
      <c r="A3" s="108">
        <v>2</v>
      </c>
      <c r="B3" s="201" t="s">
        <v>206</v>
      </c>
      <c r="C3" s="443" t="s">
        <v>753</v>
      </c>
    </row>
    <row r="4" spans="1:3" ht="15">
      <c r="A4" s="108">
        <v>3</v>
      </c>
      <c r="B4" s="202" t="s">
        <v>211</v>
      </c>
      <c r="C4" s="443" t="s">
        <v>777</v>
      </c>
    </row>
    <row r="5" spans="1:3">
      <c r="A5" s="109">
        <v>4</v>
      </c>
      <c r="B5" s="203" t="s">
        <v>207</v>
      </c>
      <c r="C5" s="444" t="s">
        <v>754</v>
      </c>
    </row>
    <row r="6" spans="1:3" s="110" customFormat="1" ht="45.75" customHeight="1">
      <c r="A6" s="883" t="s">
        <v>283</v>
      </c>
      <c r="B6" s="884"/>
      <c r="C6" s="884"/>
    </row>
    <row r="7" spans="1:3" ht="15">
      <c r="A7" s="111" t="s">
        <v>29</v>
      </c>
      <c r="B7" s="107" t="s">
        <v>208</v>
      </c>
    </row>
    <row r="8" spans="1:3">
      <c r="A8" s="102">
        <v>1</v>
      </c>
      <c r="B8" s="138" t="s">
        <v>20</v>
      </c>
    </row>
    <row r="9" spans="1:3">
      <c r="A9" s="102">
        <v>2</v>
      </c>
      <c r="B9" s="139" t="s">
        <v>21</v>
      </c>
    </row>
    <row r="10" spans="1:3">
      <c r="A10" s="102">
        <v>3</v>
      </c>
      <c r="B10" s="139" t="s">
        <v>22</v>
      </c>
    </row>
    <row r="11" spans="1:3">
      <c r="A11" s="102">
        <v>4</v>
      </c>
      <c r="B11" s="139" t="s">
        <v>23</v>
      </c>
      <c r="C11" s="46"/>
    </row>
    <row r="12" spans="1:3">
      <c r="A12" s="102">
        <v>5</v>
      </c>
      <c r="B12" s="139" t="s">
        <v>24</v>
      </c>
    </row>
    <row r="13" spans="1:3">
      <c r="A13" s="102">
        <v>6</v>
      </c>
      <c r="B13" s="140" t="s">
        <v>218</v>
      </c>
    </row>
    <row r="14" spans="1:3">
      <c r="A14" s="102">
        <v>7</v>
      </c>
      <c r="B14" s="139" t="s">
        <v>212</v>
      </c>
    </row>
    <row r="15" spans="1:3">
      <c r="A15" s="102">
        <v>8</v>
      </c>
      <c r="B15" s="139" t="s">
        <v>213</v>
      </c>
    </row>
    <row r="16" spans="1:3">
      <c r="A16" s="102">
        <v>9</v>
      </c>
      <c r="B16" s="139" t="s">
        <v>25</v>
      </c>
    </row>
    <row r="17" spans="1:2">
      <c r="A17" s="199" t="s">
        <v>282</v>
      </c>
      <c r="B17" s="198" t="s">
        <v>269</v>
      </c>
    </row>
    <row r="18" spans="1:2" s="15" customFormat="1">
      <c r="A18" s="424" t="s">
        <v>711</v>
      </c>
      <c r="B18" s="425" t="s">
        <v>713</v>
      </c>
    </row>
    <row r="19" spans="1:2" s="15" customFormat="1">
      <c r="A19" s="426" t="s">
        <v>712</v>
      </c>
      <c r="B19" s="425" t="s">
        <v>714</v>
      </c>
    </row>
    <row r="20" spans="1:2">
      <c r="A20" s="102">
        <v>10</v>
      </c>
      <c r="B20" s="139" t="s">
        <v>26</v>
      </c>
    </row>
    <row r="21" spans="1:2">
      <c r="A21" s="102">
        <v>11</v>
      </c>
      <c r="B21" s="140" t="s">
        <v>214</v>
      </c>
    </row>
    <row r="22" spans="1:2">
      <c r="A22" s="102">
        <v>12</v>
      </c>
      <c r="B22" s="140" t="s">
        <v>27</v>
      </c>
    </row>
    <row r="23" spans="1:2">
      <c r="A23" s="219">
        <v>13</v>
      </c>
      <c r="B23" s="220" t="s">
        <v>215</v>
      </c>
    </row>
    <row r="24" spans="1:2">
      <c r="A24" s="219">
        <v>14</v>
      </c>
      <c r="B24" s="221" t="s">
        <v>240</v>
      </c>
    </row>
    <row r="25" spans="1:2">
      <c r="A25" s="222">
        <v>15</v>
      </c>
      <c r="B25" s="223" t="s">
        <v>28</v>
      </c>
    </row>
    <row r="26" spans="1:2">
      <c r="A26" s="222">
        <v>15.1</v>
      </c>
      <c r="B26" s="224" t="s">
        <v>296</v>
      </c>
    </row>
    <row r="27" spans="1:2">
      <c r="A27" s="427">
        <v>15.2</v>
      </c>
      <c r="B27" s="425" t="s">
        <v>716</v>
      </c>
    </row>
    <row r="28" spans="1:2">
      <c r="A28" s="222">
        <v>16</v>
      </c>
      <c r="B28" s="224" t="s">
        <v>337</v>
      </c>
    </row>
    <row r="29" spans="1:2">
      <c r="A29" s="222">
        <v>17</v>
      </c>
      <c r="B29" s="224" t="s">
        <v>378</v>
      </c>
    </row>
    <row r="30" spans="1:2">
      <c r="A30" s="222">
        <v>18</v>
      </c>
      <c r="B30" s="224" t="s">
        <v>666</v>
      </c>
    </row>
    <row r="31" spans="1:2">
      <c r="A31" s="222">
        <v>19</v>
      </c>
      <c r="B31" s="224" t="s">
        <v>667</v>
      </c>
    </row>
    <row r="32" spans="1:2">
      <c r="A32" s="222">
        <v>20</v>
      </c>
      <c r="B32" s="274" t="s">
        <v>668</v>
      </c>
    </row>
    <row r="33" spans="1:2">
      <c r="A33" s="222">
        <v>21</v>
      </c>
      <c r="B33" s="224" t="s">
        <v>494</v>
      </c>
    </row>
    <row r="34" spans="1:2">
      <c r="A34" s="222">
        <v>22</v>
      </c>
      <c r="B34" s="224" t="s">
        <v>669</v>
      </c>
    </row>
    <row r="35" spans="1:2">
      <c r="A35" s="222">
        <v>23</v>
      </c>
      <c r="B35" s="224" t="s">
        <v>670</v>
      </c>
    </row>
    <row r="36" spans="1:2">
      <c r="A36" s="222">
        <v>24</v>
      </c>
      <c r="B36" s="224" t="s">
        <v>671</v>
      </c>
    </row>
    <row r="37" spans="1:2">
      <c r="A37" s="222">
        <v>25</v>
      </c>
      <c r="B37" s="224" t="s">
        <v>379</v>
      </c>
    </row>
    <row r="38" spans="1:2">
      <c r="A38" s="222">
        <v>26</v>
      </c>
      <c r="B38" s="224" t="s">
        <v>516</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 ref="C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showGridLines="0" zoomScaleNormal="100" workbookViewId="0">
      <pane xSplit="1" ySplit="5" topLeftCell="B6"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9.5703125" style="49" bestFit="1" customWidth="1"/>
    <col min="2" max="2" width="132.42578125" style="4" customWidth="1"/>
    <col min="3" max="3" width="18.42578125" style="4" customWidth="1"/>
    <col min="4" max="16384" width="9.140625" style="4"/>
  </cols>
  <sheetData>
    <row r="1" spans="1:3">
      <c r="A1" s="2" t="s">
        <v>30</v>
      </c>
      <c r="B1" s="445" t="str">
        <f>'Info '!C2</f>
        <v>JSC Isbank Georgia</v>
      </c>
    </row>
    <row r="2" spans="1:3" s="41" customFormat="1" ht="15.75" customHeight="1">
      <c r="A2" s="41" t="s">
        <v>31</v>
      </c>
      <c r="B2" s="446">
        <f>'1. key ratios '!B2</f>
        <v>46112</v>
      </c>
    </row>
    <row r="3" spans="1:3" s="41" customFormat="1" ht="15.75" customHeight="1"/>
    <row r="4" spans="1:3" ht="13.5" thickBot="1">
      <c r="A4" s="49" t="s">
        <v>143</v>
      </c>
      <c r="B4" s="83" t="s">
        <v>142</v>
      </c>
    </row>
    <row r="5" spans="1:3">
      <c r="A5" s="50" t="s">
        <v>6</v>
      </c>
      <c r="B5" s="51"/>
      <c r="C5" s="52" t="s">
        <v>35</v>
      </c>
    </row>
    <row r="6" spans="1:3">
      <c r="A6" s="53">
        <v>1</v>
      </c>
      <c r="B6" s="54" t="s">
        <v>141</v>
      </c>
      <c r="C6" s="628">
        <f>SUM(C7:C11)</f>
        <v>164318037.90074623</v>
      </c>
    </row>
    <row r="7" spans="1:3">
      <c r="A7" s="53">
        <v>2</v>
      </c>
      <c r="B7" s="55" t="s">
        <v>140</v>
      </c>
      <c r="C7" s="629">
        <f>'2. SOFP'!E55</f>
        <v>69161600</v>
      </c>
    </row>
    <row r="8" spans="1:3">
      <c r="A8" s="53">
        <v>3</v>
      </c>
      <c r="B8" s="56" t="s">
        <v>139</v>
      </c>
      <c r="C8" s="629"/>
    </row>
    <row r="9" spans="1:3">
      <c r="A9" s="53">
        <v>4</v>
      </c>
      <c r="B9" s="56" t="s">
        <v>138</v>
      </c>
      <c r="C9" s="629"/>
    </row>
    <row r="10" spans="1:3">
      <c r="A10" s="53">
        <v>5</v>
      </c>
      <c r="B10" s="56" t="s">
        <v>137</v>
      </c>
      <c r="C10" s="629"/>
    </row>
    <row r="11" spans="1:3">
      <c r="A11" s="53">
        <v>6</v>
      </c>
      <c r="B11" s="57" t="s">
        <v>136</v>
      </c>
      <c r="C11" s="629">
        <f>'2. SOFP'!E67</f>
        <v>95156437.900746241</v>
      </c>
    </row>
    <row r="12" spans="1:3" s="27" customFormat="1">
      <c r="A12" s="53">
        <v>7</v>
      </c>
      <c r="B12" s="54" t="s">
        <v>135</v>
      </c>
      <c r="C12" s="630">
        <f>SUM(C13:C28)</f>
        <v>2463590.19</v>
      </c>
    </row>
    <row r="13" spans="1:3" s="27" customFormat="1">
      <c r="A13" s="53">
        <v>8</v>
      </c>
      <c r="B13" s="58" t="s">
        <v>134</v>
      </c>
      <c r="C13" s="631"/>
    </row>
    <row r="14" spans="1:3" s="27" customFormat="1" ht="25.5">
      <c r="A14" s="53">
        <v>9</v>
      </c>
      <c r="B14" s="59" t="s">
        <v>133</v>
      </c>
      <c r="C14" s="631"/>
    </row>
    <row r="15" spans="1:3" s="27" customFormat="1">
      <c r="A15" s="53">
        <v>10</v>
      </c>
      <c r="B15" s="60" t="s">
        <v>132</v>
      </c>
      <c r="C15" s="631">
        <f>'2. SOFP'!E27</f>
        <v>2463590.19</v>
      </c>
    </row>
    <row r="16" spans="1:3" s="27" customFormat="1">
      <c r="A16" s="53">
        <v>11</v>
      </c>
      <c r="B16" s="61" t="s">
        <v>131</v>
      </c>
      <c r="C16" s="631"/>
    </row>
    <row r="17" spans="1:3" s="27" customFormat="1">
      <c r="A17" s="53">
        <v>12</v>
      </c>
      <c r="B17" s="60" t="s">
        <v>130</v>
      </c>
      <c r="C17" s="631"/>
    </row>
    <row r="18" spans="1:3" s="27" customFormat="1">
      <c r="A18" s="53">
        <v>13</v>
      </c>
      <c r="B18" s="60" t="s">
        <v>129</v>
      </c>
      <c r="C18" s="631"/>
    </row>
    <row r="19" spans="1:3" s="27" customFormat="1">
      <c r="A19" s="53">
        <v>14</v>
      </c>
      <c r="B19" s="60" t="s">
        <v>128</v>
      </c>
      <c r="C19" s="631"/>
    </row>
    <row r="20" spans="1:3" s="27" customFormat="1">
      <c r="A20" s="53">
        <v>15</v>
      </c>
      <c r="B20" s="60" t="s">
        <v>127</v>
      </c>
      <c r="C20" s="631"/>
    </row>
    <row r="21" spans="1:3" s="27" customFormat="1" ht="25.5">
      <c r="A21" s="53">
        <v>16</v>
      </c>
      <c r="B21" s="59" t="s">
        <v>126</v>
      </c>
      <c r="C21" s="631"/>
    </row>
    <row r="22" spans="1:3" s="27" customFormat="1">
      <c r="A22" s="53">
        <v>17</v>
      </c>
      <c r="B22" s="62" t="s">
        <v>125</v>
      </c>
      <c r="C22" s="631"/>
    </row>
    <row r="23" spans="1:3" s="27" customFormat="1">
      <c r="A23" s="53">
        <v>18</v>
      </c>
      <c r="B23" s="422" t="s">
        <v>517</v>
      </c>
      <c r="C23" s="631"/>
    </row>
    <row r="24" spans="1:3" s="27" customFormat="1">
      <c r="A24" s="53">
        <v>19</v>
      </c>
      <c r="B24" s="59" t="s">
        <v>124</v>
      </c>
      <c r="C24" s="631"/>
    </row>
    <row r="25" spans="1:3" s="27" customFormat="1" ht="25.5">
      <c r="A25" s="53">
        <v>20</v>
      </c>
      <c r="B25" s="59" t="s">
        <v>101</v>
      </c>
      <c r="C25" s="631"/>
    </row>
    <row r="26" spans="1:3" s="27" customFormat="1">
      <c r="A26" s="53">
        <v>21</v>
      </c>
      <c r="B26" s="63" t="s">
        <v>123</v>
      </c>
      <c r="C26" s="631"/>
    </row>
    <row r="27" spans="1:3" s="27" customFormat="1">
      <c r="A27" s="53">
        <v>22</v>
      </c>
      <c r="B27" s="63" t="s">
        <v>122</v>
      </c>
      <c r="C27" s="631"/>
    </row>
    <row r="28" spans="1:3" s="27" customFormat="1">
      <c r="A28" s="53">
        <v>23</v>
      </c>
      <c r="B28" s="63" t="s">
        <v>121</v>
      </c>
      <c r="C28" s="631"/>
    </row>
    <row r="29" spans="1:3" s="27" customFormat="1">
      <c r="A29" s="53">
        <v>24</v>
      </c>
      <c r="B29" s="64" t="s">
        <v>120</v>
      </c>
      <c r="C29" s="632">
        <f>C6-C12</f>
        <v>161854447.71074623</v>
      </c>
    </row>
    <row r="30" spans="1:3" s="27" customFormat="1">
      <c r="A30" s="65"/>
      <c r="B30" s="66"/>
      <c r="C30" s="631"/>
    </row>
    <row r="31" spans="1:3" s="27" customFormat="1">
      <c r="A31" s="65">
        <v>25</v>
      </c>
      <c r="B31" s="64" t="s">
        <v>119</v>
      </c>
      <c r="C31" s="630">
        <f>C32+C35</f>
        <v>0</v>
      </c>
    </row>
    <row r="32" spans="1:3" s="27" customFormat="1">
      <c r="A32" s="65">
        <v>26</v>
      </c>
      <c r="B32" s="56" t="s">
        <v>118</v>
      </c>
      <c r="C32" s="633">
        <f>C33+C34</f>
        <v>0</v>
      </c>
    </row>
    <row r="33" spans="1:3" s="27" customFormat="1">
      <c r="A33" s="65">
        <v>27</v>
      </c>
      <c r="B33" s="67" t="s">
        <v>179</v>
      </c>
      <c r="C33" s="631"/>
    </row>
    <row r="34" spans="1:3" s="27" customFormat="1">
      <c r="A34" s="65">
        <v>28</v>
      </c>
      <c r="B34" s="67" t="s">
        <v>117</v>
      </c>
      <c r="C34" s="631"/>
    </row>
    <row r="35" spans="1:3" s="27" customFormat="1">
      <c r="A35" s="65">
        <v>29</v>
      </c>
      <c r="B35" s="56" t="s">
        <v>116</v>
      </c>
      <c r="C35" s="631"/>
    </row>
    <row r="36" spans="1:3" s="27" customFormat="1">
      <c r="A36" s="65">
        <v>30</v>
      </c>
      <c r="B36" s="64" t="s">
        <v>115</v>
      </c>
      <c r="C36" s="630">
        <f>SUM(C37:C41)</f>
        <v>0</v>
      </c>
    </row>
    <row r="37" spans="1:3" s="27" customFormat="1">
      <c r="A37" s="65">
        <v>31</v>
      </c>
      <c r="B37" s="59" t="s">
        <v>114</v>
      </c>
      <c r="C37" s="631"/>
    </row>
    <row r="38" spans="1:3" s="27" customFormat="1">
      <c r="A38" s="65">
        <v>32</v>
      </c>
      <c r="B38" s="60" t="s">
        <v>113</v>
      </c>
      <c r="C38" s="631"/>
    </row>
    <row r="39" spans="1:3" s="27" customFormat="1" ht="25.5">
      <c r="A39" s="65">
        <v>33</v>
      </c>
      <c r="B39" s="59" t="s">
        <v>112</v>
      </c>
      <c r="C39" s="631"/>
    </row>
    <row r="40" spans="1:3" s="27" customFormat="1" ht="25.5">
      <c r="A40" s="65">
        <v>34</v>
      </c>
      <c r="B40" s="59" t="s">
        <v>101</v>
      </c>
      <c r="C40" s="631"/>
    </row>
    <row r="41" spans="1:3" s="27" customFormat="1">
      <c r="A41" s="65">
        <v>35</v>
      </c>
      <c r="B41" s="63" t="s">
        <v>111</v>
      </c>
      <c r="C41" s="631"/>
    </row>
    <row r="42" spans="1:3" s="27" customFormat="1">
      <c r="A42" s="65">
        <v>36</v>
      </c>
      <c r="B42" s="64" t="s">
        <v>110</v>
      </c>
      <c r="C42" s="630">
        <f>C31-C36</f>
        <v>0</v>
      </c>
    </row>
    <row r="43" spans="1:3" s="27" customFormat="1">
      <c r="A43" s="65"/>
      <c r="B43" s="66"/>
      <c r="C43" s="631"/>
    </row>
    <row r="44" spans="1:3" s="27" customFormat="1">
      <c r="A44" s="65">
        <v>37</v>
      </c>
      <c r="B44" s="68" t="s">
        <v>109</v>
      </c>
      <c r="C44" s="630">
        <f>SUM(C45:C47)</f>
        <v>13499000.000000002</v>
      </c>
    </row>
    <row r="45" spans="1:3" s="27" customFormat="1">
      <c r="A45" s="65">
        <v>38</v>
      </c>
      <c r="B45" s="56" t="s">
        <v>108</v>
      </c>
      <c r="C45" s="631">
        <v>13499000.000000002</v>
      </c>
    </row>
    <row r="46" spans="1:3" s="27" customFormat="1">
      <c r="A46" s="65">
        <v>39</v>
      </c>
      <c r="B46" s="56" t="s">
        <v>107</v>
      </c>
      <c r="C46" s="631"/>
    </row>
    <row r="47" spans="1:3" s="27" customFormat="1">
      <c r="A47" s="65">
        <v>40</v>
      </c>
      <c r="B47" s="56" t="s">
        <v>106</v>
      </c>
      <c r="C47" s="631"/>
    </row>
    <row r="48" spans="1:3" s="27" customFormat="1">
      <c r="A48" s="65">
        <v>41</v>
      </c>
      <c r="B48" s="68" t="s">
        <v>105</v>
      </c>
      <c r="C48" s="630">
        <f>SUM(C49:C52)</f>
        <v>0</v>
      </c>
    </row>
    <row r="49" spans="1:3" s="27" customFormat="1">
      <c r="A49" s="65">
        <v>42</v>
      </c>
      <c r="B49" s="59" t="s">
        <v>104</v>
      </c>
      <c r="C49" s="631"/>
    </row>
    <row r="50" spans="1:3" s="27" customFormat="1">
      <c r="A50" s="65">
        <v>43</v>
      </c>
      <c r="B50" s="60" t="s">
        <v>103</v>
      </c>
      <c r="C50" s="631"/>
    </row>
    <row r="51" spans="1:3" s="27" customFormat="1">
      <c r="A51" s="65">
        <v>44</v>
      </c>
      <c r="B51" s="59" t="s">
        <v>102</v>
      </c>
      <c r="C51" s="631"/>
    </row>
    <row r="52" spans="1:3" s="27" customFormat="1" ht="25.5">
      <c r="A52" s="65">
        <v>45</v>
      </c>
      <c r="B52" s="59" t="s">
        <v>101</v>
      </c>
      <c r="C52" s="631"/>
    </row>
    <row r="53" spans="1:3" s="27" customFormat="1" ht="13.5" thickBot="1">
      <c r="A53" s="65">
        <v>46</v>
      </c>
      <c r="B53" s="69" t="s">
        <v>100</v>
      </c>
      <c r="C53" s="634">
        <f>C44-C48</f>
        <v>13499000.000000002</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showGridLines="0" zoomScale="115" zoomScaleNormal="115" workbookViewId="0">
      <selection activeCell="B4" sqref="B4"/>
    </sheetView>
  </sheetViews>
  <sheetFormatPr defaultColWidth="9.140625" defaultRowHeight="12.75"/>
  <cols>
    <col min="1" max="1" width="9.42578125" style="146" bestFit="1" customWidth="1"/>
    <col min="2" max="2" width="59" style="146" customWidth="1"/>
    <col min="3" max="3" width="16.85546875" style="146" bestFit="1" customWidth="1"/>
    <col min="4" max="4" width="13.140625" style="146" bestFit="1" customWidth="1"/>
    <col min="5" max="16384" width="9.140625" style="146"/>
  </cols>
  <sheetData>
    <row r="1" spans="1:4" ht="15">
      <c r="A1" s="182" t="s">
        <v>30</v>
      </c>
      <c r="B1" s="445" t="str">
        <f>'Info '!C2</f>
        <v>JSC Isbank Georgia</v>
      </c>
    </row>
    <row r="2" spans="1:4" s="126" customFormat="1" ht="15.75" customHeight="1">
      <c r="A2" s="126" t="s">
        <v>31</v>
      </c>
      <c r="B2" s="446">
        <f>'1. key ratios '!B2</f>
        <v>46112</v>
      </c>
    </row>
    <row r="3" spans="1:4" s="126" customFormat="1" ht="15.75" customHeight="1"/>
    <row r="4" spans="1:4" ht="13.5" thickBot="1">
      <c r="A4" s="161" t="s">
        <v>268</v>
      </c>
      <c r="B4" s="190" t="s">
        <v>269</v>
      </c>
    </row>
    <row r="5" spans="1:4" s="191" customFormat="1" ht="12.75" customHeight="1">
      <c r="A5" s="217"/>
      <c r="B5" s="218" t="s">
        <v>272</v>
      </c>
      <c r="C5" s="183" t="s">
        <v>270</v>
      </c>
      <c r="D5" s="184" t="s">
        <v>271</v>
      </c>
    </row>
    <row r="6" spans="1:4" s="192" customFormat="1">
      <c r="A6" s="185">
        <v>1</v>
      </c>
      <c r="B6" s="213" t="s">
        <v>273</v>
      </c>
      <c r="C6" s="213"/>
      <c r="D6" s="186"/>
    </row>
    <row r="7" spans="1:4" s="192" customFormat="1">
      <c r="A7" s="187" t="s">
        <v>259</v>
      </c>
      <c r="B7" s="214" t="s">
        <v>274</v>
      </c>
      <c r="C7" s="206">
        <v>4.4999999999999998E-2</v>
      </c>
      <c r="D7" s="635">
        <f>C7*'5. RWA '!$C$13</f>
        <v>27676953.220187627</v>
      </c>
    </row>
    <row r="8" spans="1:4" s="192" customFormat="1">
      <c r="A8" s="187" t="s">
        <v>260</v>
      </c>
      <c r="B8" s="214" t="s">
        <v>275</v>
      </c>
      <c r="C8" s="207">
        <v>0.06</v>
      </c>
      <c r="D8" s="635">
        <f>C8*'5. RWA '!$C$13</f>
        <v>36902604.293583505</v>
      </c>
    </row>
    <row r="9" spans="1:4" s="192" customFormat="1">
      <c r="A9" s="187" t="s">
        <v>261</v>
      </c>
      <c r="B9" s="214" t="s">
        <v>276</v>
      </c>
      <c r="C9" s="207">
        <v>0.08</v>
      </c>
      <c r="D9" s="635">
        <f>C9*'5. RWA '!$C$13</f>
        <v>49203472.391444676</v>
      </c>
    </row>
    <row r="10" spans="1:4" s="192" customFormat="1">
      <c r="A10" s="185" t="s">
        <v>262</v>
      </c>
      <c r="B10" s="213" t="s">
        <v>277</v>
      </c>
      <c r="C10" s="208"/>
      <c r="D10" s="636"/>
    </row>
    <row r="11" spans="1:4" s="193" customFormat="1">
      <c r="A11" s="188" t="s">
        <v>263</v>
      </c>
      <c r="B11" s="205" t="s">
        <v>747</v>
      </c>
      <c r="C11" s="209">
        <v>2.5000000000000001E-2</v>
      </c>
      <c r="D11" s="635">
        <f>C11*'5. RWA '!$C$13</f>
        <v>15376085.122326462</v>
      </c>
    </row>
    <row r="12" spans="1:4" s="193" customFormat="1">
      <c r="A12" s="188" t="s">
        <v>264</v>
      </c>
      <c r="B12" s="205" t="s">
        <v>278</v>
      </c>
      <c r="C12" s="209">
        <v>7.4999999999999997E-3</v>
      </c>
      <c r="D12" s="635">
        <f>C12*'5. RWA '!$C$13</f>
        <v>4612825.5366979381</v>
      </c>
    </row>
    <row r="13" spans="1:4" s="193" customFormat="1">
      <c r="A13" s="188" t="s">
        <v>265</v>
      </c>
      <c r="B13" s="205" t="s">
        <v>279</v>
      </c>
      <c r="C13" s="209"/>
      <c r="D13" s="635">
        <f>C13*'5. RWA '!$C$13</f>
        <v>0</v>
      </c>
    </row>
    <row r="14" spans="1:4" s="193" customFormat="1">
      <c r="A14" s="185" t="s">
        <v>266</v>
      </c>
      <c r="B14" s="213" t="s">
        <v>326</v>
      </c>
      <c r="C14" s="210"/>
      <c r="D14" s="636"/>
    </row>
    <row r="15" spans="1:4" s="193" customFormat="1">
      <c r="A15" s="188">
        <v>3.1</v>
      </c>
      <c r="B15" s="205" t="s">
        <v>284</v>
      </c>
      <c r="C15" s="209">
        <v>7.5469737609376669E-2</v>
      </c>
      <c r="D15" s="635">
        <f>C15*'5. RWA '!$C$13</f>
        <v>46417164.385656737</v>
      </c>
    </row>
    <row r="16" spans="1:4" s="193" customFormat="1">
      <c r="A16" s="188">
        <v>3.2</v>
      </c>
      <c r="B16" s="205" t="s">
        <v>285</v>
      </c>
      <c r="C16" s="209">
        <v>9.7156171346441958E-2</v>
      </c>
      <c r="D16" s="635">
        <f>C16*'5. RWA '!$C$13</f>
        <v>59755262.431289062</v>
      </c>
    </row>
    <row r="17" spans="1:6" s="192" customFormat="1">
      <c r="A17" s="188">
        <v>3.3</v>
      </c>
      <c r="B17" s="205" t="s">
        <v>286</v>
      </c>
      <c r="C17" s="209">
        <v>0.12569095257942262</v>
      </c>
      <c r="D17" s="635">
        <f>C17*'5. RWA '!$C$13</f>
        <v>77305391.438700035</v>
      </c>
    </row>
    <row r="18" spans="1:6" s="191" customFormat="1" ht="12.75" customHeight="1">
      <c r="A18" s="215"/>
      <c r="B18" s="216" t="s">
        <v>325</v>
      </c>
      <c r="C18" s="211" t="s">
        <v>270</v>
      </c>
      <c r="D18" s="637" t="s">
        <v>271</v>
      </c>
    </row>
    <row r="19" spans="1:6" s="192" customFormat="1">
      <c r="A19" s="189">
        <v>4</v>
      </c>
      <c r="B19" s="205" t="s">
        <v>280</v>
      </c>
      <c r="C19" s="209">
        <f>C7+C11+C12+C13+C15</f>
        <v>0.15296973760937668</v>
      </c>
      <c r="D19" s="635">
        <f>C19*'5. RWA '!$C$13</f>
        <v>94083028.264868766</v>
      </c>
    </row>
    <row r="20" spans="1:6" s="192" customFormat="1">
      <c r="A20" s="189">
        <v>5</v>
      </c>
      <c r="B20" s="205" t="s">
        <v>90</v>
      </c>
      <c r="C20" s="209">
        <f>C8+C11+C12+C13+C16</f>
        <v>0.18965617134644197</v>
      </c>
      <c r="D20" s="635">
        <f>C20*'5. RWA '!$C$13</f>
        <v>116646777.38389698</v>
      </c>
    </row>
    <row r="21" spans="1:6" s="192" customFormat="1" ht="13.5" thickBot="1">
      <c r="A21" s="194" t="s">
        <v>267</v>
      </c>
      <c r="B21" s="195" t="s">
        <v>281</v>
      </c>
      <c r="C21" s="212">
        <f>C9+C11+C12+C13+C17</f>
        <v>0.23819095257942263</v>
      </c>
      <c r="D21" s="638">
        <f>C21*'5. RWA '!$C$13</f>
        <v>146497774.48916912</v>
      </c>
    </row>
    <row r="22" spans="1:6">
      <c r="F22" s="161"/>
    </row>
    <row r="23" spans="1:6">
      <c r="B23" s="16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A5" sqref="A5"/>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383" t="str">
        <f>'9.1. Capital Requirements'!A1</f>
        <v>Bank:</v>
      </c>
      <c r="B1" s="445" t="str">
        <f>'Info '!C2</f>
        <v>JSC Isbank Georgia</v>
      </c>
    </row>
    <row r="2" spans="1:3">
      <c r="A2" s="383" t="str">
        <f>'9.1. Capital Requirements'!A2</f>
        <v>Date:</v>
      </c>
      <c r="B2" s="446">
        <f>'1. key ratios '!B2</f>
        <v>46112</v>
      </c>
    </row>
    <row r="3" spans="1:3">
      <c r="A3" s="384" t="s">
        <v>675</v>
      </c>
      <c r="B3" s="385" t="s">
        <v>676</v>
      </c>
    </row>
    <row r="4" spans="1:3" ht="15.75" thickBot="1"/>
    <row r="5" spans="1:3">
      <c r="A5" s="386"/>
      <c r="B5" s="387" t="s">
        <v>677</v>
      </c>
      <c r="C5" s="414"/>
    </row>
    <row r="6" spans="1:3">
      <c r="A6" s="388" t="s">
        <v>697</v>
      </c>
      <c r="B6" s="389">
        <f>SUM(B7,B11)</f>
        <v>175353447.71074623</v>
      </c>
      <c r="C6" s="414"/>
    </row>
    <row r="7" spans="1:3">
      <c r="A7" s="388" t="s">
        <v>683</v>
      </c>
      <c r="B7" s="389">
        <f>SUM(B8:B10)</f>
        <v>175353447.71074623</v>
      </c>
      <c r="C7" s="414"/>
    </row>
    <row r="8" spans="1:3">
      <c r="A8" s="390" t="s">
        <v>678</v>
      </c>
      <c r="B8" s="391">
        <f>'9.Capital'!C29</f>
        <v>161854447.71074623</v>
      </c>
      <c r="C8" s="414"/>
    </row>
    <row r="9" spans="1:3">
      <c r="A9" s="390" t="s">
        <v>679</v>
      </c>
      <c r="B9" s="391">
        <f>'9.Capital'!C42</f>
        <v>0</v>
      </c>
      <c r="C9" s="414"/>
    </row>
    <row r="10" spans="1:3">
      <c r="A10" s="390" t="s">
        <v>680</v>
      </c>
      <c r="B10" s="391">
        <f>'9.Capital'!C53</f>
        <v>13499000.000000002</v>
      </c>
      <c r="C10" s="414"/>
    </row>
    <row r="11" spans="1:3">
      <c r="A11" s="388" t="s">
        <v>684</v>
      </c>
      <c r="B11" s="389">
        <f>SUM(B12:B13)</f>
        <v>0</v>
      </c>
      <c r="C11" s="414"/>
    </row>
    <row r="12" spans="1:3">
      <c r="A12" s="390" t="s">
        <v>703</v>
      </c>
      <c r="B12" s="391"/>
      <c r="C12" s="414"/>
    </row>
    <row r="13" spans="1:3">
      <c r="A13" s="390" t="s">
        <v>685</v>
      </c>
      <c r="B13" s="391"/>
      <c r="C13" s="414"/>
    </row>
    <row r="14" spans="1:3">
      <c r="A14" s="388" t="s">
        <v>686</v>
      </c>
      <c r="B14" s="389">
        <f>SUM(B15:B16)</f>
        <v>175353447.71074623</v>
      </c>
      <c r="C14" s="414"/>
    </row>
    <row r="15" spans="1:3">
      <c r="A15" s="392" t="s">
        <v>687</v>
      </c>
      <c r="B15" s="391"/>
      <c r="C15" s="414"/>
    </row>
    <row r="16" spans="1:3">
      <c r="A16" s="392" t="s">
        <v>688</v>
      </c>
      <c r="B16" s="391">
        <f>B7</f>
        <v>175353447.71074623</v>
      </c>
      <c r="C16" s="414"/>
    </row>
    <row r="17" spans="1:5">
      <c r="A17" s="388" t="s">
        <v>691</v>
      </c>
      <c r="B17" s="389"/>
      <c r="C17" s="414"/>
    </row>
    <row r="18" spans="1:5">
      <c r="A18" s="392" t="s">
        <v>689</v>
      </c>
      <c r="B18" s="391">
        <f>'5. RWA '!C13</f>
        <v>615043404.89305842</v>
      </c>
      <c r="C18" s="414"/>
    </row>
    <row r="19" spans="1:5">
      <c r="A19" s="392" t="s">
        <v>690</v>
      </c>
      <c r="B19" s="391">
        <f>'15.1 LR'!C32</f>
        <v>628752089.74860191</v>
      </c>
      <c r="C19" s="414"/>
    </row>
    <row r="20" spans="1:5">
      <c r="A20" s="388" t="s">
        <v>705</v>
      </c>
      <c r="B20" s="389"/>
      <c r="C20" s="414"/>
    </row>
    <row r="21" spans="1:5">
      <c r="A21" s="393" t="s">
        <v>692</v>
      </c>
      <c r="B21" s="394">
        <f>IFERROR(B6/B18,0)</f>
        <v>0.28510743520814774</v>
      </c>
      <c r="C21" s="414"/>
    </row>
    <row r="22" spans="1:5">
      <c r="A22" s="393" t="s">
        <v>709</v>
      </c>
      <c r="B22" s="394">
        <f>IFERROR(B6/B19,0)</f>
        <v>0.27889123641856833</v>
      </c>
      <c r="C22" s="414"/>
    </row>
    <row r="23" spans="1:5" ht="15.75" thickBot="1">
      <c r="A23" s="395" t="s">
        <v>693</v>
      </c>
      <c r="B23" s="396">
        <f>IFERROR(B6/B14,0)</f>
        <v>1</v>
      </c>
    </row>
    <row r="24" spans="1:5" ht="16.5" customHeight="1">
      <c r="A24" s="397" t="s">
        <v>681</v>
      </c>
      <c r="B24" s="398"/>
      <c r="C24" s="398"/>
      <c r="D24" s="398"/>
      <c r="E24" s="398"/>
    </row>
    <row r="25" spans="1:5" ht="25.5" customHeight="1">
      <c r="A25" s="397" t="s">
        <v>702</v>
      </c>
    </row>
    <row r="26" spans="1:5" ht="42.6" customHeight="1">
      <c r="A26" s="397" t="s">
        <v>704</v>
      </c>
      <c r="B26" s="146"/>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Normal="100" workbookViewId="0">
      <selection activeCell="A7" sqref="A7:A8"/>
    </sheetView>
  </sheetViews>
  <sheetFormatPr defaultRowHeight="15"/>
  <cols>
    <col min="1" max="1" width="56.85546875" customWidth="1"/>
    <col min="2" max="2" width="28.140625" bestFit="1" customWidth="1"/>
    <col min="3" max="6" width="28.140625" customWidth="1"/>
  </cols>
  <sheetData>
    <row r="1" spans="1:7">
      <c r="A1" s="383" t="s">
        <v>30</v>
      </c>
      <c r="B1" s="445" t="str">
        <f>'Info '!C2</f>
        <v>JSC Isbank Georgia</v>
      </c>
      <c r="C1" s="146"/>
    </row>
    <row r="2" spans="1:7">
      <c r="A2" s="383" t="s">
        <v>31</v>
      </c>
      <c r="B2" s="446">
        <f>'1. key ratios '!B2</f>
        <v>46112</v>
      </c>
      <c r="C2" s="146"/>
    </row>
    <row r="3" spans="1:7">
      <c r="A3" s="384" t="s">
        <v>682</v>
      </c>
      <c r="B3" s="385" t="s">
        <v>676</v>
      </c>
      <c r="C3" s="146"/>
    </row>
    <row r="5" spans="1:7">
      <c r="A5" s="399"/>
    </row>
    <row r="6" spans="1:7" ht="15.75" thickBot="1">
      <c r="A6" s="400"/>
      <c r="B6" s="400"/>
      <c r="C6" s="400"/>
      <c r="D6" s="400"/>
      <c r="E6" s="400"/>
      <c r="F6" s="400"/>
    </row>
    <row r="7" spans="1:7">
      <c r="A7" s="919"/>
      <c r="B7" s="921" t="s">
        <v>708</v>
      </c>
      <c r="C7" s="921"/>
      <c r="D7" s="921"/>
      <c r="E7" s="921"/>
      <c r="F7" s="922" t="s">
        <v>64</v>
      </c>
    </row>
    <row r="8" spans="1:7">
      <c r="A8" s="920"/>
      <c r="B8" s="401" t="s">
        <v>694</v>
      </c>
      <c r="C8" s="401" t="s">
        <v>695</v>
      </c>
      <c r="D8" s="401" t="s">
        <v>696</v>
      </c>
      <c r="E8" s="401" t="s">
        <v>706</v>
      </c>
      <c r="F8" s="923"/>
      <c r="G8" s="415"/>
    </row>
    <row r="9" spans="1:7">
      <c r="A9" s="639" t="s">
        <v>697</v>
      </c>
      <c r="B9" s="402">
        <f>B13+B17</f>
        <v>0</v>
      </c>
      <c r="C9" s="402">
        <f t="shared" ref="C9:E9" si="0">C13+C17</f>
        <v>0</v>
      </c>
      <c r="D9" s="402">
        <f t="shared" si="0"/>
        <v>0</v>
      </c>
      <c r="E9" s="402">
        <f t="shared" si="0"/>
        <v>0</v>
      </c>
      <c r="F9" s="403">
        <f>F13+F17</f>
        <v>0</v>
      </c>
    </row>
    <row r="10" spans="1:7">
      <c r="A10" s="640" t="s">
        <v>699</v>
      </c>
      <c r="B10" s="404">
        <f t="shared" ref="B10:E12" si="1">B14+B18</f>
        <v>0</v>
      </c>
      <c r="C10" s="404">
        <f t="shared" si="1"/>
        <v>0</v>
      </c>
      <c r="D10" s="404">
        <f t="shared" si="1"/>
        <v>0</v>
      </c>
      <c r="E10" s="404">
        <f t="shared" si="1"/>
        <v>0</v>
      </c>
      <c r="F10" s="403">
        <f>SUM(B10:E10)</f>
        <v>0</v>
      </c>
      <c r="G10" s="414"/>
    </row>
    <row r="11" spans="1:7">
      <c r="A11" s="640" t="s">
        <v>707</v>
      </c>
      <c r="B11" s="404">
        <f t="shared" si="1"/>
        <v>0</v>
      </c>
      <c r="C11" s="404">
        <f t="shared" si="1"/>
        <v>0</v>
      </c>
      <c r="D11" s="404">
        <f t="shared" si="1"/>
        <v>0</v>
      </c>
      <c r="E11" s="404">
        <f t="shared" si="1"/>
        <v>0</v>
      </c>
      <c r="F11" s="403">
        <f t="shared" ref="F11:F12" si="2">SUM(B11:E11)</f>
        <v>0</v>
      </c>
      <c r="G11" s="414"/>
    </row>
    <row r="12" spans="1:7">
      <c r="A12" s="641" t="s">
        <v>698</v>
      </c>
      <c r="B12" s="404">
        <f t="shared" si="1"/>
        <v>0</v>
      </c>
      <c r="C12" s="404">
        <f t="shared" si="1"/>
        <v>0</v>
      </c>
      <c r="D12" s="404">
        <f t="shared" si="1"/>
        <v>0</v>
      </c>
      <c r="E12" s="404">
        <f t="shared" si="1"/>
        <v>0</v>
      </c>
      <c r="F12" s="403">
        <f t="shared" si="2"/>
        <v>0</v>
      </c>
      <c r="G12" s="414"/>
    </row>
    <row r="13" spans="1:7">
      <c r="A13" s="642" t="s">
        <v>688</v>
      </c>
      <c r="B13" s="405"/>
      <c r="C13" s="405"/>
      <c r="D13" s="405"/>
      <c r="E13" s="405"/>
      <c r="F13" s="406"/>
    </row>
    <row r="14" spans="1:7">
      <c r="A14" s="640" t="s">
        <v>699</v>
      </c>
      <c r="B14" s="407"/>
      <c r="C14" s="407"/>
      <c r="D14" s="407"/>
      <c r="E14" s="407"/>
      <c r="F14" s="408"/>
    </row>
    <row r="15" spans="1:7">
      <c r="A15" s="640" t="s">
        <v>707</v>
      </c>
      <c r="B15" s="407"/>
      <c r="C15" s="407"/>
      <c r="D15" s="407"/>
      <c r="E15" s="407"/>
      <c r="F15" s="408"/>
    </row>
    <row r="16" spans="1:7">
      <c r="A16" s="641" t="s">
        <v>698</v>
      </c>
      <c r="B16" s="407"/>
      <c r="C16" s="407"/>
      <c r="D16" s="407"/>
      <c r="E16" s="407"/>
      <c r="F16" s="408"/>
    </row>
    <row r="17" spans="1:6">
      <c r="A17" s="642" t="s">
        <v>684</v>
      </c>
      <c r="B17" s="405"/>
      <c r="C17" s="405"/>
      <c r="D17" s="405"/>
      <c r="E17" s="405"/>
      <c r="F17" s="408"/>
    </row>
    <row r="18" spans="1:6">
      <c r="A18" s="640" t="s">
        <v>699</v>
      </c>
      <c r="B18" s="407"/>
      <c r="C18" s="407"/>
      <c r="D18" s="407"/>
      <c r="E18" s="407"/>
      <c r="F18" s="408"/>
    </row>
    <row r="19" spans="1:6">
      <c r="A19" s="640" t="s">
        <v>707</v>
      </c>
      <c r="B19" s="407"/>
      <c r="C19" s="407"/>
      <c r="D19" s="407"/>
      <c r="E19" s="407"/>
      <c r="F19" s="408"/>
    </row>
    <row r="20" spans="1:6" ht="15.75" thickBot="1">
      <c r="A20" s="643" t="s">
        <v>698</v>
      </c>
      <c r="B20" s="409"/>
      <c r="C20" s="409"/>
      <c r="D20" s="409"/>
      <c r="E20" s="409"/>
      <c r="F20" s="41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8"/>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445" t="str">
        <f>'Info '!C2</f>
        <v>JSC Isbank Georgia</v>
      </c>
      <c r="E1" s="4"/>
      <c r="F1" s="4"/>
    </row>
    <row r="2" spans="1:6" s="41" customFormat="1" ht="15.75" customHeight="1">
      <c r="A2" s="2" t="s">
        <v>31</v>
      </c>
      <c r="B2" s="446">
        <f>'1. key ratios '!B2</f>
        <v>46112</v>
      </c>
    </row>
    <row r="3" spans="1:6" s="41" customFormat="1" ht="15.75" customHeight="1">
      <c r="A3" s="70"/>
    </row>
    <row r="4" spans="1:6" s="41" customFormat="1" ht="15.75" customHeight="1" thickBot="1">
      <c r="A4" s="41" t="s">
        <v>47</v>
      </c>
      <c r="B4" s="122" t="s">
        <v>165</v>
      </c>
      <c r="D4" s="18" t="s">
        <v>35</v>
      </c>
    </row>
    <row r="5" spans="1:6" ht="26.25" thickBot="1">
      <c r="A5" s="665" t="s">
        <v>6</v>
      </c>
      <c r="B5" s="666" t="s">
        <v>205</v>
      </c>
      <c r="C5" s="667" t="s">
        <v>624</v>
      </c>
      <c r="D5" s="668" t="s">
        <v>49</v>
      </c>
    </row>
    <row r="6" spans="1:6" ht="15.75" thickTop="1">
      <c r="A6" s="662">
        <v>1</v>
      </c>
      <c r="B6" s="663" t="s">
        <v>525</v>
      </c>
      <c r="C6" s="669">
        <f>SUM(C7:C9)</f>
        <v>145703804.00847465</v>
      </c>
      <c r="D6" s="664"/>
      <c r="E6" s="71"/>
    </row>
    <row r="7" spans="1:6" ht="15">
      <c r="A7" s="644">
        <v>1.1000000000000001</v>
      </c>
      <c r="B7" s="611" t="s">
        <v>526</v>
      </c>
      <c r="C7" s="281">
        <f>'7. LI1 '!C9</f>
        <v>1457524.672</v>
      </c>
      <c r="D7" s="72"/>
      <c r="E7" s="71"/>
    </row>
    <row r="8" spans="1:6" ht="15">
      <c r="A8" s="644">
        <v>1.2</v>
      </c>
      <c r="B8" s="611" t="s">
        <v>527</v>
      </c>
      <c r="C8" s="281">
        <f>'7. LI1 '!C10</f>
        <v>73077911.824082464</v>
      </c>
      <c r="D8" s="72"/>
      <c r="E8" s="71"/>
    </row>
    <row r="9" spans="1:6" ht="15">
      <c r="A9" s="644">
        <v>1.3</v>
      </c>
      <c r="B9" s="611" t="s">
        <v>528</v>
      </c>
      <c r="C9" s="282">
        <f>'7. LI1 '!C11</f>
        <v>71168367.512392193</v>
      </c>
      <c r="D9" s="277"/>
      <c r="E9" s="71"/>
    </row>
    <row r="10" spans="1:6" ht="15">
      <c r="A10" s="644">
        <v>2</v>
      </c>
      <c r="B10" s="622" t="s">
        <v>529</v>
      </c>
      <c r="C10" s="282">
        <f>'7. LI1 '!C12</f>
        <v>0</v>
      </c>
      <c r="D10" s="277"/>
      <c r="E10" s="71"/>
    </row>
    <row r="11" spans="1:6" ht="15">
      <c r="A11" s="644">
        <v>2.1</v>
      </c>
      <c r="B11" s="612" t="s">
        <v>530</v>
      </c>
      <c r="C11" s="283">
        <f>'7. LI1 '!C13</f>
        <v>0</v>
      </c>
      <c r="D11" s="278"/>
      <c r="E11" s="73"/>
    </row>
    <row r="12" spans="1:6" ht="15">
      <c r="A12" s="644">
        <v>3</v>
      </c>
      <c r="B12" s="623" t="s">
        <v>531</v>
      </c>
      <c r="C12" s="670">
        <f>'7. LI1 '!C14</f>
        <v>0</v>
      </c>
      <c r="D12" s="278"/>
      <c r="E12" s="73"/>
    </row>
    <row r="13" spans="1:6" ht="15">
      <c r="A13" s="644">
        <v>4</v>
      </c>
      <c r="B13" s="530" t="s">
        <v>532</v>
      </c>
      <c r="C13" s="670">
        <f>'7. LI1 '!C15</f>
        <v>0</v>
      </c>
      <c r="D13" s="278"/>
      <c r="E13" s="73"/>
    </row>
    <row r="14" spans="1:6" ht="15">
      <c r="A14" s="644">
        <v>5</v>
      </c>
      <c r="B14" s="531" t="s">
        <v>533</v>
      </c>
      <c r="C14" s="670">
        <f>SUM(C15:C17)</f>
        <v>0</v>
      </c>
      <c r="D14" s="278"/>
      <c r="E14" s="73"/>
    </row>
    <row r="15" spans="1:6" ht="15">
      <c r="A15" s="644">
        <v>5.0999999999999996</v>
      </c>
      <c r="B15" s="529" t="s">
        <v>534</v>
      </c>
      <c r="C15" s="282">
        <f>'7. LI1 '!C17</f>
        <v>0</v>
      </c>
      <c r="D15" s="278"/>
      <c r="E15" s="71"/>
    </row>
    <row r="16" spans="1:6" ht="15">
      <c r="A16" s="644">
        <v>5.2</v>
      </c>
      <c r="B16" s="529" t="s">
        <v>535</v>
      </c>
      <c r="C16" s="282">
        <f>'7. LI1 '!C18</f>
        <v>0</v>
      </c>
      <c r="D16" s="277"/>
      <c r="E16" s="71"/>
    </row>
    <row r="17" spans="1:5" ht="15">
      <c r="A17" s="644">
        <v>5.3</v>
      </c>
      <c r="B17" s="624" t="s">
        <v>536</v>
      </c>
      <c r="C17" s="282">
        <f>'7. LI1 '!C19</f>
        <v>0</v>
      </c>
      <c r="D17" s="277"/>
      <c r="E17" s="71"/>
    </row>
    <row r="18" spans="1:5" ht="15">
      <c r="A18" s="644">
        <v>6</v>
      </c>
      <c r="B18" s="623" t="s">
        <v>537</v>
      </c>
      <c r="C18" s="671">
        <f>SUM(C19:C20)</f>
        <v>470173837.99311638</v>
      </c>
      <c r="D18" s="277"/>
      <c r="E18" s="71"/>
    </row>
    <row r="19" spans="1:5" ht="15">
      <c r="A19" s="644">
        <v>6.1</v>
      </c>
      <c r="B19" s="529" t="s">
        <v>535</v>
      </c>
      <c r="C19" s="672">
        <f>'7. LI1 '!C21</f>
        <v>144565525.13243723</v>
      </c>
      <c r="D19" s="277"/>
      <c r="E19" s="71"/>
    </row>
    <row r="20" spans="1:5" ht="15">
      <c r="A20" s="644">
        <v>6.2</v>
      </c>
      <c r="B20" s="624" t="s">
        <v>536</v>
      </c>
      <c r="C20" s="672">
        <f>'7. LI1 '!C22</f>
        <v>325608312.86067915</v>
      </c>
      <c r="D20" s="277"/>
      <c r="E20" s="71"/>
    </row>
    <row r="21" spans="1:5" ht="15">
      <c r="A21" s="644">
        <v>7</v>
      </c>
      <c r="B21" s="622" t="s">
        <v>538</v>
      </c>
      <c r="C21" s="671">
        <f>'7. LI1 '!C23</f>
        <v>0</v>
      </c>
      <c r="D21" s="277"/>
      <c r="E21" s="71"/>
    </row>
    <row r="22" spans="1:5" ht="15">
      <c r="A22" s="644">
        <v>8</v>
      </c>
      <c r="B22" s="622" t="s">
        <v>539</v>
      </c>
      <c r="C22" s="671">
        <f>'7. LI1 '!C24</f>
        <v>0</v>
      </c>
      <c r="D22" s="277"/>
      <c r="E22" s="71"/>
    </row>
    <row r="23" spans="1:5" ht="15">
      <c r="A23" s="644">
        <v>9</v>
      </c>
      <c r="B23" s="530" t="s">
        <v>540</v>
      </c>
      <c r="C23" s="671">
        <f>SUM(C24:C25)</f>
        <v>6078828.7399999993</v>
      </c>
      <c r="D23" s="279"/>
      <c r="E23" s="71"/>
    </row>
    <row r="24" spans="1:5" ht="15">
      <c r="A24" s="644">
        <v>9.1</v>
      </c>
      <c r="B24" s="529" t="s">
        <v>541</v>
      </c>
      <c r="C24" s="284">
        <f>'7. LI1 '!C26</f>
        <v>6078828.7399999993</v>
      </c>
      <c r="D24" s="280"/>
      <c r="E24" s="71"/>
    </row>
    <row r="25" spans="1:5" ht="15">
      <c r="A25" s="644">
        <v>9.1999999999999993</v>
      </c>
      <c r="B25" s="529" t="s">
        <v>542</v>
      </c>
      <c r="C25" s="284">
        <f>'7. LI1 '!C27</f>
        <v>0</v>
      </c>
      <c r="D25" s="646"/>
      <c r="E25" s="75"/>
    </row>
    <row r="26" spans="1:5" ht="15.75">
      <c r="A26" s="644">
        <v>10</v>
      </c>
      <c r="B26" s="530" t="s">
        <v>543</v>
      </c>
      <c r="C26" s="674">
        <f>SUM(C27:C28)</f>
        <v>2463590.19</v>
      </c>
      <c r="D26" s="673" t="s">
        <v>665</v>
      </c>
      <c r="E26" s="71"/>
    </row>
    <row r="27" spans="1:5" ht="15">
      <c r="A27" s="644">
        <v>10.1</v>
      </c>
      <c r="B27" s="529" t="s">
        <v>544</v>
      </c>
      <c r="C27" s="281">
        <f>'7. LI1 '!C29</f>
        <v>0</v>
      </c>
      <c r="D27" s="72"/>
      <c r="E27" s="71"/>
    </row>
    <row r="28" spans="1:5" ht="15">
      <c r="A28" s="644">
        <v>10.199999999999999</v>
      </c>
      <c r="B28" s="529" t="s">
        <v>545</v>
      </c>
      <c r="C28" s="281">
        <f>'7. LI1 '!C30</f>
        <v>2463590.19</v>
      </c>
      <c r="D28" s="72"/>
      <c r="E28" s="71"/>
    </row>
    <row r="29" spans="1:5" ht="15">
      <c r="A29" s="644">
        <v>11</v>
      </c>
      <c r="B29" s="530" t="s">
        <v>546</v>
      </c>
      <c r="C29" s="675">
        <f>SUM(C30:C31)</f>
        <v>680266.4800000001</v>
      </c>
      <c r="D29" s="72"/>
      <c r="E29" s="71"/>
    </row>
    <row r="30" spans="1:5" ht="15">
      <c r="A30" s="644">
        <v>11.1</v>
      </c>
      <c r="B30" s="529" t="s">
        <v>547</v>
      </c>
      <c r="C30" s="281">
        <f>'7. LI1 '!C32</f>
        <v>680266.4800000001</v>
      </c>
      <c r="D30" s="72"/>
      <c r="E30" s="71"/>
    </row>
    <row r="31" spans="1:5" ht="15">
      <c r="A31" s="644">
        <v>11.2</v>
      </c>
      <c r="B31" s="529" t="s">
        <v>548</v>
      </c>
      <c r="C31" s="281">
        <f>'7. LI1 '!C33</f>
        <v>0</v>
      </c>
      <c r="D31" s="72"/>
      <c r="E31" s="71"/>
    </row>
    <row r="32" spans="1:5" ht="15">
      <c r="A32" s="644">
        <v>13</v>
      </c>
      <c r="B32" s="530" t="s">
        <v>549</v>
      </c>
      <c r="C32" s="675">
        <f>'7. LI1 '!C34</f>
        <v>6115352.5270108357</v>
      </c>
      <c r="D32" s="72"/>
      <c r="E32" s="71"/>
    </row>
    <row r="33" spans="1:5" ht="15">
      <c r="A33" s="644">
        <v>13.1</v>
      </c>
      <c r="B33" s="613" t="s">
        <v>550</v>
      </c>
      <c r="C33" s="281">
        <f>'7. LI1 '!C35</f>
        <v>366254.59</v>
      </c>
      <c r="D33" s="72"/>
      <c r="E33" s="71"/>
    </row>
    <row r="34" spans="1:5" ht="15">
      <c r="A34" s="644">
        <v>13.2</v>
      </c>
      <c r="B34" s="613" t="s">
        <v>551</v>
      </c>
      <c r="C34" s="285"/>
      <c r="D34" s="74"/>
      <c r="E34" s="71"/>
    </row>
    <row r="35" spans="1:5" ht="15">
      <c r="A35" s="644">
        <v>14</v>
      </c>
      <c r="B35" s="530" t="s">
        <v>552</v>
      </c>
      <c r="C35" s="676">
        <f>SUM(C6,C10,C12,C13,C14,C18,C21,C22,C23,C26,C29,C32)</f>
        <v>631215679.93860185</v>
      </c>
      <c r="D35" s="74"/>
      <c r="E35" s="71"/>
    </row>
    <row r="36" spans="1:5" ht="15">
      <c r="A36" s="644"/>
      <c r="B36" s="647" t="s">
        <v>553</v>
      </c>
      <c r="C36" s="76"/>
      <c r="D36" s="77"/>
      <c r="E36" s="71"/>
    </row>
    <row r="37" spans="1:5" ht="15">
      <c r="A37" s="644">
        <v>15</v>
      </c>
      <c r="B37" s="622" t="s">
        <v>554</v>
      </c>
      <c r="C37" s="645">
        <f>'2. SOFP'!E38</f>
        <v>0</v>
      </c>
      <c r="D37" s="646"/>
      <c r="E37" s="75"/>
    </row>
    <row r="38" spans="1:5" ht="15">
      <c r="A38" s="644">
        <v>15.1</v>
      </c>
      <c r="B38" s="612" t="s">
        <v>530</v>
      </c>
      <c r="C38" s="281">
        <f>'2. SOFP'!E39</f>
        <v>0</v>
      </c>
      <c r="D38" s="72"/>
      <c r="E38" s="71"/>
    </row>
    <row r="39" spans="1:5" ht="15">
      <c r="A39" s="644">
        <v>16</v>
      </c>
      <c r="B39" s="622" t="s">
        <v>555</v>
      </c>
      <c r="C39" s="675">
        <f>'2. SOFP'!E40</f>
        <v>0</v>
      </c>
      <c r="D39" s="72"/>
      <c r="E39" s="71"/>
    </row>
    <row r="40" spans="1:5" ht="15">
      <c r="A40" s="644">
        <v>17</v>
      </c>
      <c r="B40" s="622" t="s">
        <v>556</v>
      </c>
      <c r="C40" s="675">
        <f>SUM(C41:C44)</f>
        <v>441671644.24822611</v>
      </c>
      <c r="D40" s="72"/>
      <c r="E40" s="71"/>
    </row>
    <row r="41" spans="1:5" ht="15">
      <c r="A41" s="644">
        <v>17.100000000000001</v>
      </c>
      <c r="B41" s="648" t="s">
        <v>557</v>
      </c>
      <c r="C41" s="281">
        <f>'2. SOFP'!E42</f>
        <v>392721700.1156888</v>
      </c>
      <c r="D41" s="72"/>
      <c r="E41" s="71"/>
    </row>
    <row r="42" spans="1:5" ht="15">
      <c r="A42" s="644">
        <v>17.2</v>
      </c>
      <c r="B42" s="611" t="s">
        <v>558</v>
      </c>
      <c r="C42" s="281">
        <f>'2. SOFP'!E43</f>
        <v>45398252.669283353</v>
      </c>
      <c r="D42" s="72"/>
      <c r="E42" s="71"/>
    </row>
    <row r="43" spans="1:5" ht="15">
      <c r="A43" s="644">
        <v>17.3</v>
      </c>
      <c r="B43" s="648" t="s">
        <v>559</v>
      </c>
      <c r="C43" s="281">
        <f>'2. SOFP'!E44</f>
        <v>0</v>
      </c>
      <c r="D43" s="74"/>
      <c r="E43" s="71"/>
    </row>
    <row r="44" spans="1:5" ht="15">
      <c r="A44" s="644">
        <v>17.399999999999999</v>
      </c>
      <c r="B44" s="648" t="s">
        <v>560</v>
      </c>
      <c r="C44" s="281">
        <f>'2. SOFP'!E45</f>
        <v>3551691.4632540001</v>
      </c>
      <c r="D44" s="649"/>
      <c r="E44" s="71"/>
    </row>
    <row r="45" spans="1:5" ht="15">
      <c r="A45" s="644">
        <v>18</v>
      </c>
      <c r="B45" s="650" t="s">
        <v>561</v>
      </c>
      <c r="C45" s="675">
        <f>'2. SOFP'!E46</f>
        <v>285926.11659358419</v>
      </c>
      <c r="D45" s="651"/>
      <c r="E45" s="75"/>
    </row>
    <row r="46" spans="1:5" ht="15">
      <c r="A46" s="644">
        <v>19</v>
      </c>
      <c r="B46" s="650" t="s">
        <v>562</v>
      </c>
      <c r="C46" s="675">
        <f>SUM(C47:C48)</f>
        <v>0</v>
      </c>
      <c r="D46" s="653"/>
    </row>
    <row r="47" spans="1:5" ht="15">
      <c r="A47" s="644">
        <v>19.100000000000001</v>
      </c>
      <c r="B47" s="654" t="s">
        <v>563</v>
      </c>
      <c r="C47" s="281">
        <f>'2. SOFP'!E48</f>
        <v>0</v>
      </c>
      <c r="D47" s="653"/>
    </row>
    <row r="48" spans="1:5" ht="15">
      <c r="A48" s="644">
        <v>19.2</v>
      </c>
      <c r="B48" s="654" t="s">
        <v>564</v>
      </c>
      <c r="C48" s="281">
        <f>'2. SOFP'!E49</f>
        <v>0</v>
      </c>
      <c r="D48" s="653"/>
    </row>
    <row r="49" spans="1:4" ht="15">
      <c r="A49" s="644">
        <v>20</v>
      </c>
      <c r="B49" s="655" t="s">
        <v>565</v>
      </c>
      <c r="C49" s="675">
        <f>'2. SOFP'!E50</f>
        <v>13797414.644574001</v>
      </c>
      <c r="D49" s="653"/>
    </row>
    <row r="50" spans="1:4" ht="15">
      <c r="A50" s="644">
        <v>21</v>
      </c>
      <c r="B50" s="622" t="s">
        <v>566</v>
      </c>
      <c r="C50" s="675">
        <f>'2. SOFP'!E51</f>
        <v>11142657.028461838</v>
      </c>
      <c r="D50" s="653"/>
    </row>
    <row r="51" spans="1:4" ht="15">
      <c r="A51" s="644">
        <v>21.1</v>
      </c>
      <c r="B51" s="611" t="s">
        <v>567</v>
      </c>
      <c r="C51" s="281">
        <f>'2. SOFP'!E52</f>
        <v>0</v>
      </c>
      <c r="D51" s="653"/>
    </row>
    <row r="52" spans="1:4" ht="15">
      <c r="A52" s="644">
        <v>22</v>
      </c>
      <c r="B52" s="531" t="s">
        <v>568</v>
      </c>
      <c r="C52" s="675">
        <f>SUM(C37,C39,C40,C45,C46,C49,C50)</f>
        <v>466897642.03785551</v>
      </c>
      <c r="D52" s="653"/>
    </row>
    <row r="53" spans="1:4" ht="15">
      <c r="A53" s="644"/>
      <c r="B53" s="647" t="s">
        <v>569</v>
      </c>
      <c r="C53" s="656"/>
      <c r="D53" s="653"/>
    </row>
    <row r="54" spans="1:4" ht="15.75">
      <c r="A54" s="644">
        <v>23</v>
      </c>
      <c r="B54" s="655" t="s">
        <v>570</v>
      </c>
      <c r="C54" s="675">
        <f>'2. SOFP'!E55</f>
        <v>69161600</v>
      </c>
      <c r="D54" s="673" t="s">
        <v>773</v>
      </c>
    </row>
    <row r="55" spans="1:4" ht="15">
      <c r="A55" s="644">
        <v>24</v>
      </c>
      <c r="B55" s="655" t="s">
        <v>571</v>
      </c>
      <c r="C55" s="675">
        <f>'2. SOFP'!E56</f>
        <v>0</v>
      </c>
      <c r="D55" s="653"/>
    </row>
    <row r="56" spans="1:4" ht="15">
      <c r="A56" s="644">
        <v>25</v>
      </c>
      <c r="B56" s="650" t="s">
        <v>572</v>
      </c>
      <c r="C56" s="675">
        <f>'2. SOFP'!E57</f>
        <v>0</v>
      </c>
      <c r="D56" s="653"/>
    </row>
    <row r="57" spans="1:4" ht="15">
      <c r="A57" s="644">
        <v>26</v>
      </c>
      <c r="B57" s="650" t="s">
        <v>573</v>
      </c>
      <c r="C57" s="675">
        <f>'2. SOFP'!E58</f>
        <v>0</v>
      </c>
      <c r="D57" s="653"/>
    </row>
    <row r="58" spans="1:4" ht="15">
      <c r="A58" s="644">
        <v>27</v>
      </c>
      <c r="B58" s="650" t="s">
        <v>574</v>
      </c>
      <c r="C58" s="677">
        <f>SUM(C59:C60)</f>
        <v>0</v>
      </c>
      <c r="D58" s="653"/>
    </row>
    <row r="59" spans="1:4" ht="15">
      <c r="A59" s="644">
        <v>27.1</v>
      </c>
      <c r="B59" s="648" t="s">
        <v>575</v>
      </c>
      <c r="C59" s="652">
        <f>'2. SOFP'!E60</f>
        <v>0</v>
      </c>
      <c r="D59" s="653"/>
    </row>
    <row r="60" spans="1:4" ht="15">
      <c r="A60" s="644">
        <v>27.2</v>
      </c>
      <c r="B60" s="648" t="s">
        <v>576</v>
      </c>
      <c r="C60" s="652">
        <f>'2. SOFP'!E61</f>
        <v>0</v>
      </c>
      <c r="D60" s="653"/>
    </row>
    <row r="61" spans="1:4" ht="15">
      <c r="A61" s="644">
        <v>28</v>
      </c>
      <c r="B61" s="657" t="s">
        <v>577</v>
      </c>
      <c r="C61" s="677">
        <f>'2. SOFP'!E62</f>
        <v>0</v>
      </c>
      <c r="D61" s="653"/>
    </row>
    <row r="62" spans="1:4" ht="15">
      <c r="A62" s="644">
        <v>29</v>
      </c>
      <c r="B62" s="650" t="s">
        <v>578</v>
      </c>
      <c r="C62" s="677">
        <f>SUM(C63:C65)</f>
        <v>0</v>
      </c>
      <c r="D62" s="653"/>
    </row>
    <row r="63" spans="1:4" ht="15">
      <c r="A63" s="644">
        <v>29.1</v>
      </c>
      <c r="B63" s="624" t="s">
        <v>579</v>
      </c>
      <c r="C63" s="652">
        <f>'2. SOFP'!E64</f>
        <v>0</v>
      </c>
      <c r="D63" s="653"/>
    </row>
    <row r="64" spans="1:4" ht="15">
      <c r="A64" s="644">
        <v>29.2</v>
      </c>
      <c r="B64" s="528" t="s">
        <v>580</v>
      </c>
      <c r="C64" s="652">
        <f>'2. SOFP'!E65</f>
        <v>0</v>
      </c>
      <c r="D64" s="653"/>
    </row>
    <row r="65" spans="1:4" ht="15">
      <c r="A65" s="644">
        <v>29.3</v>
      </c>
      <c r="B65" s="528" t="s">
        <v>581</v>
      </c>
      <c r="C65" s="652">
        <f>'2. SOFP'!E66</f>
        <v>0</v>
      </c>
      <c r="D65" s="653"/>
    </row>
    <row r="66" spans="1:4" ht="15.75">
      <c r="A66" s="644">
        <v>30</v>
      </c>
      <c r="B66" s="530" t="s">
        <v>582</v>
      </c>
      <c r="C66" s="675">
        <f>'2. SOFP'!E67</f>
        <v>95156437.900746241</v>
      </c>
      <c r="D66" s="673" t="s">
        <v>774</v>
      </c>
    </row>
    <row r="67" spans="1:4" ht="15">
      <c r="A67" s="644">
        <v>31</v>
      </c>
      <c r="B67" s="658" t="s">
        <v>583</v>
      </c>
      <c r="C67" s="675">
        <f>SUM(C54,C55,C56,C57,C58,C61,C62,C66)</f>
        <v>164318037.90074623</v>
      </c>
      <c r="D67" s="653"/>
    </row>
    <row r="68" spans="1:4" ht="15.75" thickBot="1">
      <c r="A68" s="659">
        <v>32</v>
      </c>
      <c r="B68" s="660" t="s">
        <v>584</v>
      </c>
      <c r="C68" s="678">
        <f>SUM(C52,C67)</f>
        <v>631215679.93860173</v>
      </c>
      <c r="D68" s="661"/>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showGridLines="0"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445" t="str">
        <f>'Info '!C2</f>
        <v>JSC Isbank Georgia</v>
      </c>
    </row>
    <row r="2" spans="1:19">
      <c r="A2" s="2" t="s">
        <v>31</v>
      </c>
      <c r="B2" s="446">
        <f>'1. key ratios '!B2</f>
        <v>46112</v>
      </c>
    </row>
    <row r="4" spans="1:19" ht="26.25" thickBot="1">
      <c r="A4" s="4" t="s">
        <v>146</v>
      </c>
      <c r="B4" s="154" t="s">
        <v>238</v>
      </c>
    </row>
    <row r="5" spans="1:19" s="143" customFormat="1">
      <c r="A5" s="682"/>
      <c r="B5" s="142"/>
      <c r="C5" s="683" t="s">
        <v>0</v>
      </c>
      <c r="D5" s="683" t="s">
        <v>1</v>
      </c>
      <c r="E5" s="683" t="s">
        <v>2</v>
      </c>
      <c r="F5" s="683" t="s">
        <v>3</v>
      </c>
      <c r="G5" s="683" t="s">
        <v>4</v>
      </c>
      <c r="H5" s="683" t="s">
        <v>5</v>
      </c>
      <c r="I5" s="683" t="s">
        <v>8</v>
      </c>
      <c r="J5" s="683" t="s">
        <v>9</v>
      </c>
      <c r="K5" s="683" t="s">
        <v>10</v>
      </c>
      <c r="L5" s="683" t="s">
        <v>11</v>
      </c>
      <c r="M5" s="683" t="s">
        <v>12</v>
      </c>
      <c r="N5" s="683" t="s">
        <v>13</v>
      </c>
      <c r="O5" s="683" t="s">
        <v>222</v>
      </c>
      <c r="P5" s="683" t="s">
        <v>223</v>
      </c>
      <c r="Q5" s="683" t="s">
        <v>224</v>
      </c>
      <c r="R5" s="684" t="s">
        <v>225</v>
      </c>
      <c r="S5" s="685" t="s">
        <v>226</v>
      </c>
    </row>
    <row r="6" spans="1:19" s="143" customFormat="1" ht="99" customHeight="1">
      <c r="A6" s="144"/>
      <c r="B6" s="928" t="s">
        <v>227</v>
      </c>
      <c r="C6" s="924">
        <v>0</v>
      </c>
      <c r="D6" s="925"/>
      <c r="E6" s="924">
        <v>0.2</v>
      </c>
      <c r="F6" s="925"/>
      <c r="G6" s="924">
        <v>0.35</v>
      </c>
      <c r="H6" s="925"/>
      <c r="I6" s="924">
        <v>0.5</v>
      </c>
      <c r="J6" s="925"/>
      <c r="K6" s="924">
        <v>0.75</v>
      </c>
      <c r="L6" s="925"/>
      <c r="M6" s="924">
        <v>1</v>
      </c>
      <c r="N6" s="925"/>
      <c r="O6" s="924">
        <v>1.5</v>
      </c>
      <c r="P6" s="925"/>
      <c r="Q6" s="924">
        <v>2.5</v>
      </c>
      <c r="R6" s="925"/>
      <c r="S6" s="926" t="s">
        <v>145</v>
      </c>
    </row>
    <row r="7" spans="1:19" s="143" customFormat="1" ht="30.75" customHeight="1" thickBot="1">
      <c r="A7" s="686"/>
      <c r="B7" s="929"/>
      <c r="C7" s="687" t="s">
        <v>148</v>
      </c>
      <c r="D7" s="687" t="s">
        <v>147</v>
      </c>
      <c r="E7" s="687" t="s">
        <v>148</v>
      </c>
      <c r="F7" s="687" t="s">
        <v>147</v>
      </c>
      <c r="G7" s="687" t="s">
        <v>148</v>
      </c>
      <c r="H7" s="687" t="s">
        <v>147</v>
      </c>
      <c r="I7" s="687" t="s">
        <v>148</v>
      </c>
      <c r="J7" s="687" t="s">
        <v>147</v>
      </c>
      <c r="K7" s="687" t="s">
        <v>148</v>
      </c>
      <c r="L7" s="687" t="s">
        <v>147</v>
      </c>
      <c r="M7" s="687" t="s">
        <v>148</v>
      </c>
      <c r="N7" s="687" t="s">
        <v>147</v>
      </c>
      <c r="O7" s="687" t="s">
        <v>148</v>
      </c>
      <c r="P7" s="687" t="s">
        <v>147</v>
      </c>
      <c r="Q7" s="687" t="s">
        <v>148</v>
      </c>
      <c r="R7" s="687" t="s">
        <v>147</v>
      </c>
      <c r="S7" s="927"/>
    </row>
    <row r="8" spans="1:19" s="80" customFormat="1" ht="13.5" thickTop="1">
      <c r="A8" s="679">
        <v>1</v>
      </c>
      <c r="B8" s="680" t="s">
        <v>51</v>
      </c>
      <c r="C8" s="681">
        <v>55429760.452896446</v>
      </c>
      <c r="D8" s="681"/>
      <c r="E8" s="681"/>
      <c r="F8" s="681"/>
      <c r="G8" s="681"/>
      <c r="H8" s="681"/>
      <c r="I8" s="681"/>
      <c r="J8" s="681"/>
      <c r="K8" s="681"/>
      <c r="L8" s="681"/>
      <c r="M8" s="681">
        <v>67837009.055210233</v>
      </c>
      <c r="N8" s="681"/>
      <c r="O8" s="681"/>
      <c r="P8" s="681"/>
      <c r="Q8" s="681"/>
      <c r="R8" s="681"/>
      <c r="S8" s="694">
        <f>$C$6*SUM(C8:D8)+$E$6*SUM(E8:F8)+$G$6*SUM(G8:H8)+$I$6*SUM(I8:J8)+$K$6*SUM(K8:L8)+$M$6*SUM(M8:N8)+$O$6*SUM(O8:P8)+$Q$6*SUM(Q8:R8)</f>
        <v>67837009.055210233</v>
      </c>
    </row>
    <row r="9" spans="1:19" s="80" customFormat="1">
      <c r="A9" s="78">
        <v>2</v>
      </c>
      <c r="B9" s="1" t="s">
        <v>52</v>
      </c>
      <c r="C9" s="79"/>
      <c r="D9" s="79"/>
      <c r="E9" s="79"/>
      <c r="F9" s="79"/>
      <c r="G9" s="79"/>
      <c r="H9" s="79"/>
      <c r="I9" s="79"/>
      <c r="J9" s="79"/>
      <c r="K9" s="79"/>
      <c r="L9" s="79"/>
      <c r="M9" s="79"/>
      <c r="N9" s="79"/>
      <c r="O9" s="79"/>
      <c r="P9" s="79"/>
      <c r="Q9" s="79"/>
      <c r="R9" s="79"/>
      <c r="S9" s="695">
        <f t="shared" ref="S9:S21" si="0">$C$6*SUM(C9:D9)+$E$6*SUM(E9:F9)+$G$6*SUM(G9:H9)+$I$6*SUM(I9:J9)+$K$6*SUM(K9:L9)+$M$6*SUM(M9:N9)+$O$6*SUM(O9:P9)+$Q$6*SUM(Q9:R9)</f>
        <v>0</v>
      </c>
    </row>
    <row r="10" spans="1:19" s="80" customFormat="1">
      <c r="A10" s="78">
        <v>3</v>
      </c>
      <c r="B10" s="1" t="s">
        <v>152</v>
      </c>
      <c r="C10" s="79"/>
      <c r="D10" s="79"/>
      <c r="E10" s="79"/>
      <c r="F10" s="79"/>
      <c r="G10" s="79"/>
      <c r="H10" s="79"/>
      <c r="I10" s="79"/>
      <c r="J10" s="79"/>
      <c r="K10" s="79"/>
      <c r="L10" s="79"/>
      <c r="M10" s="79"/>
      <c r="N10" s="79"/>
      <c r="O10" s="79"/>
      <c r="P10" s="79"/>
      <c r="Q10" s="79"/>
      <c r="R10" s="79"/>
      <c r="S10" s="695">
        <f t="shared" si="0"/>
        <v>0</v>
      </c>
    </row>
    <row r="11" spans="1:19" s="80" customFormat="1">
      <c r="A11" s="78">
        <v>4</v>
      </c>
      <c r="B11" s="1" t="s">
        <v>53</v>
      </c>
      <c r="C11" s="79"/>
      <c r="D11" s="79"/>
      <c r="E11" s="79"/>
      <c r="F11" s="79"/>
      <c r="G11" s="79"/>
      <c r="H11" s="79"/>
      <c r="I11" s="79"/>
      <c r="J11" s="79"/>
      <c r="K11" s="79"/>
      <c r="L11" s="79"/>
      <c r="M11" s="79"/>
      <c r="N11" s="79"/>
      <c r="O11" s="79"/>
      <c r="P11" s="79"/>
      <c r="Q11" s="79"/>
      <c r="R11" s="79"/>
      <c r="S11" s="695">
        <f t="shared" si="0"/>
        <v>0</v>
      </c>
    </row>
    <row r="12" spans="1:19" s="80" customFormat="1">
      <c r="A12" s="78">
        <v>5</v>
      </c>
      <c r="B12" s="1" t="s">
        <v>54</v>
      </c>
      <c r="C12" s="79"/>
      <c r="D12" s="79"/>
      <c r="E12" s="79"/>
      <c r="F12" s="79"/>
      <c r="G12" s="79"/>
      <c r="H12" s="79"/>
      <c r="I12" s="79"/>
      <c r="J12" s="79"/>
      <c r="K12" s="79"/>
      <c r="L12" s="79"/>
      <c r="M12" s="79"/>
      <c r="N12" s="79"/>
      <c r="O12" s="79"/>
      <c r="P12" s="79"/>
      <c r="Q12" s="79"/>
      <c r="R12" s="79"/>
      <c r="S12" s="695">
        <f t="shared" si="0"/>
        <v>0</v>
      </c>
    </row>
    <row r="13" spans="1:19" s="80" customFormat="1">
      <c r="A13" s="78">
        <v>6</v>
      </c>
      <c r="B13" s="1" t="s">
        <v>55</v>
      </c>
      <c r="C13" s="79"/>
      <c r="D13" s="79"/>
      <c r="E13" s="79">
        <v>4994666.6731548589</v>
      </c>
      <c r="F13" s="79">
        <v>221554.97177186341</v>
      </c>
      <c r="G13" s="79"/>
      <c r="H13" s="79"/>
      <c r="I13" s="79">
        <v>57295294.490195706</v>
      </c>
      <c r="J13" s="79">
        <v>26917521.524131007</v>
      </c>
      <c r="K13" s="79"/>
      <c r="L13" s="79"/>
      <c r="M13" s="79">
        <v>9355837.0091860984</v>
      </c>
      <c r="N13" s="79">
        <v>25371768.422681171</v>
      </c>
      <c r="O13" s="79"/>
      <c r="P13" s="79"/>
      <c r="Q13" s="79"/>
      <c r="R13" s="79"/>
      <c r="S13" s="695">
        <f t="shared" si="0"/>
        <v>77877257.768015981</v>
      </c>
    </row>
    <row r="14" spans="1:19" s="80" customFormat="1">
      <c r="A14" s="78">
        <v>7</v>
      </c>
      <c r="B14" s="1" t="s">
        <v>56</v>
      </c>
      <c r="C14" s="79"/>
      <c r="D14" s="79"/>
      <c r="E14" s="79"/>
      <c r="F14" s="79"/>
      <c r="G14" s="79"/>
      <c r="H14" s="79"/>
      <c r="I14" s="79"/>
      <c r="J14" s="79"/>
      <c r="K14" s="79"/>
      <c r="L14" s="79"/>
      <c r="M14" s="79">
        <v>414290574.55139679</v>
      </c>
      <c r="N14" s="79">
        <v>7744945.9175426075</v>
      </c>
      <c r="O14" s="79"/>
      <c r="P14" s="79"/>
      <c r="Q14" s="79"/>
      <c r="R14" s="79"/>
      <c r="S14" s="695">
        <f t="shared" si="0"/>
        <v>422035520.46893942</v>
      </c>
    </row>
    <row r="15" spans="1:19" s="80" customFormat="1">
      <c r="A15" s="78">
        <v>8</v>
      </c>
      <c r="B15" s="1" t="s">
        <v>57</v>
      </c>
      <c r="C15" s="79"/>
      <c r="D15" s="79"/>
      <c r="E15" s="79"/>
      <c r="F15" s="79"/>
      <c r="G15" s="79"/>
      <c r="H15" s="79"/>
      <c r="I15" s="79"/>
      <c r="J15" s="79"/>
      <c r="K15" s="79"/>
      <c r="L15" s="79"/>
      <c r="M15" s="79"/>
      <c r="N15" s="79">
        <v>0</v>
      </c>
      <c r="O15" s="79"/>
      <c r="P15" s="79"/>
      <c r="Q15" s="79"/>
      <c r="R15" s="79"/>
      <c r="S15" s="695">
        <f t="shared" si="0"/>
        <v>0</v>
      </c>
    </row>
    <row r="16" spans="1:19" s="80" customFormat="1">
      <c r="A16" s="78">
        <v>9</v>
      </c>
      <c r="B16" s="1" t="s">
        <v>58</v>
      </c>
      <c r="C16" s="79"/>
      <c r="D16" s="79"/>
      <c r="E16" s="79"/>
      <c r="F16" s="79"/>
      <c r="G16" s="79"/>
      <c r="H16" s="79"/>
      <c r="I16" s="79"/>
      <c r="J16" s="79"/>
      <c r="K16" s="79"/>
      <c r="L16" s="79"/>
      <c r="M16" s="79"/>
      <c r="N16" s="79"/>
      <c r="O16" s="79"/>
      <c r="P16" s="79"/>
      <c r="Q16" s="79"/>
      <c r="R16" s="79"/>
      <c r="S16" s="695">
        <f t="shared" si="0"/>
        <v>0</v>
      </c>
    </row>
    <row r="17" spans="1:19" s="80" customFormat="1">
      <c r="A17" s="78">
        <v>10</v>
      </c>
      <c r="B17" s="1" t="s">
        <v>59</v>
      </c>
      <c r="C17" s="79"/>
      <c r="D17" s="79"/>
      <c r="E17" s="79"/>
      <c r="F17" s="79"/>
      <c r="G17" s="79"/>
      <c r="H17" s="79"/>
      <c r="I17" s="79"/>
      <c r="J17" s="79"/>
      <c r="K17" s="79"/>
      <c r="L17" s="79"/>
      <c r="M17" s="79">
        <v>140862.94485199486</v>
      </c>
      <c r="N17" s="79"/>
      <c r="O17" s="79"/>
      <c r="P17" s="79"/>
      <c r="Q17" s="79"/>
      <c r="R17" s="79"/>
      <c r="S17" s="695">
        <f t="shared" si="0"/>
        <v>140862.94485199486</v>
      </c>
    </row>
    <row r="18" spans="1:19" s="80" customFormat="1">
      <c r="A18" s="78">
        <v>11</v>
      </c>
      <c r="B18" s="1" t="s">
        <v>60</v>
      </c>
      <c r="C18" s="79"/>
      <c r="D18" s="79"/>
      <c r="E18" s="79"/>
      <c r="F18" s="79"/>
      <c r="G18" s="79"/>
      <c r="H18" s="79"/>
      <c r="I18" s="79"/>
      <c r="J18" s="79"/>
      <c r="K18" s="79"/>
      <c r="L18" s="79"/>
      <c r="M18" s="79"/>
      <c r="N18" s="79"/>
      <c r="O18" s="79"/>
      <c r="P18" s="79"/>
      <c r="Q18" s="79"/>
      <c r="R18" s="79"/>
      <c r="S18" s="695">
        <f t="shared" si="0"/>
        <v>0</v>
      </c>
    </row>
    <row r="19" spans="1:19" s="80" customFormat="1">
      <c r="A19" s="78">
        <v>12</v>
      </c>
      <c r="B19" s="1" t="s">
        <v>61</v>
      </c>
      <c r="C19" s="79"/>
      <c r="D19" s="79"/>
      <c r="E19" s="79"/>
      <c r="F19" s="79"/>
      <c r="G19" s="79"/>
      <c r="H19" s="79"/>
      <c r="I19" s="79"/>
      <c r="J19" s="79"/>
      <c r="K19" s="79"/>
      <c r="L19" s="79"/>
      <c r="M19" s="79"/>
      <c r="N19" s="79"/>
      <c r="O19" s="79"/>
      <c r="P19" s="79"/>
      <c r="Q19" s="79"/>
      <c r="R19" s="79"/>
      <c r="S19" s="695">
        <f t="shared" si="0"/>
        <v>0</v>
      </c>
    </row>
    <row r="20" spans="1:19" s="80" customFormat="1">
      <c r="A20" s="78">
        <v>13</v>
      </c>
      <c r="B20" s="1" t="s">
        <v>144</v>
      </c>
      <c r="C20" s="79"/>
      <c r="D20" s="79"/>
      <c r="E20" s="79"/>
      <c r="F20" s="79"/>
      <c r="G20" s="79"/>
      <c r="H20" s="79"/>
      <c r="I20" s="79"/>
      <c r="J20" s="79"/>
      <c r="K20" s="79"/>
      <c r="L20" s="79"/>
      <c r="M20" s="79"/>
      <c r="N20" s="79"/>
      <c r="O20" s="79"/>
      <c r="P20" s="79"/>
      <c r="Q20" s="79"/>
      <c r="R20" s="79"/>
      <c r="S20" s="695">
        <f t="shared" si="0"/>
        <v>0</v>
      </c>
    </row>
    <row r="21" spans="1:19" s="80" customFormat="1" ht="13.5" thickBot="1">
      <c r="A21" s="688">
        <v>14</v>
      </c>
      <c r="B21" s="689" t="s">
        <v>63</v>
      </c>
      <c r="C21" s="690">
        <v>1457524.672</v>
      </c>
      <c r="D21" s="690"/>
      <c r="E21" s="690"/>
      <c r="F21" s="690"/>
      <c r="G21" s="690"/>
      <c r="H21" s="690"/>
      <c r="I21" s="690"/>
      <c r="J21" s="690"/>
      <c r="K21" s="690"/>
      <c r="L21" s="690"/>
      <c r="M21" s="690">
        <v>17950559.899709649</v>
      </c>
      <c r="N21" s="690"/>
      <c r="O21" s="690"/>
      <c r="P21" s="690"/>
      <c r="Q21" s="690"/>
      <c r="R21" s="690"/>
      <c r="S21" s="696">
        <f t="shared" si="0"/>
        <v>17950559.899709649</v>
      </c>
    </row>
    <row r="22" spans="1:19" ht="13.5" thickBot="1">
      <c r="A22" s="691"/>
      <c r="B22" s="692" t="s">
        <v>64</v>
      </c>
      <c r="C22" s="693">
        <f>SUM(C8:C21)</f>
        <v>56887285.124896444</v>
      </c>
      <c r="D22" s="693">
        <f t="shared" ref="D22:J22" si="1">SUM(D8:D21)</f>
        <v>0</v>
      </c>
      <c r="E22" s="693">
        <f t="shared" si="1"/>
        <v>4994666.6731548589</v>
      </c>
      <c r="F22" s="693">
        <f t="shared" si="1"/>
        <v>221554.97177186341</v>
      </c>
      <c r="G22" s="693">
        <f t="shared" si="1"/>
        <v>0</v>
      </c>
      <c r="H22" s="693">
        <f t="shared" si="1"/>
        <v>0</v>
      </c>
      <c r="I22" s="693">
        <f t="shared" si="1"/>
        <v>57295294.490195706</v>
      </c>
      <c r="J22" s="693">
        <f t="shared" si="1"/>
        <v>26917521.524131007</v>
      </c>
      <c r="K22" s="693">
        <f t="shared" ref="K22:S22" si="2">SUM(K8:K21)</f>
        <v>0</v>
      </c>
      <c r="L22" s="693">
        <f t="shared" si="2"/>
        <v>0</v>
      </c>
      <c r="M22" s="693">
        <f t="shared" si="2"/>
        <v>509574843.46035475</v>
      </c>
      <c r="N22" s="693">
        <f t="shared" si="2"/>
        <v>33116714.340223778</v>
      </c>
      <c r="O22" s="693">
        <f t="shared" si="2"/>
        <v>0</v>
      </c>
      <c r="P22" s="693">
        <f t="shared" si="2"/>
        <v>0</v>
      </c>
      <c r="Q22" s="693">
        <f t="shared" si="2"/>
        <v>0</v>
      </c>
      <c r="R22" s="693">
        <f t="shared" si="2"/>
        <v>0</v>
      </c>
      <c r="S22" s="697">
        <f t="shared" si="2"/>
        <v>585841210.13672733</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showGridLines="0"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445" t="str">
        <f>'Info '!C2</f>
        <v>JSC Isbank Georgia</v>
      </c>
    </row>
    <row r="2" spans="1:22">
      <c r="A2" s="2" t="s">
        <v>31</v>
      </c>
      <c r="B2" s="446">
        <f>'1. key ratios '!B2</f>
        <v>46112</v>
      </c>
    </row>
    <row r="4" spans="1:22" ht="13.5" thickBot="1">
      <c r="A4" s="4" t="s">
        <v>230</v>
      </c>
      <c r="B4" s="83" t="s">
        <v>50</v>
      </c>
      <c r="V4" s="18" t="s">
        <v>35</v>
      </c>
    </row>
    <row r="5" spans="1:22" ht="12.75" customHeight="1">
      <c r="A5" s="84"/>
      <c r="B5" s="85"/>
      <c r="C5" s="930" t="s">
        <v>156</v>
      </c>
      <c r="D5" s="931"/>
      <c r="E5" s="931"/>
      <c r="F5" s="931"/>
      <c r="G5" s="931"/>
      <c r="H5" s="931"/>
      <c r="I5" s="931"/>
      <c r="J5" s="931"/>
      <c r="K5" s="931"/>
      <c r="L5" s="932"/>
      <c r="M5" s="933" t="s">
        <v>157</v>
      </c>
      <c r="N5" s="934"/>
      <c r="O5" s="934"/>
      <c r="P5" s="934"/>
      <c r="Q5" s="934"/>
      <c r="R5" s="934"/>
      <c r="S5" s="935"/>
      <c r="T5" s="938" t="s">
        <v>228</v>
      </c>
      <c r="U5" s="938" t="s">
        <v>229</v>
      </c>
      <c r="V5" s="936" t="s">
        <v>76</v>
      </c>
    </row>
    <row r="6" spans="1:22" s="48" customFormat="1" ht="102">
      <c r="A6" s="45"/>
      <c r="B6" s="86"/>
      <c r="C6" s="87" t="s">
        <v>65</v>
      </c>
      <c r="D6" s="123" t="s">
        <v>66</v>
      </c>
      <c r="E6" s="106" t="s">
        <v>159</v>
      </c>
      <c r="F6" s="106" t="s">
        <v>160</v>
      </c>
      <c r="G6" s="123" t="s">
        <v>163</v>
      </c>
      <c r="H6" s="123" t="s">
        <v>158</v>
      </c>
      <c r="I6" s="123" t="s">
        <v>67</v>
      </c>
      <c r="J6" s="123" t="s">
        <v>68</v>
      </c>
      <c r="K6" s="88" t="s">
        <v>69</v>
      </c>
      <c r="L6" s="89" t="s">
        <v>70</v>
      </c>
      <c r="M6" s="87" t="s">
        <v>161</v>
      </c>
      <c r="N6" s="88" t="s">
        <v>71</v>
      </c>
      <c r="O6" s="88" t="s">
        <v>72</v>
      </c>
      <c r="P6" s="88" t="s">
        <v>73</v>
      </c>
      <c r="Q6" s="88" t="s">
        <v>74</v>
      </c>
      <c r="R6" s="88" t="s">
        <v>75</v>
      </c>
      <c r="S6" s="141" t="s">
        <v>162</v>
      </c>
      <c r="T6" s="939"/>
      <c r="U6" s="939"/>
      <c r="V6" s="937"/>
    </row>
    <row r="7" spans="1:22" s="80" customFormat="1">
      <c r="A7" s="90">
        <v>1</v>
      </c>
      <c r="B7" s="1" t="s">
        <v>51</v>
      </c>
      <c r="C7" s="91"/>
      <c r="D7" s="79"/>
      <c r="E7" s="79"/>
      <c r="F7" s="79"/>
      <c r="G7" s="79"/>
      <c r="H7" s="79"/>
      <c r="I7" s="79"/>
      <c r="J7" s="79"/>
      <c r="K7" s="79"/>
      <c r="L7" s="92"/>
      <c r="M7" s="91"/>
      <c r="N7" s="79"/>
      <c r="O7" s="79"/>
      <c r="P7" s="79"/>
      <c r="Q7" s="79"/>
      <c r="R7" s="79"/>
      <c r="S7" s="92"/>
      <c r="T7" s="145"/>
      <c r="U7" s="145"/>
      <c r="V7" s="93">
        <f>SUM(C7:S7)</f>
        <v>0</v>
      </c>
    </row>
    <row r="8" spans="1:22" s="80" customFormat="1">
      <c r="A8" s="90">
        <v>2</v>
      </c>
      <c r="B8" s="1" t="s">
        <v>52</v>
      </c>
      <c r="C8" s="91"/>
      <c r="D8" s="79"/>
      <c r="E8" s="79"/>
      <c r="F8" s="79"/>
      <c r="G8" s="79"/>
      <c r="H8" s="79"/>
      <c r="I8" s="79"/>
      <c r="J8" s="79"/>
      <c r="K8" s="79"/>
      <c r="L8" s="92"/>
      <c r="M8" s="91"/>
      <c r="N8" s="79"/>
      <c r="O8" s="79"/>
      <c r="P8" s="79"/>
      <c r="Q8" s="79"/>
      <c r="R8" s="79"/>
      <c r="S8" s="92"/>
      <c r="T8" s="145"/>
      <c r="U8" s="145"/>
      <c r="V8" s="93">
        <f t="shared" ref="V8:V20" si="0">SUM(C8:S8)</f>
        <v>0</v>
      </c>
    </row>
    <row r="9" spans="1:22" s="80" customFormat="1">
      <c r="A9" s="90">
        <v>3</v>
      </c>
      <c r="B9" s="1" t="s">
        <v>153</v>
      </c>
      <c r="C9" s="91"/>
      <c r="D9" s="79"/>
      <c r="E9" s="79"/>
      <c r="F9" s="79"/>
      <c r="G9" s="79"/>
      <c r="H9" s="79"/>
      <c r="I9" s="79"/>
      <c r="J9" s="79"/>
      <c r="K9" s="79"/>
      <c r="L9" s="92"/>
      <c r="M9" s="91"/>
      <c r="N9" s="79"/>
      <c r="O9" s="79"/>
      <c r="P9" s="79"/>
      <c r="Q9" s="79"/>
      <c r="R9" s="79"/>
      <c r="S9" s="92"/>
      <c r="T9" s="145"/>
      <c r="U9" s="145"/>
      <c r="V9" s="93">
        <f t="shared" si="0"/>
        <v>0</v>
      </c>
    </row>
    <row r="10" spans="1:22" s="80" customFormat="1">
      <c r="A10" s="90">
        <v>4</v>
      </c>
      <c r="B10" s="1" t="s">
        <v>53</v>
      </c>
      <c r="C10" s="91"/>
      <c r="D10" s="79"/>
      <c r="E10" s="79"/>
      <c r="F10" s="79"/>
      <c r="G10" s="79"/>
      <c r="H10" s="79"/>
      <c r="I10" s="79"/>
      <c r="J10" s="79"/>
      <c r="K10" s="79"/>
      <c r="L10" s="92"/>
      <c r="M10" s="91"/>
      <c r="N10" s="79"/>
      <c r="O10" s="79"/>
      <c r="P10" s="79"/>
      <c r="Q10" s="79"/>
      <c r="R10" s="79"/>
      <c r="S10" s="92"/>
      <c r="T10" s="145"/>
      <c r="U10" s="145"/>
      <c r="V10" s="93">
        <f t="shared" si="0"/>
        <v>0</v>
      </c>
    </row>
    <row r="11" spans="1:22" s="80" customFormat="1">
      <c r="A11" s="90">
        <v>5</v>
      </c>
      <c r="B11" s="1" t="s">
        <v>54</v>
      </c>
      <c r="C11" s="91"/>
      <c r="D11" s="79"/>
      <c r="E11" s="79"/>
      <c r="F11" s="79"/>
      <c r="G11" s="79"/>
      <c r="H11" s="79"/>
      <c r="I11" s="79"/>
      <c r="J11" s="79"/>
      <c r="K11" s="79"/>
      <c r="L11" s="92"/>
      <c r="M11" s="91"/>
      <c r="N11" s="79"/>
      <c r="O11" s="79"/>
      <c r="P11" s="79"/>
      <c r="Q11" s="79"/>
      <c r="R11" s="79"/>
      <c r="S11" s="92"/>
      <c r="T11" s="145"/>
      <c r="U11" s="145"/>
      <c r="V11" s="93">
        <f t="shared" si="0"/>
        <v>0</v>
      </c>
    </row>
    <row r="12" spans="1:22" s="80" customFormat="1">
      <c r="A12" s="90">
        <v>6</v>
      </c>
      <c r="B12" s="1" t="s">
        <v>55</v>
      </c>
      <c r="C12" s="91"/>
      <c r="D12" s="79"/>
      <c r="E12" s="79"/>
      <c r="F12" s="79"/>
      <c r="G12" s="79"/>
      <c r="H12" s="79"/>
      <c r="I12" s="79"/>
      <c r="J12" s="79"/>
      <c r="K12" s="79"/>
      <c r="L12" s="92"/>
      <c r="M12" s="91"/>
      <c r="N12" s="79"/>
      <c r="O12" s="79"/>
      <c r="P12" s="79"/>
      <c r="Q12" s="79"/>
      <c r="R12" s="79"/>
      <c r="S12" s="92"/>
      <c r="T12" s="145"/>
      <c r="U12" s="145"/>
      <c r="V12" s="93">
        <f t="shared" si="0"/>
        <v>0</v>
      </c>
    </row>
    <row r="13" spans="1:22" s="80" customFormat="1">
      <c r="A13" s="90">
        <v>7</v>
      </c>
      <c r="B13" s="1" t="s">
        <v>56</v>
      </c>
      <c r="C13" s="91"/>
      <c r="D13" s="79">
        <f>25997467.87+948571.0053</f>
        <v>26946038.875300001</v>
      </c>
      <c r="E13" s="79"/>
      <c r="F13" s="79"/>
      <c r="G13" s="79"/>
      <c r="H13" s="79"/>
      <c r="I13" s="79"/>
      <c r="J13" s="79"/>
      <c r="K13" s="79"/>
      <c r="L13" s="92"/>
      <c r="M13" s="91"/>
      <c r="N13" s="79"/>
      <c r="O13" s="79"/>
      <c r="P13" s="79"/>
      <c r="Q13" s="79"/>
      <c r="R13" s="79"/>
      <c r="S13" s="92"/>
      <c r="T13" s="145">
        <v>25997467.870000001</v>
      </c>
      <c r="U13" s="145">
        <v>948571.00529999996</v>
      </c>
      <c r="V13" s="93">
        <f t="shared" si="0"/>
        <v>26946038.875300001</v>
      </c>
    </row>
    <row r="14" spans="1:22" s="80" customFormat="1">
      <c r="A14" s="90">
        <v>8</v>
      </c>
      <c r="B14" s="1" t="s">
        <v>57</v>
      </c>
      <c r="C14" s="91"/>
      <c r="D14" s="79"/>
      <c r="E14" s="79"/>
      <c r="F14" s="79"/>
      <c r="G14" s="79"/>
      <c r="H14" s="79"/>
      <c r="I14" s="79"/>
      <c r="J14" s="79"/>
      <c r="K14" s="79"/>
      <c r="L14" s="92"/>
      <c r="M14" s="91"/>
      <c r="N14" s="79"/>
      <c r="O14" s="79"/>
      <c r="P14" s="79"/>
      <c r="Q14" s="79"/>
      <c r="R14" s="79"/>
      <c r="S14" s="92"/>
      <c r="T14" s="145"/>
      <c r="U14" s="145"/>
      <c r="V14" s="93">
        <f t="shared" si="0"/>
        <v>0</v>
      </c>
    </row>
    <row r="15" spans="1:22" s="80" customFormat="1">
      <c r="A15" s="90">
        <v>9</v>
      </c>
      <c r="B15" s="1" t="s">
        <v>58</v>
      </c>
      <c r="C15" s="91"/>
      <c r="D15" s="79"/>
      <c r="E15" s="79"/>
      <c r="F15" s="79"/>
      <c r="G15" s="79"/>
      <c r="H15" s="79"/>
      <c r="I15" s="79"/>
      <c r="J15" s="79"/>
      <c r="K15" s="79"/>
      <c r="L15" s="92"/>
      <c r="M15" s="91"/>
      <c r="N15" s="79"/>
      <c r="O15" s="79"/>
      <c r="P15" s="79"/>
      <c r="Q15" s="79"/>
      <c r="R15" s="79"/>
      <c r="S15" s="92"/>
      <c r="T15" s="145"/>
      <c r="U15" s="145"/>
      <c r="V15" s="93">
        <f t="shared" si="0"/>
        <v>0</v>
      </c>
    </row>
    <row r="16" spans="1:22" s="80" customFormat="1">
      <c r="A16" s="90">
        <v>10</v>
      </c>
      <c r="B16" s="1" t="s">
        <v>59</v>
      </c>
      <c r="C16" s="91"/>
      <c r="D16" s="79"/>
      <c r="E16" s="79"/>
      <c r="F16" s="79"/>
      <c r="G16" s="79"/>
      <c r="H16" s="79"/>
      <c r="I16" s="79"/>
      <c r="J16" s="79"/>
      <c r="K16" s="79"/>
      <c r="L16" s="92"/>
      <c r="M16" s="91"/>
      <c r="N16" s="79"/>
      <c r="O16" s="79"/>
      <c r="P16" s="79"/>
      <c r="Q16" s="79"/>
      <c r="R16" s="79"/>
      <c r="S16" s="92"/>
      <c r="T16" s="145"/>
      <c r="U16" s="145"/>
      <c r="V16" s="93">
        <f t="shared" si="0"/>
        <v>0</v>
      </c>
    </row>
    <row r="17" spans="1:22" s="80" customFormat="1">
      <c r="A17" s="90">
        <v>11</v>
      </c>
      <c r="B17" s="1" t="s">
        <v>60</v>
      </c>
      <c r="C17" s="91"/>
      <c r="D17" s="79"/>
      <c r="E17" s="79"/>
      <c r="F17" s="79"/>
      <c r="G17" s="79"/>
      <c r="H17" s="79"/>
      <c r="I17" s="79"/>
      <c r="J17" s="79"/>
      <c r="K17" s="79"/>
      <c r="L17" s="92"/>
      <c r="M17" s="91"/>
      <c r="N17" s="79"/>
      <c r="O17" s="79"/>
      <c r="P17" s="79"/>
      <c r="Q17" s="79"/>
      <c r="R17" s="79"/>
      <c r="S17" s="92"/>
      <c r="T17" s="145"/>
      <c r="U17" s="145"/>
      <c r="V17" s="93">
        <f t="shared" si="0"/>
        <v>0</v>
      </c>
    </row>
    <row r="18" spans="1:22" s="80" customFormat="1">
      <c r="A18" s="90">
        <v>12</v>
      </c>
      <c r="B18" s="1" t="s">
        <v>61</v>
      </c>
      <c r="C18" s="91"/>
      <c r="D18" s="79"/>
      <c r="E18" s="79"/>
      <c r="F18" s="79"/>
      <c r="G18" s="79"/>
      <c r="H18" s="79"/>
      <c r="I18" s="79"/>
      <c r="J18" s="79"/>
      <c r="K18" s="79"/>
      <c r="L18" s="92"/>
      <c r="M18" s="91"/>
      <c r="N18" s="79"/>
      <c r="O18" s="79"/>
      <c r="P18" s="79"/>
      <c r="Q18" s="79"/>
      <c r="R18" s="79"/>
      <c r="S18" s="92"/>
      <c r="T18" s="145"/>
      <c r="U18" s="145"/>
      <c r="V18" s="93">
        <f t="shared" si="0"/>
        <v>0</v>
      </c>
    </row>
    <row r="19" spans="1:22" s="80" customFormat="1">
      <c r="A19" s="90">
        <v>13</v>
      </c>
      <c r="B19" s="1" t="s">
        <v>62</v>
      </c>
      <c r="C19" s="91"/>
      <c r="D19" s="79"/>
      <c r="E19" s="79"/>
      <c r="F19" s="79"/>
      <c r="G19" s="79"/>
      <c r="H19" s="79"/>
      <c r="I19" s="79"/>
      <c r="J19" s="79"/>
      <c r="K19" s="79"/>
      <c r="L19" s="92"/>
      <c r="M19" s="91"/>
      <c r="N19" s="79"/>
      <c r="O19" s="79"/>
      <c r="P19" s="79"/>
      <c r="Q19" s="79"/>
      <c r="R19" s="79"/>
      <c r="S19" s="92"/>
      <c r="T19" s="145"/>
      <c r="U19" s="145"/>
      <c r="V19" s="93">
        <f t="shared" si="0"/>
        <v>0</v>
      </c>
    </row>
    <row r="20" spans="1:22" s="80" customFormat="1">
      <c r="A20" s="90">
        <v>14</v>
      </c>
      <c r="B20" s="1" t="s">
        <v>63</v>
      </c>
      <c r="C20" s="91"/>
      <c r="D20" s="79">
        <v>419973.47000000003</v>
      </c>
      <c r="E20" s="79"/>
      <c r="F20" s="79"/>
      <c r="G20" s="79"/>
      <c r="H20" s="79"/>
      <c r="I20" s="79"/>
      <c r="J20" s="79"/>
      <c r="K20" s="79"/>
      <c r="L20" s="92"/>
      <c r="M20" s="91"/>
      <c r="N20" s="79"/>
      <c r="O20" s="79"/>
      <c r="P20" s="79"/>
      <c r="Q20" s="79"/>
      <c r="R20" s="79"/>
      <c r="S20" s="92"/>
      <c r="T20" s="145">
        <f>D20</f>
        <v>419973.47000000003</v>
      </c>
      <c r="U20" s="145"/>
      <c r="V20" s="93">
        <f t="shared" si="0"/>
        <v>419973.47000000003</v>
      </c>
    </row>
    <row r="21" spans="1:22" ht="13.5" thickBot="1">
      <c r="A21" s="81"/>
      <c r="B21" s="94" t="s">
        <v>64</v>
      </c>
      <c r="C21" s="95">
        <f>SUM(C7:C20)</f>
        <v>0</v>
      </c>
      <c r="D21" s="82">
        <f t="shared" ref="D21:V21" si="1">SUM(D7:D20)</f>
        <v>27366012.3453</v>
      </c>
      <c r="E21" s="82">
        <f t="shared" si="1"/>
        <v>0</v>
      </c>
      <c r="F21" s="82">
        <f t="shared" si="1"/>
        <v>0</v>
      </c>
      <c r="G21" s="82">
        <f t="shared" si="1"/>
        <v>0</v>
      </c>
      <c r="H21" s="82">
        <f t="shared" si="1"/>
        <v>0</v>
      </c>
      <c r="I21" s="82">
        <f t="shared" si="1"/>
        <v>0</v>
      </c>
      <c r="J21" s="82">
        <f t="shared" si="1"/>
        <v>0</v>
      </c>
      <c r="K21" s="82">
        <f t="shared" si="1"/>
        <v>0</v>
      </c>
      <c r="L21" s="96">
        <f t="shared" si="1"/>
        <v>0</v>
      </c>
      <c r="M21" s="95">
        <f t="shared" si="1"/>
        <v>0</v>
      </c>
      <c r="N21" s="82">
        <f t="shared" si="1"/>
        <v>0</v>
      </c>
      <c r="O21" s="82">
        <f t="shared" si="1"/>
        <v>0</v>
      </c>
      <c r="P21" s="82">
        <f t="shared" si="1"/>
        <v>0</v>
      </c>
      <c r="Q21" s="82">
        <f t="shared" si="1"/>
        <v>0</v>
      </c>
      <c r="R21" s="82">
        <f t="shared" si="1"/>
        <v>0</v>
      </c>
      <c r="S21" s="96">
        <f>SUM(S7:S20)</f>
        <v>0</v>
      </c>
      <c r="T21" s="96">
        <f>SUM(T7:T20)</f>
        <v>26417441.34</v>
      </c>
      <c r="U21" s="96">
        <f t="shared" ref="U21" si="2">SUM(U7:U20)</f>
        <v>948571.00529999996</v>
      </c>
      <c r="V21" s="97">
        <f t="shared" si="1"/>
        <v>27366012.3453</v>
      </c>
    </row>
    <row r="24" spans="1:22">
      <c r="A24" s="7"/>
      <c r="B24" s="7"/>
      <c r="C24" s="25"/>
      <c r="D24" s="25"/>
      <c r="E24" s="25"/>
    </row>
    <row r="25" spans="1:22">
      <c r="A25" s="98"/>
      <c r="B25" s="98"/>
      <c r="C25" s="7"/>
      <c r="D25" s="25"/>
      <c r="E25" s="25"/>
    </row>
    <row r="26" spans="1:22">
      <c r="A26" s="98"/>
      <c r="B26" s="26"/>
      <c r="C26" s="7"/>
      <c r="D26" s="25"/>
      <c r="E26" s="25"/>
    </row>
    <row r="27" spans="1:22">
      <c r="A27" s="98"/>
      <c r="B27" s="98"/>
      <c r="C27" s="7"/>
      <c r="D27" s="25"/>
      <c r="E27" s="25"/>
    </row>
    <row r="28" spans="1:22">
      <c r="A28" s="98"/>
      <c r="B28" s="26"/>
      <c r="C28" s="7"/>
      <c r="D28" s="25"/>
      <c r="E28" s="25"/>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showGridLines="0" zoomScaleNormal="100" workbookViewId="0">
      <pane xSplit="1" ySplit="7" topLeftCell="B8"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101.85546875" style="4" customWidth="1"/>
    <col min="3" max="3" width="13.85546875" style="146" customWidth="1"/>
    <col min="4" max="4" width="14.85546875" style="146" bestFit="1" customWidth="1"/>
    <col min="5" max="5" width="17.85546875" style="146" customWidth="1"/>
    <col min="6" max="6" width="15.85546875" style="146" customWidth="1"/>
    <col min="7" max="7" width="17.42578125" style="146" customWidth="1"/>
    <col min="8" max="8" width="15.140625" style="146" customWidth="1"/>
    <col min="9" max="16384" width="9.140625" style="17"/>
  </cols>
  <sheetData>
    <row r="1" spans="1:9">
      <c r="A1" s="2" t="s">
        <v>30</v>
      </c>
      <c r="B1" s="445" t="str">
        <f>'Info '!C2</f>
        <v>JSC Isbank Georgia</v>
      </c>
      <c r="C1" s="3"/>
    </row>
    <row r="2" spans="1:9">
      <c r="A2" s="2" t="s">
        <v>31</v>
      </c>
      <c r="B2" s="446">
        <f>'1. key ratios '!B2</f>
        <v>46112</v>
      </c>
      <c r="C2" s="231"/>
    </row>
    <row r="4" spans="1:9" ht="13.5" thickBot="1">
      <c r="A4" s="2" t="s">
        <v>150</v>
      </c>
      <c r="B4" s="83" t="s">
        <v>239</v>
      </c>
    </row>
    <row r="5" spans="1:9">
      <c r="A5" s="84"/>
      <c r="B5" s="99"/>
      <c r="C5" s="147" t="s">
        <v>0</v>
      </c>
      <c r="D5" s="147" t="s">
        <v>1</v>
      </c>
      <c r="E5" s="147" t="s">
        <v>2</v>
      </c>
      <c r="F5" s="147" t="s">
        <v>3</v>
      </c>
      <c r="G5" s="148" t="s">
        <v>4</v>
      </c>
      <c r="H5" s="149" t="s">
        <v>5</v>
      </c>
      <c r="I5" s="100"/>
    </row>
    <row r="6" spans="1:9" s="100" customFormat="1" ht="12.75" customHeight="1">
      <c r="A6" s="101"/>
      <c r="B6" s="942" t="s">
        <v>149</v>
      </c>
      <c r="C6" s="944" t="s">
        <v>232</v>
      </c>
      <c r="D6" s="946" t="s">
        <v>231</v>
      </c>
      <c r="E6" s="947"/>
      <c r="F6" s="944" t="s">
        <v>236</v>
      </c>
      <c r="G6" s="944" t="s">
        <v>237</v>
      </c>
      <c r="H6" s="940" t="s">
        <v>235</v>
      </c>
    </row>
    <row r="7" spans="1:9" ht="38.25">
      <c r="A7" s="103"/>
      <c r="B7" s="943"/>
      <c r="C7" s="945"/>
      <c r="D7" s="150" t="s">
        <v>234</v>
      </c>
      <c r="E7" s="150" t="s">
        <v>233</v>
      </c>
      <c r="F7" s="945"/>
      <c r="G7" s="945"/>
      <c r="H7" s="941"/>
      <c r="I7" s="100"/>
    </row>
    <row r="8" spans="1:9">
      <c r="A8" s="101">
        <v>1</v>
      </c>
      <c r="B8" s="1" t="s">
        <v>51</v>
      </c>
      <c r="C8" s="151">
        <f>'11. CRWA '!C8+'11. CRWA '!E8+'11. CRWA '!G8+'11. CRWA '!I8+'11. CRWA '!K8+'11. CRWA '!M8+'11. CRWA '!O8+'11. CRWA '!Q8</f>
        <v>123266769.50810668</v>
      </c>
      <c r="D8" s="152"/>
      <c r="E8" s="151"/>
      <c r="F8" s="151">
        <f>'11. CRWA '!S8</f>
        <v>67837009.055210233</v>
      </c>
      <c r="G8" s="153">
        <f>F8-'12. CRM'!V7</f>
        <v>67837009.055210233</v>
      </c>
      <c r="H8" s="700">
        <f>IFERROR(G8/(C8+E8),0)</f>
        <v>0.55032681821639617</v>
      </c>
    </row>
    <row r="9" spans="1:9" ht="15" customHeight="1">
      <c r="A9" s="101">
        <v>2</v>
      </c>
      <c r="B9" s="1" t="s">
        <v>52</v>
      </c>
      <c r="C9" s="151">
        <f>'11. CRWA '!C9+'11. CRWA '!E9+'11. CRWA '!G9+'11. CRWA '!I9+'11. CRWA '!K9+'11. CRWA '!M9+'11. CRWA '!O9+'11. CRWA '!Q9</f>
        <v>0</v>
      </c>
      <c r="D9" s="152"/>
      <c r="E9" s="151"/>
      <c r="F9" s="151">
        <f>'11. CRWA '!S9</f>
        <v>0</v>
      </c>
      <c r="G9" s="153">
        <f>F9-'12. CRM'!V8</f>
        <v>0</v>
      </c>
      <c r="H9" s="700">
        <f t="shared" ref="H9:H21" si="0">IFERROR(G9/(C9+E9),0)</f>
        <v>0</v>
      </c>
    </row>
    <row r="10" spans="1:9">
      <c r="A10" s="101">
        <v>3</v>
      </c>
      <c r="B10" s="1" t="s">
        <v>153</v>
      </c>
      <c r="C10" s="151">
        <f>'11. CRWA '!C10+'11. CRWA '!E10+'11. CRWA '!G10+'11. CRWA '!I10+'11. CRWA '!K10+'11. CRWA '!M10+'11. CRWA '!O10+'11. CRWA '!Q10</f>
        <v>0</v>
      </c>
      <c r="D10" s="152"/>
      <c r="E10" s="151"/>
      <c r="F10" s="151">
        <f>'11. CRWA '!S10</f>
        <v>0</v>
      </c>
      <c r="G10" s="153">
        <f>F10-'12. CRM'!V9</f>
        <v>0</v>
      </c>
      <c r="H10" s="700">
        <f t="shared" si="0"/>
        <v>0</v>
      </c>
    </row>
    <row r="11" spans="1:9">
      <c r="A11" s="101">
        <v>4</v>
      </c>
      <c r="B11" s="1" t="s">
        <v>53</v>
      </c>
      <c r="C11" s="151">
        <f>'11. CRWA '!C11+'11. CRWA '!E11+'11. CRWA '!G11+'11. CRWA '!I11+'11. CRWA '!K11+'11. CRWA '!M11+'11. CRWA '!O11+'11. CRWA '!Q11</f>
        <v>0</v>
      </c>
      <c r="D11" s="152"/>
      <c r="E11" s="151"/>
      <c r="F11" s="151">
        <f>'11. CRWA '!S11</f>
        <v>0</v>
      </c>
      <c r="G11" s="153">
        <f>F11-'12. CRM'!V10</f>
        <v>0</v>
      </c>
      <c r="H11" s="700">
        <f t="shared" si="0"/>
        <v>0</v>
      </c>
    </row>
    <row r="12" spans="1:9">
      <c r="A12" s="101">
        <v>5</v>
      </c>
      <c r="B12" s="1" t="s">
        <v>54</v>
      </c>
      <c r="C12" s="151">
        <f>'11. CRWA '!C12+'11. CRWA '!E12+'11. CRWA '!G12+'11. CRWA '!I12+'11. CRWA '!K12+'11. CRWA '!M12+'11. CRWA '!O12+'11. CRWA '!Q12</f>
        <v>0</v>
      </c>
      <c r="D12" s="152"/>
      <c r="E12" s="151"/>
      <c r="F12" s="151">
        <f>'11. CRWA '!S12</f>
        <v>0</v>
      </c>
      <c r="G12" s="153">
        <f>F12-'12. CRM'!V11</f>
        <v>0</v>
      </c>
      <c r="H12" s="700">
        <f t="shared" si="0"/>
        <v>0</v>
      </c>
    </row>
    <row r="13" spans="1:9">
      <c r="A13" s="101">
        <v>6</v>
      </c>
      <c r="B13" s="1" t="s">
        <v>55</v>
      </c>
      <c r="C13" s="151">
        <f>'11. CRWA '!C13+'11. CRWA '!E13+'11. CRWA '!G13+'11. CRWA '!I13+'11. CRWA '!K13+'11. CRWA '!M13+'11. CRWA '!O13+'11. CRWA '!Q13</f>
        <v>71645798.172536671</v>
      </c>
      <c r="D13" s="152">
        <f>'11. CRWA '!D13+'11. CRWA '!F13+'11. CRWA '!H13+'11. CRWA '!J13+'11. CRWA '!L13+'11. CRWA '!N13+'11. CRWA '!P13+'11. CRWA '!R13</f>
        <v>52510844.918584041</v>
      </c>
      <c r="E13" s="151">
        <f>'11. CRWA '!D13+'11. CRWA '!F13+'11. CRWA '!H13+'11. CRWA '!J13+'11. CRWA '!L13+'11. CRWA '!N13+'11. CRWA '!P13+'11. CRWA '!R13</f>
        <v>52510844.918584041</v>
      </c>
      <c r="F13" s="151">
        <f>'11. CRWA '!S13</f>
        <v>77877257.768015981</v>
      </c>
      <c r="G13" s="153">
        <f>F13-'12. CRM'!V12</f>
        <v>77877257.768015981</v>
      </c>
      <c r="H13" s="700">
        <f t="shared" si="0"/>
        <v>0.62725002729705337</v>
      </c>
    </row>
    <row r="14" spans="1:9">
      <c r="A14" s="101">
        <v>7</v>
      </c>
      <c r="B14" s="1" t="s">
        <v>56</v>
      </c>
      <c r="C14" s="151">
        <f>'11. CRWA '!C14+'11. CRWA '!E14+'11. CRWA '!G14+'11. CRWA '!I14+'11. CRWA '!K14+'11. CRWA '!M14+'11. CRWA '!O14+'11. CRWA '!Q14</f>
        <v>414290574.55139679</v>
      </c>
      <c r="D14" s="152">
        <f>'11. CRWA '!D14+'11. CRWA '!F14+'11. CRWA '!H14+'11. CRWA '!J14+'11. CRWA '!L14+'11. CRWA '!N14+'11. CRWA '!P14+'11. CRWA '!R14</f>
        <v>7744945.9175426075</v>
      </c>
      <c r="E14" s="151">
        <f>'11. CRWA '!D14+'11. CRWA '!F14+'11. CRWA '!H14+'11. CRWA '!J14+'11. CRWA '!L14+'11. CRWA '!N14+'11. CRWA '!P14+'11. CRWA '!R14</f>
        <v>7744945.9175426075</v>
      </c>
      <c r="F14" s="151">
        <f>'11. CRWA '!S14</f>
        <v>422035520.46893942</v>
      </c>
      <c r="G14" s="153">
        <f>F14-'12. CRM'!V13</f>
        <v>395089481.59363943</v>
      </c>
      <c r="H14" s="700">
        <f t="shared" si="0"/>
        <v>0.93615220148920342</v>
      </c>
    </row>
    <row r="15" spans="1:9">
      <c r="A15" s="101">
        <v>8</v>
      </c>
      <c r="B15" s="1" t="s">
        <v>57</v>
      </c>
      <c r="C15" s="151">
        <f>'11. CRWA '!C15+'11. CRWA '!E15+'11. CRWA '!G15+'11. CRWA '!I15+'11. CRWA '!K15+'11. CRWA '!M15+'11. CRWA '!O15+'11. CRWA '!Q15</f>
        <v>0</v>
      </c>
      <c r="D15" s="152"/>
      <c r="E15" s="151"/>
      <c r="F15" s="151">
        <f>'11. CRWA '!S15</f>
        <v>0</v>
      </c>
      <c r="G15" s="153">
        <f>F15-'12. CRM'!V14</f>
        <v>0</v>
      </c>
      <c r="H15" s="700">
        <f t="shared" si="0"/>
        <v>0</v>
      </c>
    </row>
    <row r="16" spans="1:9">
      <c r="A16" s="101">
        <v>9</v>
      </c>
      <c r="B16" s="1" t="s">
        <v>58</v>
      </c>
      <c r="C16" s="151">
        <f>'11. CRWA '!C16+'11. CRWA '!E16+'11. CRWA '!G16+'11. CRWA '!I16+'11. CRWA '!K16+'11. CRWA '!M16+'11. CRWA '!O16+'11. CRWA '!Q16</f>
        <v>0</v>
      </c>
      <c r="D16" s="152"/>
      <c r="E16" s="151"/>
      <c r="F16" s="151">
        <f>'11. CRWA '!S16</f>
        <v>0</v>
      </c>
      <c r="G16" s="153">
        <f>F16-'12. CRM'!V15</f>
        <v>0</v>
      </c>
      <c r="H16" s="700">
        <f t="shared" si="0"/>
        <v>0</v>
      </c>
    </row>
    <row r="17" spans="1:8">
      <c r="A17" s="101">
        <v>10</v>
      </c>
      <c r="B17" s="1" t="s">
        <v>59</v>
      </c>
      <c r="C17" s="151">
        <f>'11. CRWA '!C17+'11. CRWA '!E17+'11. CRWA '!G17+'11. CRWA '!I17+'11. CRWA '!K17+'11. CRWA '!M17+'11. CRWA '!O17+'11. CRWA '!Q17</f>
        <v>140862.94485199486</v>
      </c>
      <c r="D17" s="152"/>
      <c r="E17" s="151"/>
      <c r="F17" s="151">
        <f>'11. CRWA '!S17</f>
        <v>140862.94485199486</v>
      </c>
      <c r="G17" s="153">
        <f>F17-'12. CRM'!V16</f>
        <v>140862.94485199486</v>
      </c>
      <c r="H17" s="700">
        <f t="shared" si="0"/>
        <v>1</v>
      </c>
    </row>
    <row r="18" spans="1:8">
      <c r="A18" s="101">
        <v>11</v>
      </c>
      <c r="B18" s="1" t="s">
        <v>60</v>
      </c>
      <c r="C18" s="151">
        <f>'11. CRWA '!C18+'11. CRWA '!E18+'11. CRWA '!G18+'11. CRWA '!I18+'11. CRWA '!K18+'11. CRWA '!M18+'11. CRWA '!O18+'11. CRWA '!Q18</f>
        <v>0</v>
      </c>
      <c r="D18" s="152"/>
      <c r="E18" s="151"/>
      <c r="F18" s="151">
        <f>'11. CRWA '!S18</f>
        <v>0</v>
      </c>
      <c r="G18" s="153">
        <f>F18-'12. CRM'!V17</f>
        <v>0</v>
      </c>
      <c r="H18" s="700">
        <f t="shared" si="0"/>
        <v>0</v>
      </c>
    </row>
    <row r="19" spans="1:8">
      <c r="A19" s="101">
        <v>12</v>
      </c>
      <c r="B19" s="1" t="s">
        <v>61</v>
      </c>
      <c r="C19" s="151">
        <f>'11. CRWA '!C19+'11. CRWA '!E19+'11. CRWA '!G19+'11. CRWA '!I19+'11. CRWA '!K19+'11. CRWA '!M19+'11. CRWA '!O19+'11. CRWA '!Q19</f>
        <v>0</v>
      </c>
      <c r="D19" s="152"/>
      <c r="E19" s="151"/>
      <c r="F19" s="151">
        <f>'11. CRWA '!S19</f>
        <v>0</v>
      </c>
      <c r="G19" s="153">
        <f>F19-'12. CRM'!V18</f>
        <v>0</v>
      </c>
      <c r="H19" s="700">
        <f t="shared" si="0"/>
        <v>0</v>
      </c>
    </row>
    <row r="20" spans="1:8">
      <c r="A20" s="101">
        <v>13</v>
      </c>
      <c r="B20" s="1" t="s">
        <v>144</v>
      </c>
      <c r="C20" s="151">
        <f>'11. CRWA '!C20+'11. CRWA '!E20+'11. CRWA '!G20+'11. CRWA '!I20+'11. CRWA '!K20+'11. CRWA '!M20+'11. CRWA '!O20+'11. CRWA '!Q20</f>
        <v>0</v>
      </c>
      <c r="D20" s="152"/>
      <c r="E20" s="151"/>
      <c r="F20" s="151">
        <f>'11. CRWA '!S20</f>
        <v>0</v>
      </c>
      <c r="G20" s="153">
        <f>F20-'12. CRM'!V19</f>
        <v>0</v>
      </c>
      <c r="H20" s="700">
        <f t="shared" si="0"/>
        <v>0</v>
      </c>
    </row>
    <row r="21" spans="1:8">
      <c r="A21" s="101">
        <v>14</v>
      </c>
      <c r="B21" s="1" t="s">
        <v>63</v>
      </c>
      <c r="C21" s="151">
        <f>'11. CRWA '!C21+'11. CRWA '!E21+'11. CRWA '!G21+'11. CRWA '!I21+'11. CRWA '!K21+'11. CRWA '!M21+'11. CRWA '!O21+'11. CRWA '!Q21</f>
        <v>19408084.571709648</v>
      </c>
      <c r="D21" s="152"/>
      <c r="E21" s="151"/>
      <c r="F21" s="151">
        <f>'11. CRWA '!S21</f>
        <v>17950559.899709649</v>
      </c>
      <c r="G21" s="153">
        <f>F21-'12. CRM'!V20</f>
        <v>17530586.429709651</v>
      </c>
      <c r="H21" s="700">
        <f t="shared" si="0"/>
        <v>0.90326205890834033</v>
      </c>
    </row>
    <row r="22" spans="1:8" ht="13.5" thickBot="1">
      <c r="A22" s="104"/>
      <c r="B22" s="105" t="s">
        <v>64</v>
      </c>
      <c r="C22" s="698">
        <f>SUM(C8:C21)</f>
        <v>628752089.74860179</v>
      </c>
      <c r="D22" s="698">
        <f>SUM(D8:D21)</f>
        <v>60255790.836126648</v>
      </c>
      <c r="E22" s="698">
        <f>SUM(E8:E21)</f>
        <v>60255790.836126648</v>
      </c>
      <c r="F22" s="698">
        <f>SUM(F8:F21)</f>
        <v>585841210.13672733</v>
      </c>
      <c r="G22" s="698">
        <f>SUM(G8:G21)</f>
        <v>558475197.79142725</v>
      </c>
      <c r="H22" s="699">
        <f>G22/(C22+E22)</f>
        <v>0.81054979707558017</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showGridLines="0" zoomScaleNormal="100" workbookViewId="0">
      <selection activeCell="B4" sqref="B4"/>
    </sheetView>
  </sheetViews>
  <sheetFormatPr defaultColWidth="9.140625" defaultRowHeight="12.75"/>
  <cols>
    <col min="1" max="1" width="10.5703125" style="146" bestFit="1" customWidth="1"/>
    <col min="2" max="2" width="63.5703125" style="146" customWidth="1"/>
    <col min="3" max="5" width="12.85546875" style="146" customWidth="1"/>
    <col min="6" max="6" width="13.5703125" style="146" bestFit="1" customWidth="1"/>
    <col min="7" max="11" width="12.85546875" style="146" customWidth="1"/>
    <col min="12" max="16384" width="9.140625" style="146"/>
  </cols>
  <sheetData>
    <row r="1" spans="1:11">
      <c r="A1" s="146" t="s">
        <v>30</v>
      </c>
      <c r="B1" s="445" t="str">
        <f>'Info '!C2</f>
        <v>JSC Isbank Georgia</v>
      </c>
    </row>
    <row r="2" spans="1:11">
      <c r="A2" s="146" t="s">
        <v>31</v>
      </c>
      <c r="B2" s="446">
        <f>'1. key ratios '!B2</f>
        <v>46112</v>
      </c>
      <c r="C2" s="161"/>
      <c r="D2" s="161"/>
    </row>
    <row r="3" spans="1:11">
      <c r="B3" s="161"/>
      <c r="C3" s="161"/>
      <c r="D3" s="161"/>
    </row>
    <row r="4" spans="1:11" ht="13.5" thickBot="1">
      <c r="A4" s="146" t="s">
        <v>146</v>
      </c>
      <c r="B4" s="181" t="s">
        <v>240</v>
      </c>
      <c r="C4" s="161"/>
      <c r="D4" s="161"/>
    </row>
    <row r="5" spans="1:11" ht="30" customHeight="1" thickBot="1">
      <c r="A5" s="948"/>
      <c r="B5" s="949"/>
      <c r="C5" s="950" t="s">
        <v>292</v>
      </c>
      <c r="D5" s="950"/>
      <c r="E5" s="950"/>
      <c r="F5" s="950" t="s">
        <v>293</v>
      </c>
      <c r="G5" s="950"/>
      <c r="H5" s="950"/>
      <c r="I5" s="950" t="s">
        <v>294</v>
      </c>
      <c r="J5" s="950"/>
      <c r="K5" s="951"/>
    </row>
    <row r="6" spans="1:11" ht="13.5" thickTop="1">
      <c r="A6" s="737"/>
      <c r="B6" s="738"/>
      <c r="C6" s="739" t="s">
        <v>32</v>
      </c>
      <c r="D6" s="740" t="s">
        <v>33</v>
      </c>
      <c r="E6" s="741" t="s">
        <v>34</v>
      </c>
      <c r="F6" s="739" t="s">
        <v>32</v>
      </c>
      <c r="G6" s="740" t="s">
        <v>33</v>
      </c>
      <c r="H6" s="741" t="s">
        <v>34</v>
      </c>
      <c r="I6" s="742" t="s">
        <v>32</v>
      </c>
      <c r="J6" s="740" t="s">
        <v>33</v>
      </c>
      <c r="K6" s="743" t="s">
        <v>34</v>
      </c>
    </row>
    <row r="7" spans="1:11">
      <c r="A7" s="162" t="s">
        <v>243</v>
      </c>
      <c r="B7" s="163"/>
      <c r="C7" s="701"/>
      <c r="D7" s="702"/>
      <c r="E7" s="164"/>
      <c r="F7" s="701"/>
      <c r="G7" s="702"/>
      <c r="H7" s="164"/>
      <c r="I7" s="702"/>
      <c r="J7" s="702"/>
      <c r="K7" s="164"/>
    </row>
    <row r="8" spans="1:11">
      <c r="A8" s="165">
        <v>1</v>
      </c>
      <c r="B8" s="166" t="s">
        <v>241</v>
      </c>
      <c r="C8" s="456"/>
      <c r="D8" s="167"/>
      <c r="E8" s="412"/>
      <c r="F8" s="703">
        <v>88511079.550478831</v>
      </c>
      <c r="G8" s="704">
        <v>105027527.33818537</v>
      </c>
      <c r="H8" s="705">
        <f>G8+F8</f>
        <v>193538606.88866419</v>
      </c>
      <c r="I8" s="706">
        <v>88725110.934179172</v>
      </c>
      <c r="J8" s="704">
        <v>106015064.0926026</v>
      </c>
      <c r="K8" s="705">
        <f>I8+J8</f>
        <v>194740175.02678177</v>
      </c>
    </row>
    <row r="9" spans="1:11">
      <c r="A9" s="162" t="s">
        <v>244</v>
      </c>
      <c r="B9" s="163"/>
      <c r="C9" s="701"/>
      <c r="D9" s="702"/>
      <c r="E9" s="164"/>
      <c r="F9" s="701"/>
      <c r="G9" s="702"/>
      <c r="H9" s="164"/>
      <c r="I9" s="702"/>
      <c r="J9" s="702"/>
      <c r="K9" s="164"/>
    </row>
    <row r="10" spans="1:11">
      <c r="A10" s="168">
        <v>2</v>
      </c>
      <c r="B10" s="169" t="s">
        <v>252</v>
      </c>
      <c r="C10" s="703">
        <v>1696897.9825555554</v>
      </c>
      <c r="D10" s="707">
        <v>16515261.335800495</v>
      </c>
      <c r="E10" s="705">
        <f>C10+D10</f>
        <v>18212159.318356052</v>
      </c>
      <c r="F10" s="703">
        <v>664296.14435777802</v>
      </c>
      <c r="G10" s="707">
        <v>2348188.8431158024</v>
      </c>
      <c r="H10" s="705">
        <f>G10+F10</f>
        <v>3012484.9874735805</v>
      </c>
      <c r="I10" s="706">
        <v>136688.24361111119</v>
      </c>
      <c r="J10" s="707">
        <v>650696.81835742993</v>
      </c>
      <c r="K10" s="705">
        <f>I10+J10</f>
        <v>787385.06196854112</v>
      </c>
    </row>
    <row r="11" spans="1:11">
      <c r="A11" s="168">
        <v>3</v>
      </c>
      <c r="B11" s="169" t="s">
        <v>246</v>
      </c>
      <c r="C11" s="703">
        <v>67730483.181111082</v>
      </c>
      <c r="D11" s="707">
        <v>342937123.68776643</v>
      </c>
      <c r="E11" s="705">
        <f t="shared" ref="E11:E16" si="0">C11+D11</f>
        <v>410667606.86887753</v>
      </c>
      <c r="F11" s="708">
        <v>34430027.849758334</v>
      </c>
      <c r="G11" s="706">
        <v>57742267.783258624</v>
      </c>
      <c r="H11" s="705">
        <f t="shared" ref="H11:H16" si="1">G11+F11</f>
        <v>92172295.633016959</v>
      </c>
      <c r="I11" s="708">
        <v>25555698.702388886</v>
      </c>
      <c r="J11" s="706">
        <v>53484967.926270656</v>
      </c>
      <c r="K11" s="705">
        <f t="shared" ref="K11:K16" si="2">I11+J11</f>
        <v>79040666.628659546</v>
      </c>
    </row>
    <row r="12" spans="1:11">
      <c r="A12" s="168">
        <v>4</v>
      </c>
      <c r="B12" s="169" t="s">
        <v>247</v>
      </c>
      <c r="C12" s="709"/>
      <c r="D12" s="710"/>
      <c r="E12" s="705">
        <f t="shared" si="0"/>
        <v>0</v>
      </c>
      <c r="F12" s="709"/>
      <c r="G12" s="710"/>
      <c r="H12" s="705">
        <f t="shared" si="1"/>
        <v>0</v>
      </c>
      <c r="I12" s="711"/>
      <c r="J12" s="710"/>
      <c r="K12" s="705">
        <f t="shared" si="2"/>
        <v>0</v>
      </c>
    </row>
    <row r="13" spans="1:11">
      <c r="A13" s="168">
        <v>5</v>
      </c>
      <c r="B13" s="169" t="s">
        <v>255</v>
      </c>
      <c r="C13" s="703">
        <v>71020476.931333214</v>
      </c>
      <c r="D13" s="707">
        <v>55878402.723602846</v>
      </c>
      <c r="E13" s="705">
        <f t="shared" si="0"/>
        <v>126898879.65493606</v>
      </c>
      <c r="F13" s="703">
        <v>7116194.8998000091</v>
      </c>
      <c r="G13" s="707">
        <v>5796546.7660873663</v>
      </c>
      <c r="H13" s="705">
        <f t="shared" si="1"/>
        <v>12912741.665887374</v>
      </c>
      <c r="I13" s="706">
        <v>3551023.8465666692</v>
      </c>
      <c r="J13" s="707">
        <v>2793966.818200856</v>
      </c>
      <c r="K13" s="705">
        <f t="shared" si="2"/>
        <v>6344990.6647675252</v>
      </c>
    </row>
    <row r="14" spans="1:11">
      <c r="A14" s="168">
        <v>6</v>
      </c>
      <c r="B14" s="169" t="s">
        <v>287</v>
      </c>
      <c r="C14" s="709"/>
      <c r="D14" s="710"/>
      <c r="E14" s="705">
        <f t="shared" si="0"/>
        <v>0</v>
      </c>
      <c r="F14" s="709"/>
      <c r="G14" s="710"/>
      <c r="H14" s="705">
        <f t="shared" si="1"/>
        <v>0</v>
      </c>
      <c r="I14" s="711"/>
      <c r="J14" s="710"/>
      <c r="K14" s="705">
        <f t="shared" si="2"/>
        <v>0</v>
      </c>
    </row>
    <row r="15" spans="1:11">
      <c r="A15" s="168">
        <v>7</v>
      </c>
      <c r="B15" s="169" t="s">
        <v>288</v>
      </c>
      <c r="C15" s="703">
        <v>534173.13869444444</v>
      </c>
      <c r="D15" s="707">
        <v>4194365.2608682187</v>
      </c>
      <c r="E15" s="705">
        <f t="shared" si="0"/>
        <v>4728538.3995626634</v>
      </c>
      <c r="F15" s="703">
        <v>0</v>
      </c>
      <c r="G15" s="707">
        <v>0</v>
      </c>
      <c r="H15" s="705">
        <f t="shared" si="1"/>
        <v>0</v>
      </c>
      <c r="I15" s="706">
        <v>0</v>
      </c>
      <c r="J15" s="707">
        <v>0</v>
      </c>
      <c r="K15" s="705">
        <f t="shared" si="2"/>
        <v>0</v>
      </c>
    </row>
    <row r="16" spans="1:11">
      <c r="A16" s="168">
        <v>8</v>
      </c>
      <c r="B16" s="170" t="s">
        <v>248</v>
      </c>
      <c r="C16" s="712">
        <f>SUM(C10:C15)</f>
        <v>140982031.23369429</v>
      </c>
      <c r="D16" s="713">
        <f>SUM(D10:D15)</f>
        <v>419525153.00803792</v>
      </c>
      <c r="E16" s="705">
        <f t="shared" si="0"/>
        <v>560507184.24173224</v>
      </c>
      <c r="F16" s="714">
        <f>SUM(F10:F15)</f>
        <v>42210518.893916123</v>
      </c>
      <c r="G16" s="715">
        <f>SUM(G10:G15)</f>
        <v>65887003.392461792</v>
      </c>
      <c r="H16" s="705">
        <f t="shared" si="1"/>
        <v>108097522.28637791</v>
      </c>
      <c r="I16" s="713">
        <f>SUM(I10:I15)</f>
        <v>29243410.792566668</v>
      </c>
      <c r="J16" s="715">
        <f>SUM(J10:J15)</f>
        <v>56929631.562828943</v>
      </c>
      <c r="K16" s="705">
        <f t="shared" si="2"/>
        <v>86173042.355395615</v>
      </c>
    </row>
    <row r="17" spans="1:11">
      <c r="A17" s="162" t="s">
        <v>245</v>
      </c>
      <c r="B17" s="163"/>
      <c r="C17" s="701"/>
      <c r="D17" s="702"/>
      <c r="E17" s="164"/>
      <c r="F17" s="701"/>
      <c r="G17" s="702"/>
      <c r="H17" s="164"/>
      <c r="I17" s="702"/>
      <c r="J17" s="702"/>
      <c r="K17" s="164"/>
    </row>
    <row r="18" spans="1:11">
      <c r="A18" s="168">
        <v>9</v>
      </c>
      <c r="B18" s="169" t="s">
        <v>251</v>
      </c>
      <c r="C18" s="709"/>
      <c r="D18" s="710"/>
      <c r="E18" s="705">
        <f>C18+D18</f>
        <v>0</v>
      </c>
      <c r="F18" s="709"/>
      <c r="G18" s="710"/>
      <c r="H18" s="705">
        <f>F18+G18</f>
        <v>0</v>
      </c>
      <c r="I18" s="711"/>
      <c r="J18" s="710"/>
      <c r="K18" s="705">
        <f>I18+J18</f>
        <v>0</v>
      </c>
    </row>
    <row r="19" spans="1:11">
      <c r="A19" s="168">
        <v>10</v>
      </c>
      <c r="B19" s="169" t="s">
        <v>289</v>
      </c>
      <c r="C19" s="703">
        <v>173512263.06874481</v>
      </c>
      <c r="D19" s="707">
        <v>286915502.54504639</v>
      </c>
      <c r="E19" s="705">
        <f t="shared" ref="E19:E21" si="3">C19+D19</f>
        <v>460427765.61379123</v>
      </c>
      <c r="F19" s="703">
        <v>9769998.9790850487</v>
      </c>
      <c r="G19" s="707">
        <v>12055089.4219677</v>
      </c>
      <c r="H19" s="705">
        <f t="shared" ref="H19:H21" si="4">F19+G19</f>
        <v>21825088.401052751</v>
      </c>
      <c r="I19" s="706">
        <v>39978017.741543338</v>
      </c>
      <c r="J19" s="707">
        <v>102417255.32625511</v>
      </c>
      <c r="K19" s="705">
        <f t="shared" ref="K19:K21" si="5">I19+J19</f>
        <v>142395273.06779844</v>
      </c>
    </row>
    <row r="20" spans="1:11">
      <c r="A20" s="168">
        <v>11</v>
      </c>
      <c r="B20" s="169" t="s">
        <v>250</v>
      </c>
      <c r="C20" s="708">
        <v>7975237.402763973</v>
      </c>
      <c r="D20" s="716">
        <v>2676368.5225614533</v>
      </c>
      <c r="E20" s="705">
        <f t="shared" si="3"/>
        <v>10651605.925325427</v>
      </c>
      <c r="F20" s="708">
        <v>0</v>
      </c>
      <c r="G20" s="716">
        <v>0</v>
      </c>
      <c r="H20" s="705">
        <f t="shared" si="4"/>
        <v>0</v>
      </c>
      <c r="I20" s="717">
        <v>0</v>
      </c>
      <c r="J20" s="716">
        <v>0</v>
      </c>
      <c r="K20" s="705">
        <f t="shared" si="5"/>
        <v>0</v>
      </c>
    </row>
    <row r="21" spans="1:11" ht="13.5" thickBot="1">
      <c r="A21" s="171">
        <v>12</v>
      </c>
      <c r="B21" s="172" t="s">
        <v>249</v>
      </c>
      <c r="C21" s="718">
        <f>SUM(C18:C20)</f>
        <v>181487500.47150877</v>
      </c>
      <c r="D21" s="719">
        <f>SUM(D18:D20)</f>
        <v>289591871.06760782</v>
      </c>
      <c r="E21" s="720">
        <f t="shared" si="3"/>
        <v>471079371.53911662</v>
      </c>
      <c r="F21" s="721">
        <f>SUM(F18:F20)</f>
        <v>9769998.9790850487</v>
      </c>
      <c r="G21" s="722">
        <f>SUM(G18:G20)</f>
        <v>12055089.4219677</v>
      </c>
      <c r="H21" s="720">
        <f t="shared" si="4"/>
        <v>21825088.401052751</v>
      </c>
      <c r="I21" s="719">
        <f>SUM(I18:I20)</f>
        <v>39978017.741543338</v>
      </c>
      <c r="J21" s="722">
        <f>SUM(J18:J20)</f>
        <v>102417255.32625511</v>
      </c>
      <c r="K21" s="720">
        <f t="shared" si="5"/>
        <v>142395273.06779844</v>
      </c>
    </row>
    <row r="22" spans="1:11" ht="38.25" customHeight="1" thickBot="1">
      <c r="A22" s="173"/>
      <c r="B22" s="174"/>
      <c r="C22" s="174"/>
      <c r="D22" s="174"/>
      <c r="E22" s="174"/>
      <c r="F22" s="952" t="s">
        <v>291</v>
      </c>
      <c r="G22" s="953"/>
      <c r="H22" s="953"/>
      <c r="I22" s="952" t="s">
        <v>256</v>
      </c>
      <c r="J22" s="953"/>
      <c r="K22" s="954"/>
    </row>
    <row r="23" spans="1:11">
      <c r="A23" s="175">
        <v>13</v>
      </c>
      <c r="B23" s="176" t="s">
        <v>241</v>
      </c>
      <c r="C23" s="723"/>
      <c r="D23" s="723"/>
      <c r="E23" s="723"/>
      <c r="F23" s="724">
        <f>F8</f>
        <v>88511079.550478831</v>
      </c>
      <c r="G23" s="725">
        <f>G8</f>
        <v>105027527.33818537</v>
      </c>
      <c r="H23" s="726">
        <f>F23+G23</f>
        <v>193538606.88866419</v>
      </c>
      <c r="I23" s="724">
        <f>I8</f>
        <v>88725110.934179172</v>
      </c>
      <c r="J23" s="725">
        <f>J8</f>
        <v>106015064.0926026</v>
      </c>
      <c r="K23" s="726">
        <f>I23+J23</f>
        <v>194740175.02678177</v>
      </c>
    </row>
    <row r="24" spans="1:11" ht="13.5" thickBot="1">
      <c r="A24" s="177">
        <v>14</v>
      </c>
      <c r="B24" s="178" t="s">
        <v>253</v>
      </c>
      <c r="C24" s="727"/>
      <c r="D24" s="728"/>
      <c r="E24" s="729"/>
      <c r="F24" s="730">
        <f>F16-MIN(F16*75%,F21)</f>
        <v>32440519.914831072</v>
      </c>
      <c r="G24" s="731">
        <f>G16-MIN(G16*75%,G21)</f>
        <v>53831913.970494092</v>
      </c>
      <c r="H24" s="732">
        <f>F24+G24</f>
        <v>86272433.885325164</v>
      </c>
      <c r="I24" s="730">
        <f>I16-MIN(I16*75%,I21)</f>
        <v>7310852.698141668</v>
      </c>
      <c r="J24" s="731">
        <f>J16-MIN(J16*75%,J21)</f>
        <v>14232407.89070724</v>
      </c>
      <c r="K24" s="732">
        <f t="shared" ref="K24" si="6">I24+J24</f>
        <v>21543260.588848908</v>
      </c>
    </row>
    <row r="25" spans="1:11" ht="13.5" thickBot="1">
      <c r="A25" s="179">
        <v>15</v>
      </c>
      <c r="B25" s="180" t="s">
        <v>254</v>
      </c>
      <c r="C25" s="733"/>
      <c r="D25" s="733"/>
      <c r="E25" s="733"/>
      <c r="F25" s="734">
        <f t="shared" ref="F25:G25" si="7">F23/F24</f>
        <v>2.7284112518188577</v>
      </c>
      <c r="G25" s="735">
        <f t="shared" si="7"/>
        <v>1.9510271805634145</v>
      </c>
      <c r="H25" s="736">
        <f>H23/H24</f>
        <v>2.243342376846805</v>
      </c>
      <c r="I25" s="734">
        <f t="shared" ref="I25:J25" si="8">I23/I24</f>
        <v>12.136082423973887</v>
      </c>
      <c r="J25" s="735">
        <f t="shared" si="8"/>
        <v>7.4488494783671122</v>
      </c>
      <c r="K25" s="736">
        <f>K23/K24</f>
        <v>9.0394940089794016</v>
      </c>
    </row>
    <row r="27" spans="1:11" ht="40.5" customHeight="1">
      <c r="B27" s="16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sheetPr>
  <dimension ref="A1:Q34"/>
  <sheetViews>
    <sheetView showGridLines="0" zoomScale="80" zoomScaleNormal="80" workbookViewId="0">
      <pane xSplit="1" ySplit="3" topLeftCell="B4"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7"/>
    <col min="17" max="17" width="44.140625" style="17" customWidth="1"/>
    <col min="18" max="16384" width="9.140625" style="17"/>
  </cols>
  <sheetData>
    <row r="1" spans="1:17" ht="15">
      <c r="A1" s="428" t="s">
        <v>717</v>
      </c>
      <c r="B1" s="445" t="str">
        <f>'Info '!C2</f>
        <v>JSC Isbank Georgia</v>
      </c>
      <c r="C1" s="417"/>
      <c r="D1" s="417"/>
      <c r="E1" s="417"/>
      <c r="F1" s="417"/>
      <c r="G1" s="417"/>
      <c r="H1" s="417"/>
      <c r="I1" s="417"/>
      <c r="J1" s="417"/>
      <c r="K1" s="417"/>
      <c r="L1" s="417"/>
      <c r="M1" s="417"/>
      <c r="N1" s="417"/>
      <c r="O1" s="143"/>
      <c r="P1" s="143"/>
      <c r="Q1" s="143"/>
    </row>
    <row r="2" spans="1:17" ht="14.25" customHeight="1">
      <c r="A2" s="417" t="s">
        <v>718</v>
      </c>
      <c r="B2" s="446">
        <f>'1. key ratios '!B2</f>
        <v>46112</v>
      </c>
      <c r="C2" s="417"/>
      <c r="D2" s="417"/>
      <c r="E2" s="417"/>
      <c r="F2" s="417"/>
      <c r="G2" s="417"/>
      <c r="H2" s="417"/>
      <c r="I2" s="417"/>
      <c r="J2" s="417"/>
      <c r="K2" s="417"/>
      <c r="L2" s="417"/>
      <c r="M2" s="417"/>
      <c r="N2" s="417"/>
      <c r="O2" s="143"/>
      <c r="P2" s="143"/>
      <c r="Q2" s="143"/>
    </row>
    <row r="3" spans="1:17" ht="14.25" customHeight="1">
      <c r="A3" s="417"/>
      <c r="B3" s="143"/>
      <c r="C3" s="143"/>
      <c r="D3" s="143"/>
      <c r="E3" s="143"/>
      <c r="F3" s="143"/>
      <c r="G3" s="143"/>
      <c r="H3" s="143"/>
      <c r="I3" s="143"/>
      <c r="J3" s="143"/>
      <c r="K3" s="143"/>
      <c r="L3" s="143"/>
      <c r="M3" s="143"/>
      <c r="N3" s="143"/>
      <c r="O3" s="143"/>
      <c r="P3" s="143"/>
      <c r="Q3" s="143"/>
    </row>
    <row r="4" spans="1:17" ht="15.75" thickBot="1">
      <c r="A4" s="417"/>
      <c r="B4" s="429" t="s">
        <v>719</v>
      </c>
      <c r="C4" s="143"/>
      <c r="D4" s="143"/>
      <c r="E4" s="143"/>
      <c r="F4" s="143"/>
      <c r="G4" s="143"/>
      <c r="H4" s="143"/>
      <c r="I4" s="143"/>
      <c r="J4" s="143"/>
      <c r="K4" s="143"/>
      <c r="L4" s="143"/>
      <c r="M4" s="143"/>
      <c r="N4" s="143"/>
      <c r="O4" s="143"/>
      <c r="P4" s="143"/>
      <c r="Q4" s="143"/>
    </row>
    <row r="5" spans="1:17" ht="60">
      <c r="A5" s="417"/>
      <c r="B5" s="744" t="s">
        <v>720</v>
      </c>
      <c r="C5" s="745" t="s">
        <v>721</v>
      </c>
      <c r="D5" s="745" t="s">
        <v>722</v>
      </c>
      <c r="E5" s="745" t="s">
        <v>723</v>
      </c>
      <c r="F5" s="745" t="s">
        <v>724</v>
      </c>
      <c r="G5" s="745" t="s">
        <v>725</v>
      </c>
      <c r="H5" s="745" t="s">
        <v>726</v>
      </c>
      <c r="I5" s="746" t="s">
        <v>727</v>
      </c>
      <c r="J5" s="747">
        <v>0.02</v>
      </c>
      <c r="K5" s="747">
        <v>0.2</v>
      </c>
      <c r="L5" s="747">
        <v>0.35</v>
      </c>
      <c r="M5" s="747">
        <v>0.5</v>
      </c>
      <c r="N5" s="747">
        <v>0.75</v>
      </c>
      <c r="O5" s="747">
        <v>1</v>
      </c>
      <c r="P5" s="747">
        <v>1.5</v>
      </c>
      <c r="Q5" s="748" t="s">
        <v>728</v>
      </c>
    </row>
    <row r="6" spans="1:17" ht="15.75">
      <c r="A6" s="417"/>
      <c r="B6" s="749"/>
      <c r="C6" s="430" t="b">
        <f>IF(C7&gt;0,C7,IF(C8&gt;0,C8,IF(C9&gt;0,C9)))</f>
        <v>0</v>
      </c>
      <c r="D6" s="430" t="b">
        <f t="shared" ref="D6:Q6" si="0">IF(D7&gt;0,D7,IF(D8&gt;0,D8,IF(D9&gt;0,D9)))</f>
        <v>0</v>
      </c>
      <c r="E6" s="430" t="b">
        <f t="shared" si="0"/>
        <v>0</v>
      </c>
      <c r="F6" s="430" t="b">
        <f t="shared" si="0"/>
        <v>0</v>
      </c>
      <c r="G6" s="430" t="b">
        <f t="shared" si="0"/>
        <v>0</v>
      </c>
      <c r="H6" s="430"/>
      <c r="I6" s="430" t="b">
        <f t="shared" si="0"/>
        <v>0</v>
      </c>
      <c r="J6" s="430" t="b">
        <f t="shared" si="0"/>
        <v>0</v>
      </c>
      <c r="K6" s="430" t="b">
        <f t="shared" si="0"/>
        <v>0</v>
      </c>
      <c r="L6" s="430" t="b">
        <f t="shared" si="0"/>
        <v>0</v>
      </c>
      <c r="M6" s="430" t="b">
        <f t="shared" si="0"/>
        <v>0</v>
      </c>
      <c r="N6" s="430" t="b">
        <f t="shared" si="0"/>
        <v>0</v>
      </c>
      <c r="O6" s="430" t="b">
        <f t="shared" si="0"/>
        <v>0</v>
      </c>
      <c r="P6" s="430" t="b">
        <f t="shared" si="0"/>
        <v>0</v>
      </c>
      <c r="Q6" s="750" t="b">
        <f t="shared" si="0"/>
        <v>0</v>
      </c>
    </row>
    <row r="7" spans="1:17" ht="15.75">
      <c r="A7" s="417"/>
      <c r="B7" s="751" t="s">
        <v>729</v>
      </c>
      <c r="C7" s="430">
        <f>C11+C15+C19+C23+C27+C31</f>
        <v>0</v>
      </c>
      <c r="D7" s="430"/>
      <c r="E7" s="430"/>
      <c r="F7" s="430">
        <f t="shared" ref="F7:G9" si="1">F11+F15+F19+F23+F27+F31</f>
        <v>0</v>
      </c>
      <c r="G7" s="430">
        <f t="shared" si="1"/>
        <v>0</v>
      </c>
      <c r="H7" s="432">
        <v>1.4</v>
      </c>
      <c r="I7" s="433">
        <f t="shared" ref="I7:I33" si="2">(F7+G7)*H7</f>
        <v>0</v>
      </c>
      <c r="J7" s="430">
        <f>J11+J15+J19+J23+J27+J31</f>
        <v>0</v>
      </c>
      <c r="K7" s="430">
        <f t="shared" ref="J7:Q9" si="3">K11+K15+K19+K23+K27+K31</f>
        <v>0</v>
      </c>
      <c r="L7" s="430">
        <f t="shared" si="3"/>
        <v>0</v>
      </c>
      <c r="M7" s="430">
        <f t="shared" si="3"/>
        <v>0</v>
      </c>
      <c r="N7" s="430">
        <f t="shared" si="3"/>
        <v>0</v>
      </c>
      <c r="O7" s="430">
        <f t="shared" si="3"/>
        <v>0</v>
      </c>
      <c r="P7" s="430">
        <f t="shared" si="3"/>
        <v>0</v>
      </c>
      <c r="Q7" s="750">
        <f>Q11+Q15+Q19+Q23+Q27+Q31</f>
        <v>0</v>
      </c>
    </row>
    <row r="8" spans="1:17" ht="15.75">
      <c r="A8" s="417"/>
      <c r="B8" s="751" t="s">
        <v>730</v>
      </c>
      <c r="C8" s="430">
        <f>C12+C16+C20+C24+C28+C32</f>
        <v>0</v>
      </c>
      <c r="D8" s="430"/>
      <c r="E8" s="430"/>
      <c r="F8" s="430">
        <f t="shared" si="1"/>
        <v>0</v>
      </c>
      <c r="G8" s="430">
        <f t="shared" si="1"/>
        <v>0</v>
      </c>
      <c r="H8" s="432">
        <v>1.4</v>
      </c>
      <c r="I8" s="433">
        <f t="shared" si="2"/>
        <v>0</v>
      </c>
      <c r="J8" s="430">
        <f t="shared" si="3"/>
        <v>0</v>
      </c>
      <c r="K8" s="430">
        <f t="shared" si="3"/>
        <v>0</v>
      </c>
      <c r="L8" s="430">
        <f t="shared" si="3"/>
        <v>0</v>
      </c>
      <c r="M8" s="430">
        <f t="shared" si="3"/>
        <v>0</v>
      </c>
      <c r="N8" s="430">
        <f t="shared" si="3"/>
        <v>0</v>
      </c>
      <c r="O8" s="430">
        <f t="shared" si="3"/>
        <v>0</v>
      </c>
      <c r="P8" s="430">
        <f t="shared" si="3"/>
        <v>0</v>
      </c>
      <c r="Q8" s="750">
        <f>Q12+Q16+Q20+Q24+Q28+Q32</f>
        <v>0</v>
      </c>
    </row>
    <row r="9" spans="1:17" ht="15.75">
      <c r="A9" s="417"/>
      <c r="B9" s="751" t="s">
        <v>737</v>
      </c>
      <c r="C9" s="430">
        <f>C13+C17+C21+C25+C29+C33</f>
        <v>0</v>
      </c>
      <c r="D9" s="430"/>
      <c r="E9" s="430"/>
      <c r="F9" s="430">
        <f t="shared" si="1"/>
        <v>0</v>
      </c>
      <c r="G9" s="430">
        <f t="shared" si="1"/>
        <v>0</v>
      </c>
      <c r="H9" s="432">
        <v>1.4</v>
      </c>
      <c r="I9" s="433">
        <f t="shared" si="2"/>
        <v>0</v>
      </c>
      <c r="J9" s="430">
        <f t="shared" si="3"/>
        <v>0</v>
      </c>
      <c r="K9" s="430">
        <f t="shared" si="3"/>
        <v>0</v>
      </c>
      <c r="L9" s="430">
        <f t="shared" si="3"/>
        <v>0</v>
      </c>
      <c r="M9" s="430">
        <f t="shared" si="3"/>
        <v>0</v>
      </c>
      <c r="N9" s="430">
        <f t="shared" si="3"/>
        <v>0</v>
      </c>
      <c r="O9" s="430">
        <f t="shared" si="3"/>
        <v>0</v>
      </c>
      <c r="P9" s="430">
        <f t="shared" si="3"/>
        <v>0</v>
      </c>
      <c r="Q9" s="750">
        <f t="shared" si="3"/>
        <v>0</v>
      </c>
    </row>
    <row r="10" spans="1:17" ht="15.75">
      <c r="A10" s="417"/>
      <c r="B10" s="752" t="s">
        <v>731</v>
      </c>
      <c r="C10" s="434"/>
      <c r="D10" s="434"/>
      <c r="E10" s="434"/>
      <c r="F10" s="434"/>
      <c r="G10" s="434"/>
      <c r="H10" s="432">
        <v>1.4</v>
      </c>
      <c r="I10" s="433">
        <f t="shared" si="2"/>
        <v>0</v>
      </c>
      <c r="J10" s="435"/>
      <c r="K10" s="435"/>
      <c r="L10" s="435"/>
      <c r="M10" s="435"/>
      <c r="N10" s="435"/>
      <c r="O10" s="435"/>
      <c r="P10" s="435"/>
      <c r="Q10" s="750">
        <f>SUM(Q11:Q13)</f>
        <v>0</v>
      </c>
    </row>
    <row r="11" spans="1:17" ht="15.75">
      <c r="A11" s="417"/>
      <c r="B11" s="753" t="s">
        <v>729</v>
      </c>
      <c r="C11" s="434"/>
      <c r="D11" s="434"/>
      <c r="E11" s="434"/>
      <c r="F11" s="434"/>
      <c r="G11" s="434"/>
      <c r="H11" s="432">
        <v>1.4</v>
      </c>
      <c r="I11" s="433">
        <f t="shared" si="2"/>
        <v>0</v>
      </c>
      <c r="J11" s="435"/>
      <c r="K11" s="435"/>
      <c r="L11" s="435"/>
      <c r="M11" s="435"/>
      <c r="N11" s="435"/>
      <c r="O11" s="435"/>
      <c r="P11" s="435"/>
      <c r="Q11" s="750">
        <f>SUMPRODUCT($J$5:$P$5,J11:P11)</f>
        <v>0</v>
      </c>
    </row>
    <row r="12" spans="1:17" ht="15.75">
      <c r="A12" s="417"/>
      <c r="B12" s="753" t="s">
        <v>730</v>
      </c>
      <c r="C12" s="434"/>
      <c r="D12" s="434"/>
      <c r="E12" s="434"/>
      <c r="F12" s="434"/>
      <c r="G12" s="434"/>
      <c r="H12" s="432">
        <v>1.4</v>
      </c>
      <c r="I12" s="433">
        <f t="shared" si="2"/>
        <v>0</v>
      </c>
      <c r="J12" s="435"/>
      <c r="K12" s="435"/>
      <c r="L12" s="435"/>
      <c r="M12" s="435"/>
      <c r="N12" s="435"/>
      <c r="O12" s="435"/>
      <c r="P12" s="435"/>
      <c r="Q12" s="750">
        <f t="shared" ref="Q12:Q13" si="4">SUMPRODUCT($J$5:$P$5,J12:P12)</f>
        <v>0</v>
      </c>
    </row>
    <row r="13" spans="1:17" ht="15.75">
      <c r="A13" s="417"/>
      <c r="B13" s="753" t="s">
        <v>737</v>
      </c>
      <c r="C13" s="434"/>
      <c r="D13" s="434"/>
      <c r="E13" s="434"/>
      <c r="F13" s="434"/>
      <c r="G13" s="434"/>
      <c r="H13" s="432">
        <v>1.4</v>
      </c>
      <c r="I13" s="433">
        <f t="shared" si="2"/>
        <v>0</v>
      </c>
      <c r="J13" s="435"/>
      <c r="K13" s="435"/>
      <c r="L13" s="435"/>
      <c r="M13" s="435"/>
      <c r="N13" s="435"/>
      <c r="O13" s="435"/>
      <c r="P13" s="435"/>
      <c r="Q13" s="750">
        <f t="shared" si="4"/>
        <v>0</v>
      </c>
    </row>
    <row r="14" spans="1:17" ht="15.75">
      <c r="A14" s="417"/>
      <c r="B14" s="752" t="s">
        <v>732</v>
      </c>
      <c r="C14" s="434"/>
      <c r="D14" s="434"/>
      <c r="E14" s="434"/>
      <c r="F14" s="434"/>
      <c r="G14" s="434"/>
      <c r="H14" s="432">
        <v>1.4</v>
      </c>
      <c r="I14" s="433">
        <f t="shared" si="2"/>
        <v>0</v>
      </c>
      <c r="J14" s="435"/>
      <c r="K14" s="435"/>
      <c r="L14" s="435"/>
      <c r="M14" s="435"/>
      <c r="N14" s="435"/>
      <c r="O14" s="435"/>
      <c r="P14" s="435"/>
      <c r="Q14" s="750">
        <f>SUM(Q15:Q17)</f>
        <v>0</v>
      </c>
    </row>
    <row r="15" spans="1:17" ht="15.75">
      <c r="A15" s="417"/>
      <c r="B15" s="753" t="s">
        <v>729</v>
      </c>
      <c r="C15" s="434"/>
      <c r="D15" s="434"/>
      <c r="E15" s="434"/>
      <c r="F15" s="434"/>
      <c r="G15" s="434"/>
      <c r="H15" s="432">
        <v>1.4</v>
      </c>
      <c r="I15" s="433">
        <f t="shared" si="2"/>
        <v>0</v>
      </c>
      <c r="J15" s="435"/>
      <c r="K15" s="435"/>
      <c r="L15" s="435"/>
      <c r="M15" s="435"/>
      <c r="N15" s="435"/>
      <c r="O15" s="435"/>
      <c r="P15" s="435"/>
      <c r="Q15" s="750">
        <f>SUMPRODUCT($J$5:$P$5,J15:P15)</f>
        <v>0</v>
      </c>
    </row>
    <row r="16" spans="1:17" ht="15.75">
      <c r="A16" s="417"/>
      <c r="B16" s="753" t="s">
        <v>730</v>
      </c>
      <c r="C16" s="434"/>
      <c r="D16" s="434"/>
      <c r="E16" s="434"/>
      <c r="F16" s="434"/>
      <c r="G16" s="434"/>
      <c r="H16" s="432">
        <v>1.4</v>
      </c>
      <c r="I16" s="433">
        <f t="shared" si="2"/>
        <v>0</v>
      </c>
      <c r="J16" s="435"/>
      <c r="K16" s="435"/>
      <c r="L16" s="435"/>
      <c r="M16" s="435"/>
      <c r="N16" s="435"/>
      <c r="O16" s="435"/>
      <c r="P16" s="435"/>
      <c r="Q16" s="750">
        <f t="shared" ref="Q16:Q17" si="5">SUMPRODUCT($J$5:$P$5,J16:P16)</f>
        <v>0</v>
      </c>
    </row>
    <row r="17" spans="1:17" ht="15.75">
      <c r="A17" s="417"/>
      <c r="B17" s="753" t="s">
        <v>737</v>
      </c>
      <c r="C17" s="434"/>
      <c r="D17" s="434"/>
      <c r="E17" s="434"/>
      <c r="F17" s="434"/>
      <c r="G17" s="434"/>
      <c r="H17" s="432">
        <v>1.4</v>
      </c>
      <c r="I17" s="433">
        <f t="shared" si="2"/>
        <v>0</v>
      </c>
      <c r="J17" s="435"/>
      <c r="K17" s="435"/>
      <c r="L17" s="435"/>
      <c r="M17" s="435"/>
      <c r="N17" s="435"/>
      <c r="O17" s="435"/>
      <c r="P17" s="435"/>
      <c r="Q17" s="750">
        <f t="shared" si="5"/>
        <v>0</v>
      </c>
    </row>
    <row r="18" spans="1:17" ht="15.75">
      <c r="A18" s="417"/>
      <c r="B18" s="752" t="s">
        <v>733</v>
      </c>
      <c r="C18" s="434"/>
      <c r="D18" s="434"/>
      <c r="E18" s="434"/>
      <c r="F18" s="434"/>
      <c r="G18" s="434"/>
      <c r="H18" s="432">
        <v>1.4</v>
      </c>
      <c r="I18" s="433">
        <f t="shared" si="2"/>
        <v>0</v>
      </c>
      <c r="J18" s="435"/>
      <c r="K18" s="435"/>
      <c r="L18" s="435"/>
      <c r="M18" s="435"/>
      <c r="N18" s="435"/>
      <c r="O18" s="435"/>
      <c r="P18" s="435"/>
      <c r="Q18" s="750">
        <f>SUM(Q19:Q21)</f>
        <v>0</v>
      </c>
    </row>
    <row r="19" spans="1:17" ht="15.75">
      <c r="A19" s="417"/>
      <c r="B19" s="753" t="s">
        <v>729</v>
      </c>
      <c r="C19" s="434"/>
      <c r="D19" s="434"/>
      <c r="E19" s="434"/>
      <c r="F19" s="434"/>
      <c r="G19" s="434"/>
      <c r="H19" s="432">
        <v>1.4</v>
      </c>
      <c r="I19" s="433">
        <f t="shared" si="2"/>
        <v>0</v>
      </c>
      <c r="J19" s="435"/>
      <c r="K19" s="435"/>
      <c r="L19" s="435"/>
      <c r="M19" s="435"/>
      <c r="N19" s="435"/>
      <c r="O19" s="435"/>
      <c r="P19" s="435"/>
      <c r="Q19" s="750">
        <f>SUMPRODUCT($J$5:$P$5,J19:P19)</f>
        <v>0</v>
      </c>
    </row>
    <row r="20" spans="1:17" ht="15.75">
      <c r="A20" s="417"/>
      <c r="B20" s="753" t="s">
        <v>730</v>
      </c>
      <c r="C20" s="434"/>
      <c r="D20" s="434"/>
      <c r="E20" s="434"/>
      <c r="F20" s="434"/>
      <c r="G20" s="434"/>
      <c r="H20" s="432">
        <v>1.4</v>
      </c>
      <c r="I20" s="433">
        <f t="shared" si="2"/>
        <v>0</v>
      </c>
      <c r="J20" s="435"/>
      <c r="K20" s="435"/>
      <c r="L20" s="435"/>
      <c r="M20" s="435"/>
      <c r="N20" s="435"/>
      <c r="O20" s="435"/>
      <c r="P20" s="435"/>
      <c r="Q20" s="750">
        <f t="shared" ref="Q20:Q21" si="6">SUMPRODUCT($J$5:$P$5,J20:P20)</f>
        <v>0</v>
      </c>
    </row>
    <row r="21" spans="1:17" ht="15.75">
      <c r="A21" s="417"/>
      <c r="B21" s="753" t="s">
        <v>737</v>
      </c>
      <c r="C21" s="434"/>
      <c r="D21" s="434"/>
      <c r="E21" s="434"/>
      <c r="F21" s="434"/>
      <c r="G21" s="434"/>
      <c r="H21" s="432">
        <v>1.4</v>
      </c>
      <c r="I21" s="433">
        <f t="shared" si="2"/>
        <v>0</v>
      </c>
      <c r="J21" s="435"/>
      <c r="K21" s="435"/>
      <c r="L21" s="435"/>
      <c r="M21" s="435"/>
      <c r="N21" s="435"/>
      <c r="O21" s="435"/>
      <c r="P21" s="435"/>
      <c r="Q21" s="750">
        <f t="shared" si="6"/>
        <v>0</v>
      </c>
    </row>
    <row r="22" spans="1:17" ht="15.75">
      <c r="A22" s="417"/>
      <c r="B22" s="752" t="s">
        <v>734</v>
      </c>
      <c r="C22" s="434"/>
      <c r="D22" s="434"/>
      <c r="E22" s="434"/>
      <c r="F22" s="434"/>
      <c r="G22" s="434"/>
      <c r="H22" s="432">
        <v>1.4</v>
      </c>
      <c r="I22" s="433">
        <f t="shared" si="2"/>
        <v>0</v>
      </c>
      <c r="J22" s="435"/>
      <c r="K22" s="435"/>
      <c r="L22" s="435"/>
      <c r="M22" s="435"/>
      <c r="N22" s="435"/>
      <c r="O22" s="435"/>
      <c r="P22" s="435"/>
      <c r="Q22" s="750">
        <f>SUM(Q23:Q25)</f>
        <v>0</v>
      </c>
    </row>
    <row r="23" spans="1:17" ht="15.75">
      <c r="A23" s="417"/>
      <c r="B23" s="753" t="s">
        <v>729</v>
      </c>
      <c r="C23" s="434"/>
      <c r="D23" s="434"/>
      <c r="E23" s="434"/>
      <c r="F23" s="434"/>
      <c r="G23" s="434"/>
      <c r="H23" s="432">
        <v>1.4</v>
      </c>
      <c r="I23" s="433">
        <f t="shared" si="2"/>
        <v>0</v>
      </c>
      <c r="J23" s="435"/>
      <c r="K23" s="435"/>
      <c r="L23" s="435"/>
      <c r="M23" s="435"/>
      <c r="N23" s="435"/>
      <c r="O23" s="435"/>
      <c r="P23" s="435"/>
      <c r="Q23" s="750">
        <f>SUMPRODUCT($J$5:$P$5,J23:P23)</f>
        <v>0</v>
      </c>
    </row>
    <row r="24" spans="1:17" ht="15.75">
      <c r="A24" s="417"/>
      <c r="B24" s="753" t="s">
        <v>730</v>
      </c>
      <c r="C24" s="434"/>
      <c r="D24" s="434"/>
      <c r="E24" s="434"/>
      <c r="F24" s="434"/>
      <c r="G24" s="434"/>
      <c r="H24" s="432">
        <v>1.4</v>
      </c>
      <c r="I24" s="433">
        <f t="shared" si="2"/>
        <v>0</v>
      </c>
      <c r="J24" s="435"/>
      <c r="K24" s="435"/>
      <c r="L24" s="435"/>
      <c r="M24" s="435"/>
      <c r="N24" s="435"/>
      <c r="O24" s="435"/>
      <c r="P24" s="435"/>
      <c r="Q24" s="750">
        <f t="shared" ref="Q24:Q25" si="7">SUMPRODUCT($J$5:$P$5,J24:P24)</f>
        <v>0</v>
      </c>
    </row>
    <row r="25" spans="1:17" ht="15.75">
      <c r="A25" s="417"/>
      <c r="B25" s="753" t="s">
        <v>737</v>
      </c>
      <c r="C25" s="434"/>
      <c r="D25" s="434"/>
      <c r="E25" s="434"/>
      <c r="F25" s="434"/>
      <c r="G25" s="434"/>
      <c r="H25" s="432">
        <v>1.4</v>
      </c>
      <c r="I25" s="433">
        <f t="shared" si="2"/>
        <v>0</v>
      </c>
      <c r="J25" s="435"/>
      <c r="K25" s="435"/>
      <c r="L25" s="435"/>
      <c r="M25" s="435"/>
      <c r="N25" s="435"/>
      <c r="O25" s="435"/>
      <c r="P25" s="435"/>
      <c r="Q25" s="750">
        <f t="shared" si="7"/>
        <v>0</v>
      </c>
    </row>
    <row r="26" spans="1:17" ht="15.75">
      <c r="A26" s="417"/>
      <c r="B26" s="752" t="s">
        <v>735</v>
      </c>
      <c r="C26" s="434"/>
      <c r="D26" s="434"/>
      <c r="E26" s="434"/>
      <c r="F26" s="434"/>
      <c r="G26" s="434"/>
      <c r="H26" s="432">
        <v>1.4</v>
      </c>
      <c r="I26" s="433">
        <f t="shared" si="2"/>
        <v>0</v>
      </c>
      <c r="J26" s="435"/>
      <c r="K26" s="435"/>
      <c r="L26" s="435"/>
      <c r="M26" s="435"/>
      <c r="N26" s="435"/>
      <c r="O26" s="435"/>
      <c r="P26" s="435"/>
      <c r="Q26" s="750">
        <f>SUM(Q27:Q29)</f>
        <v>0</v>
      </c>
    </row>
    <row r="27" spans="1:17" ht="15.75">
      <c r="A27" s="417"/>
      <c r="B27" s="753" t="s">
        <v>729</v>
      </c>
      <c r="C27" s="434"/>
      <c r="D27" s="434"/>
      <c r="E27" s="434"/>
      <c r="F27" s="434"/>
      <c r="G27" s="434"/>
      <c r="H27" s="432">
        <v>1.4</v>
      </c>
      <c r="I27" s="433">
        <f t="shared" si="2"/>
        <v>0</v>
      </c>
      <c r="J27" s="435"/>
      <c r="K27" s="435"/>
      <c r="L27" s="435"/>
      <c r="M27" s="435"/>
      <c r="N27" s="435"/>
      <c r="O27" s="435"/>
      <c r="P27" s="435"/>
      <c r="Q27" s="750">
        <f>SUMPRODUCT($J$5:$P$5,J27:P27)</f>
        <v>0</v>
      </c>
    </row>
    <row r="28" spans="1:17" ht="15.75">
      <c r="A28" s="417"/>
      <c r="B28" s="753" t="s">
        <v>730</v>
      </c>
      <c r="C28" s="434"/>
      <c r="D28" s="434"/>
      <c r="E28" s="434"/>
      <c r="F28" s="434"/>
      <c r="G28" s="434"/>
      <c r="H28" s="432">
        <v>1.4</v>
      </c>
      <c r="I28" s="433">
        <f t="shared" si="2"/>
        <v>0</v>
      </c>
      <c r="J28" s="435"/>
      <c r="K28" s="435"/>
      <c r="L28" s="435"/>
      <c r="M28" s="435"/>
      <c r="N28" s="435"/>
      <c r="O28" s="435"/>
      <c r="P28" s="435"/>
      <c r="Q28" s="750">
        <f t="shared" ref="Q28:Q29" si="8">SUMPRODUCT($J$5:$P$5,J28:P28)</f>
        <v>0</v>
      </c>
    </row>
    <row r="29" spans="1:17" ht="15.75">
      <c r="A29" s="417"/>
      <c r="B29" s="753" t="s">
        <v>737</v>
      </c>
      <c r="C29" s="434"/>
      <c r="D29" s="434"/>
      <c r="E29" s="434"/>
      <c r="F29" s="434"/>
      <c r="G29" s="434"/>
      <c r="H29" s="432">
        <v>1.4</v>
      </c>
      <c r="I29" s="433">
        <f t="shared" si="2"/>
        <v>0</v>
      </c>
      <c r="J29" s="435"/>
      <c r="K29" s="435"/>
      <c r="L29" s="435"/>
      <c r="M29" s="435"/>
      <c r="N29" s="435"/>
      <c r="O29" s="435"/>
      <c r="P29" s="435"/>
      <c r="Q29" s="750">
        <f t="shared" si="8"/>
        <v>0</v>
      </c>
    </row>
    <row r="30" spans="1:17" ht="15.75">
      <c r="A30" s="417"/>
      <c r="B30" s="754" t="s">
        <v>736</v>
      </c>
      <c r="C30" s="434"/>
      <c r="D30" s="434"/>
      <c r="E30" s="434"/>
      <c r="F30" s="434"/>
      <c r="G30" s="434"/>
      <c r="H30" s="432">
        <v>1.4</v>
      </c>
      <c r="I30" s="433">
        <f t="shared" si="2"/>
        <v>0</v>
      </c>
      <c r="J30" s="435"/>
      <c r="K30" s="435"/>
      <c r="L30" s="435"/>
      <c r="M30" s="435"/>
      <c r="N30" s="435"/>
      <c r="O30" s="435"/>
      <c r="P30" s="435"/>
      <c r="Q30" s="750">
        <f>SUM(Q31:Q33)</f>
        <v>0</v>
      </c>
    </row>
    <row r="31" spans="1:17" ht="15.75">
      <c r="A31" s="417"/>
      <c r="B31" s="753" t="s">
        <v>729</v>
      </c>
      <c r="C31" s="434"/>
      <c r="D31" s="434"/>
      <c r="E31" s="434"/>
      <c r="F31" s="434"/>
      <c r="G31" s="434"/>
      <c r="H31" s="432">
        <v>1.4</v>
      </c>
      <c r="I31" s="433">
        <f t="shared" si="2"/>
        <v>0</v>
      </c>
      <c r="J31" s="435"/>
      <c r="K31" s="435"/>
      <c r="L31" s="435"/>
      <c r="M31" s="435"/>
      <c r="N31" s="435"/>
      <c r="O31" s="435"/>
      <c r="P31" s="435"/>
      <c r="Q31" s="750">
        <f>SUMPRODUCT($J$5:$P$5,J31:P31)</f>
        <v>0</v>
      </c>
    </row>
    <row r="32" spans="1:17" ht="15.75">
      <c r="A32" s="417"/>
      <c r="B32" s="753" t="s">
        <v>730</v>
      </c>
      <c r="C32" s="434"/>
      <c r="D32" s="434"/>
      <c r="E32" s="434"/>
      <c r="F32" s="434"/>
      <c r="G32" s="434"/>
      <c r="H32" s="432">
        <v>1.4</v>
      </c>
      <c r="I32" s="433">
        <f t="shared" si="2"/>
        <v>0</v>
      </c>
      <c r="J32" s="435"/>
      <c r="K32" s="435"/>
      <c r="L32" s="435"/>
      <c r="M32" s="435"/>
      <c r="N32" s="435"/>
      <c r="O32" s="435"/>
      <c r="P32" s="435"/>
      <c r="Q32" s="750">
        <f t="shared" ref="Q32:Q33" si="9">SUMPRODUCT($J$5:$P$5,J32:P32)</f>
        <v>0</v>
      </c>
    </row>
    <row r="33" spans="1:17" ht="15.75">
      <c r="A33" s="417"/>
      <c r="B33" s="753" t="s">
        <v>737</v>
      </c>
      <c r="C33" s="434"/>
      <c r="D33" s="434"/>
      <c r="E33" s="434"/>
      <c r="F33" s="434"/>
      <c r="G33" s="434"/>
      <c r="H33" s="432">
        <v>1.4</v>
      </c>
      <c r="I33" s="433">
        <f t="shared" si="2"/>
        <v>0</v>
      </c>
      <c r="J33" s="435"/>
      <c r="K33" s="435"/>
      <c r="L33" s="435"/>
      <c r="M33" s="435"/>
      <c r="N33" s="435"/>
      <c r="O33" s="435"/>
      <c r="P33" s="435"/>
      <c r="Q33" s="750">
        <f t="shared" si="9"/>
        <v>0</v>
      </c>
    </row>
    <row r="34" spans="1:17" ht="16.5" thickBot="1">
      <c r="A34" s="417"/>
      <c r="B34" s="755" t="s">
        <v>64</v>
      </c>
      <c r="C34" s="756" t="b">
        <f>C6</f>
        <v>0</v>
      </c>
      <c r="D34" s="756" t="b">
        <f t="shared" ref="D34:G34" si="10">D6</f>
        <v>0</v>
      </c>
      <c r="E34" s="756" t="b">
        <f t="shared" si="10"/>
        <v>0</v>
      </c>
      <c r="F34" s="756" t="b">
        <f t="shared" si="10"/>
        <v>0</v>
      </c>
      <c r="G34" s="756" t="b">
        <f t="shared" si="10"/>
        <v>0</v>
      </c>
      <c r="H34" s="757">
        <v>1.4</v>
      </c>
      <c r="I34" s="758">
        <f>(F34+G34)*H34</f>
        <v>0</v>
      </c>
      <c r="J34" s="756" t="b">
        <f t="shared" ref="J34:Q34" si="11">J6</f>
        <v>0</v>
      </c>
      <c r="K34" s="756" t="b">
        <f t="shared" si="11"/>
        <v>0</v>
      </c>
      <c r="L34" s="756" t="b">
        <f t="shared" si="11"/>
        <v>0</v>
      </c>
      <c r="M34" s="756" t="b">
        <f t="shared" si="11"/>
        <v>0</v>
      </c>
      <c r="N34" s="756" t="b">
        <f t="shared" si="11"/>
        <v>0</v>
      </c>
      <c r="O34" s="756" t="b">
        <f t="shared" si="11"/>
        <v>0</v>
      </c>
      <c r="P34" s="756" t="b">
        <f t="shared" si="11"/>
        <v>0</v>
      </c>
      <c r="Q34" s="759"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showGridLines="0" zoomScaleNormal="100" workbookViewId="0">
      <pane xSplit="1" ySplit="5" topLeftCell="B6" activePane="bottomRight" state="frozen"/>
      <selection activeCell="G42" sqref="A22:G42"/>
      <selection pane="topRight" activeCell="G42" sqref="A22:G42"/>
      <selection pane="bottomLeft" activeCell="G42" sqref="A22:G42"/>
      <selection pane="bottomRight" activeCell="B4" sqref="B4"/>
    </sheetView>
  </sheetViews>
  <sheetFormatPr defaultColWidth="9.140625" defaultRowHeight="14.25"/>
  <cols>
    <col min="1" max="1" width="9.5703125" style="3" bestFit="1" customWidth="1"/>
    <col min="2" max="2" width="86" style="3" customWidth="1"/>
    <col min="3" max="3" width="12.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30</v>
      </c>
      <c r="B1" s="445" t="str">
        <f>'Info '!C2</f>
        <v>JSC Isbank Georgia</v>
      </c>
    </row>
    <row r="2" spans="1:8">
      <c r="A2" s="2" t="s">
        <v>31</v>
      </c>
      <c r="B2" s="446">
        <v>46112</v>
      </c>
      <c r="C2" s="6"/>
      <c r="D2" s="7"/>
      <c r="E2" s="7"/>
      <c r="F2" s="7"/>
      <c r="G2" s="7"/>
      <c r="H2" s="8"/>
    </row>
    <row r="3" spans="1:8" ht="15" thickBot="1">
      <c r="A3" s="2"/>
      <c r="B3" s="6"/>
      <c r="C3" s="6"/>
      <c r="D3" s="7"/>
      <c r="E3" s="7"/>
      <c r="F3" s="7"/>
      <c r="G3" s="7"/>
      <c r="H3" s="8"/>
    </row>
    <row r="4" spans="1:8" ht="15" customHeight="1" thickBot="1">
      <c r="A4" s="9" t="s">
        <v>93</v>
      </c>
      <c r="B4" s="10" t="s">
        <v>92</v>
      </c>
      <c r="C4" s="10"/>
      <c r="D4" s="885" t="s">
        <v>664</v>
      </c>
      <c r="E4" s="886"/>
      <c r="F4" s="886"/>
      <c r="G4" s="887"/>
      <c r="H4" s="8"/>
    </row>
    <row r="5" spans="1:8">
      <c r="A5" s="11" t="s">
        <v>6</v>
      </c>
      <c r="B5" s="12"/>
      <c r="C5" s="878" t="str">
        <f>INT((MONTH($B$2))/3)&amp;"Q"&amp;"-"&amp;YEAR($B$2)</f>
        <v>1Q-2026</v>
      </c>
      <c r="D5" s="879" t="str">
        <f>IF(INT(MONTH($B$2))=3, "4"&amp;"Q"&amp;"-"&amp;YEAR($B$2)-1, IF(INT(MONTH($B$2))=6, "1"&amp;"Q"&amp;"-"&amp;YEAR($B$2), IF(INT(MONTH($B$2))=9, "2"&amp;"Q"&amp;"-"&amp;YEAR($B$2),IF(INT(MONTH($B$2))=12, "3"&amp;"Q"&amp;"-"&amp;YEAR($B$2), 0))))</f>
        <v>4Q-2025</v>
      </c>
      <c r="E5" s="880" t="str">
        <f>IF(INT(MONTH($B$2))=3, "3"&amp;"Q"&amp;"-"&amp;YEAR($B$2)-1, IF(INT(MONTH($B$2))=6, "4"&amp;"Q"&amp;"-"&amp;YEAR($B$2)-1, IF(INT(MONTH($B$2))=9, "1"&amp;"Q"&amp;"-"&amp;YEAR($B$2),IF(INT(MONTH($B$2))=12, "2"&amp;"Q"&amp;"-"&amp;YEAR($B$2), 0))))</f>
        <v>3Q-2025</v>
      </c>
      <c r="F5" s="880" t="str">
        <f>IF(INT(MONTH($B$2))=3, "2"&amp;"Q"&amp;"-"&amp;YEAR($B$2)-1, IF(INT(MONTH($B$2))=6, "3"&amp;"Q"&amp;"-"&amp;YEAR($B$2)-1, IF(INT(MONTH($B$2))=9, "4"&amp;"Q"&amp;"-"&amp;YEAR($B$2)-1,IF(INT(MONTH($B$2))=12, "1"&amp;"Q"&amp;"-"&amp;YEAR($B$2), 0))))</f>
        <v>2Q-2025</v>
      </c>
      <c r="G5" s="881" t="str">
        <f>IF(INT(MONTH($B$2))=3, "1"&amp;"Q"&amp;"-"&amp;YEAR($B$2)-1, IF(INT(MONTH($B$2))=6, "2"&amp;"Q"&amp;"-"&amp;YEAR($B$2)-1, IF(INT(MONTH($B$2))=9, "3"&amp;"Q"&amp;"-"&amp;YEAR($B$2)-1,IF(INT(MONTH($B$2))=12, "4"&amp;"Q"&amp;"-"&amp;YEAR($B$2)-1, 0))))</f>
        <v>1Q-2025</v>
      </c>
    </row>
    <row r="6" spans="1:8">
      <c r="B6" s="112" t="s">
        <v>91</v>
      </c>
      <c r="C6" s="477"/>
      <c r="D6" s="449"/>
      <c r="E6" s="232"/>
      <c r="F6" s="232"/>
      <c r="G6" s="233"/>
    </row>
    <row r="7" spans="1:8">
      <c r="A7" s="13"/>
      <c r="B7" s="113" t="s">
        <v>89</v>
      </c>
      <c r="C7" s="477"/>
      <c r="D7" s="449"/>
      <c r="E7" s="232"/>
      <c r="F7" s="232"/>
      <c r="G7" s="233"/>
    </row>
    <row r="8" spans="1:8">
      <c r="A8" s="234">
        <v>1</v>
      </c>
      <c r="B8" s="14" t="s">
        <v>327</v>
      </c>
      <c r="C8" s="478">
        <v>161854447.71074623</v>
      </c>
      <c r="D8" s="450">
        <v>157785516.50474495</v>
      </c>
      <c r="E8" s="451">
        <v>155024100.71134827</v>
      </c>
      <c r="F8" s="451">
        <v>150687460.46515608</v>
      </c>
      <c r="G8" s="452">
        <v>147115694.66173756</v>
      </c>
    </row>
    <row r="9" spans="1:8">
      <c r="A9" s="234">
        <v>2</v>
      </c>
      <c r="B9" s="14" t="s">
        <v>328</v>
      </c>
      <c r="C9" s="478">
        <v>161854447.71074623</v>
      </c>
      <c r="D9" s="450">
        <v>157785516.50474495</v>
      </c>
      <c r="E9" s="451">
        <v>155024100.71134827</v>
      </c>
      <c r="F9" s="451">
        <v>150687460.46515608</v>
      </c>
      <c r="G9" s="452">
        <v>147115694.66173756</v>
      </c>
    </row>
    <row r="10" spans="1:8">
      <c r="A10" s="234">
        <v>3</v>
      </c>
      <c r="B10" s="14" t="s">
        <v>142</v>
      </c>
      <c r="C10" s="478">
        <v>175353447.71074623</v>
      </c>
      <c r="D10" s="450">
        <v>157785516.50474495</v>
      </c>
      <c r="E10" s="451">
        <v>155024100.71134827</v>
      </c>
      <c r="F10" s="451">
        <v>150687460.46515608</v>
      </c>
      <c r="G10" s="452">
        <v>147115694.66173756</v>
      </c>
    </row>
    <row r="11" spans="1:8">
      <c r="A11" s="234">
        <v>4</v>
      </c>
      <c r="B11" s="14" t="s">
        <v>330</v>
      </c>
      <c r="C11" s="478">
        <v>94083028.264868751</v>
      </c>
      <c r="D11" s="450">
        <v>93869980.199185476</v>
      </c>
      <c r="E11" s="451">
        <v>86932342.176273659</v>
      </c>
      <c r="F11" s="451">
        <v>88186178.194553629</v>
      </c>
      <c r="G11" s="452">
        <v>83716429.350780085</v>
      </c>
    </row>
    <row r="12" spans="1:8">
      <c r="A12" s="234">
        <v>5</v>
      </c>
      <c r="B12" s="14" t="s">
        <v>331</v>
      </c>
      <c r="C12" s="478">
        <v>116646777.38389698</v>
      </c>
      <c r="D12" s="450">
        <v>116101534.14035493</v>
      </c>
      <c r="E12" s="451">
        <v>108123821.05279876</v>
      </c>
      <c r="F12" s="451">
        <v>109617357.93304914</v>
      </c>
      <c r="G12" s="452">
        <v>103751455.76028322</v>
      </c>
    </row>
    <row r="13" spans="1:8">
      <c r="A13" s="234">
        <v>6</v>
      </c>
      <c r="B13" s="14" t="s">
        <v>329</v>
      </c>
      <c r="C13" s="478">
        <v>146497774.48916912</v>
      </c>
      <c r="D13" s="450">
        <v>145515449.76982984</v>
      </c>
      <c r="E13" s="451">
        <v>136152162.87065032</v>
      </c>
      <c r="F13" s="451">
        <v>137963955.96247262</v>
      </c>
      <c r="G13" s="452">
        <v>130260347.71999146</v>
      </c>
    </row>
    <row r="14" spans="1:8">
      <c r="A14" s="13"/>
      <c r="B14" s="112" t="s">
        <v>333</v>
      </c>
      <c r="C14" s="477"/>
      <c r="D14" s="449"/>
      <c r="E14" s="232"/>
      <c r="F14" s="232"/>
      <c r="G14" s="233"/>
    </row>
    <row r="15" spans="1:8" ht="15" customHeight="1">
      <c r="A15" s="234">
        <v>7</v>
      </c>
      <c r="B15" s="14" t="s">
        <v>332</v>
      </c>
      <c r="C15" s="448">
        <v>615043404.89305842</v>
      </c>
      <c r="D15" s="450">
        <v>615109686.1573081</v>
      </c>
      <c r="E15" s="451">
        <v>550304525.21034646</v>
      </c>
      <c r="F15" s="451">
        <v>561173819.33175027</v>
      </c>
      <c r="G15" s="452">
        <v>558657399.37569761</v>
      </c>
    </row>
    <row r="16" spans="1:8">
      <c r="A16" s="13"/>
      <c r="B16" s="112" t="s">
        <v>334</v>
      </c>
      <c r="C16" s="477"/>
      <c r="D16" s="449"/>
      <c r="E16" s="232"/>
      <c r="F16" s="232"/>
      <c r="G16" s="233"/>
    </row>
    <row r="17" spans="1:8" s="15" customFormat="1">
      <c r="A17" s="234"/>
      <c r="B17" s="113" t="s">
        <v>715</v>
      </c>
      <c r="C17" s="448"/>
      <c r="D17" s="450"/>
      <c r="E17" s="451"/>
      <c r="F17" s="451"/>
      <c r="G17" s="452"/>
    </row>
    <row r="18" spans="1:8">
      <c r="A18" s="11">
        <v>8</v>
      </c>
      <c r="B18" s="14" t="s">
        <v>327</v>
      </c>
      <c r="C18" s="479">
        <v>0.26315939074070538</v>
      </c>
      <c r="D18" s="453">
        <v>0.25651606543616173</v>
      </c>
      <c r="E18" s="454">
        <v>0.28170602568113062</v>
      </c>
      <c r="F18" s="454">
        <v>0.2685219004774595</v>
      </c>
      <c r="G18" s="455">
        <v>0.2633379506404821</v>
      </c>
    </row>
    <row r="19" spans="1:8" ht="15" customHeight="1">
      <c r="A19" s="11">
        <v>9</v>
      </c>
      <c r="B19" s="14" t="s">
        <v>328</v>
      </c>
      <c r="C19" s="479">
        <v>0.26315939074070538</v>
      </c>
      <c r="D19" s="453">
        <v>0.25651606543616173</v>
      </c>
      <c r="E19" s="454">
        <v>0.28170602568113062</v>
      </c>
      <c r="F19" s="454">
        <v>0.2685219004774595</v>
      </c>
      <c r="G19" s="455">
        <v>0.2633379506404821</v>
      </c>
    </row>
    <row r="20" spans="1:8">
      <c r="A20" s="11">
        <v>10</v>
      </c>
      <c r="B20" s="14" t="s">
        <v>142</v>
      </c>
      <c r="C20" s="479">
        <v>0.28510743520814774</v>
      </c>
      <c r="D20" s="453">
        <v>0.25651606543616173</v>
      </c>
      <c r="E20" s="454">
        <v>0.28170602568113062</v>
      </c>
      <c r="F20" s="454">
        <v>0.2685219004774595</v>
      </c>
      <c r="G20" s="455">
        <v>0.2633379506404821</v>
      </c>
    </row>
    <row r="21" spans="1:8">
      <c r="A21" s="11">
        <v>11</v>
      </c>
      <c r="B21" s="14" t="s">
        <v>330</v>
      </c>
      <c r="C21" s="479">
        <v>0.15296973760937665</v>
      </c>
      <c r="D21" s="453">
        <v>0.15260689647988923</v>
      </c>
      <c r="E21" s="454">
        <v>0.15797133803877944</v>
      </c>
      <c r="F21" s="454">
        <v>0.15714592369894653</v>
      </c>
      <c r="G21" s="455">
        <v>0.14985289632668181</v>
      </c>
    </row>
    <row r="22" spans="1:8">
      <c r="A22" s="11">
        <v>12</v>
      </c>
      <c r="B22" s="14" t="s">
        <v>331</v>
      </c>
      <c r="C22" s="479">
        <v>0.18965617134644197</v>
      </c>
      <c r="D22" s="453">
        <v>0.18874931862260275</v>
      </c>
      <c r="E22" s="454">
        <v>0.196479978083898</v>
      </c>
      <c r="F22" s="454">
        <v>0.1953358374123409</v>
      </c>
      <c r="G22" s="455">
        <v>0.18571571033736595</v>
      </c>
    </row>
    <row r="23" spans="1:8">
      <c r="A23" s="11">
        <v>13</v>
      </c>
      <c r="B23" s="14" t="s">
        <v>329</v>
      </c>
      <c r="C23" s="479">
        <v>0.23819095257942263</v>
      </c>
      <c r="D23" s="453">
        <v>0.23656829512617322</v>
      </c>
      <c r="E23" s="454">
        <v>0.24741239919589614</v>
      </c>
      <c r="F23" s="454">
        <v>0.24584888177207032</v>
      </c>
      <c r="G23" s="455">
        <v>0.23316678140405558</v>
      </c>
    </row>
    <row r="24" spans="1:8" ht="15">
      <c r="A24" s="413"/>
      <c r="B24" s="112" t="s">
        <v>700</v>
      </c>
      <c r="C24" s="480"/>
      <c r="D24" s="456"/>
      <c r="E24" s="167"/>
      <c r="F24" s="167"/>
      <c r="G24" s="412"/>
    </row>
    <row r="25" spans="1:8" ht="25.5">
      <c r="A25" s="11">
        <v>14</v>
      </c>
      <c r="B25" s="14" t="s">
        <v>701</v>
      </c>
      <c r="C25" s="481"/>
      <c r="D25" s="457"/>
      <c r="E25" s="458"/>
      <c r="F25" s="458"/>
      <c r="G25" s="459"/>
      <c r="H25" s="411"/>
    </row>
    <row r="26" spans="1:8">
      <c r="A26" s="13"/>
      <c r="B26" s="112" t="s">
        <v>88</v>
      </c>
      <c r="C26" s="477"/>
      <c r="D26" s="449"/>
      <c r="E26" s="232"/>
      <c r="F26" s="232"/>
      <c r="G26" s="233"/>
    </row>
    <row r="27" spans="1:8" ht="15" customHeight="1">
      <c r="A27" s="235">
        <v>15</v>
      </c>
      <c r="B27" s="14" t="s">
        <v>87</v>
      </c>
      <c r="C27" s="482">
        <v>7.3030142858066055E-2</v>
      </c>
      <c r="D27" s="460">
        <v>8.3074597841345452E-2</v>
      </c>
      <c r="E27" s="461">
        <v>8.4685242433697391E-2</v>
      </c>
      <c r="F27" s="461">
        <v>8.2224613343088435E-2</v>
      </c>
      <c r="G27" s="462">
        <v>8.1324431602180863E-2</v>
      </c>
    </row>
    <row r="28" spans="1:8">
      <c r="A28" s="235">
        <v>16</v>
      </c>
      <c r="B28" s="14" t="s">
        <v>86</v>
      </c>
      <c r="C28" s="482">
        <v>3.3661748140429888E-2</v>
      </c>
      <c r="D28" s="460">
        <v>3.3293119885617506E-2</v>
      </c>
      <c r="E28" s="461">
        <v>3.397564768992261E-2</v>
      </c>
      <c r="F28" s="461">
        <v>3.4343689815697E-2</v>
      </c>
      <c r="G28" s="462">
        <v>3.5711002447670288E-2</v>
      </c>
    </row>
    <row r="29" spans="1:8">
      <c r="A29" s="235">
        <v>17</v>
      </c>
      <c r="B29" s="14" t="s">
        <v>85</v>
      </c>
      <c r="C29" s="482">
        <v>4.5163696054920821E-2</v>
      </c>
      <c r="D29" s="460">
        <v>5.8142905050159004E-2</v>
      </c>
      <c r="E29" s="461">
        <v>5.9458343141652596E-2</v>
      </c>
      <c r="F29" s="461">
        <v>5.6427269332453879E-2</v>
      </c>
      <c r="G29" s="462">
        <v>5.4504400632144706E-2</v>
      </c>
    </row>
    <row r="30" spans="1:8">
      <c r="A30" s="235">
        <v>18</v>
      </c>
      <c r="B30" s="14" t="s">
        <v>84</v>
      </c>
      <c r="C30" s="482">
        <v>3.9368394717636167E-2</v>
      </c>
      <c r="D30" s="460">
        <v>4.9781477955727946E-2</v>
      </c>
      <c r="E30" s="461">
        <v>5.0709594743774775E-2</v>
      </c>
      <c r="F30" s="461">
        <v>4.7880923527391435E-2</v>
      </c>
      <c r="G30" s="462">
        <v>4.5613429154510582E-2</v>
      </c>
    </row>
    <row r="31" spans="1:8">
      <c r="A31" s="235">
        <v>19</v>
      </c>
      <c r="B31" s="14" t="s">
        <v>154</v>
      </c>
      <c r="C31" s="482">
        <v>2.5513647452374506E-2</v>
      </c>
      <c r="D31" s="460">
        <v>2.9013907692045347E-2</v>
      </c>
      <c r="E31" s="461">
        <v>3.2027229800738972E-2</v>
      </c>
      <c r="F31" s="461">
        <v>2.9868286282239007E-2</v>
      </c>
      <c r="G31" s="462">
        <v>3.0492880780700005E-2</v>
      </c>
    </row>
    <row r="32" spans="1:8">
      <c r="A32" s="235">
        <v>20</v>
      </c>
      <c r="B32" s="14" t="s">
        <v>155</v>
      </c>
      <c r="C32" s="482">
        <v>9.9042720538445678E-2</v>
      </c>
      <c r="D32" s="460">
        <v>9.3046729222242511E-2</v>
      </c>
      <c r="E32" s="461">
        <v>0.1017355594814195</v>
      </c>
      <c r="F32" s="461">
        <v>9.7348834313283089E-2</v>
      </c>
      <c r="G32" s="462">
        <v>0.10187713381723718</v>
      </c>
    </row>
    <row r="33" spans="1:7">
      <c r="A33" s="13"/>
      <c r="B33" s="112" t="s">
        <v>216</v>
      </c>
      <c r="C33" s="477"/>
      <c r="D33" s="449"/>
      <c r="E33" s="232"/>
      <c r="F33" s="232"/>
      <c r="G33" s="233"/>
    </row>
    <row r="34" spans="1:7">
      <c r="A34" s="235">
        <v>21</v>
      </c>
      <c r="B34" s="14" t="s">
        <v>83</v>
      </c>
      <c r="C34" s="476">
        <v>3.1055222878153348E-3</v>
      </c>
      <c r="D34" s="460">
        <v>3.915955644666529E-3</v>
      </c>
      <c r="E34" s="461">
        <v>3.8445787133111736E-3</v>
      </c>
      <c r="F34" s="461">
        <v>2.3289362488576005E-3</v>
      </c>
      <c r="G34" s="462">
        <v>3.7827120778000374E-3</v>
      </c>
    </row>
    <row r="35" spans="1:7" ht="15" customHeight="1">
      <c r="A35" s="235">
        <v>22</v>
      </c>
      <c r="B35" s="14" t="s">
        <v>674</v>
      </c>
      <c r="C35" s="476">
        <v>6.6637621127531412E-3</v>
      </c>
      <c r="D35" s="460">
        <v>7.3190224709925675E-3</v>
      </c>
      <c r="E35" s="461">
        <v>5.7638516196688592E-3</v>
      </c>
      <c r="F35" s="461">
        <v>5.2140453557838811E-3</v>
      </c>
      <c r="G35" s="462">
        <v>5.2629588052251659E-3</v>
      </c>
    </row>
    <row r="36" spans="1:7">
      <c r="A36" s="235">
        <v>23</v>
      </c>
      <c r="B36" s="14" t="s">
        <v>82</v>
      </c>
      <c r="C36" s="476">
        <v>0.59107706141621663</v>
      </c>
      <c r="D36" s="460">
        <v>0.58128545172504331</v>
      </c>
      <c r="E36" s="461">
        <v>0.55484106676765677</v>
      </c>
      <c r="F36" s="461">
        <v>0.54885315085887321</v>
      </c>
      <c r="G36" s="462">
        <v>0.52270163514524359</v>
      </c>
    </row>
    <row r="37" spans="1:7" ht="15" customHeight="1">
      <c r="A37" s="235">
        <v>24</v>
      </c>
      <c r="B37" s="14" t="s">
        <v>81</v>
      </c>
      <c r="C37" s="476">
        <v>0.57458742722005807</v>
      </c>
      <c r="D37" s="460">
        <v>0.63305342329924008</v>
      </c>
      <c r="E37" s="461">
        <v>0.54518576429017096</v>
      </c>
      <c r="F37" s="461">
        <v>0.54361182696884625</v>
      </c>
      <c r="G37" s="462">
        <v>0.52095906341894527</v>
      </c>
    </row>
    <row r="38" spans="1:7">
      <c r="A38" s="235">
        <v>25</v>
      </c>
      <c r="B38" s="14" t="s">
        <v>80</v>
      </c>
      <c r="C38" s="476">
        <v>-1.378354130404557E-3</v>
      </c>
      <c r="D38" s="460">
        <v>7.5917567983325033E-3</v>
      </c>
      <c r="E38" s="461">
        <v>1.7616225616533952E-2</v>
      </c>
      <c r="F38" s="461">
        <v>7.8187759523223446E-2</v>
      </c>
      <c r="G38" s="462">
        <v>-9.4576863836034336E-3</v>
      </c>
    </row>
    <row r="39" spans="1:7" ht="15" customHeight="1">
      <c r="A39" s="13"/>
      <c r="B39" s="112" t="s">
        <v>217</v>
      </c>
      <c r="C39" s="483"/>
      <c r="D39" s="449"/>
      <c r="E39" s="232"/>
      <c r="F39" s="232"/>
      <c r="G39" s="233"/>
    </row>
    <row r="40" spans="1:7" ht="15" customHeight="1">
      <c r="A40" s="235">
        <v>26</v>
      </c>
      <c r="B40" s="14" t="s">
        <v>79</v>
      </c>
      <c r="C40" s="476">
        <v>0.36919611373213468</v>
      </c>
      <c r="D40" s="463">
        <v>0.37063394209974992</v>
      </c>
      <c r="E40" s="464">
        <v>0.22428427349627802</v>
      </c>
      <c r="F40" s="464">
        <v>0.19799337081000168</v>
      </c>
      <c r="G40" s="465">
        <v>0.21363613422472391</v>
      </c>
    </row>
    <row r="41" spans="1:7" ht="15" customHeight="1">
      <c r="A41" s="235">
        <v>27</v>
      </c>
      <c r="B41" s="14" t="s">
        <v>78</v>
      </c>
      <c r="C41" s="476">
        <v>0.77876744057942171</v>
      </c>
      <c r="D41" s="463">
        <v>0.85713069565923627</v>
      </c>
      <c r="E41" s="464">
        <v>0.83021661667061131</v>
      </c>
      <c r="F41" s="464">
        <v>0.80076368492290362</v>
      </c>
      <c r="G41" s="465">
        <v>0.76661201237167154</v>
      </c>
    </row>
    <row r="42" spans="1:7" ht="15" customHeight="1">
      <c r="A42" s="235">
        <v>28</v>
      </c>
      <c r="B42" s="14" t="s">
        <v>77</v>
      </c>
      <c r="C42" s="476">
        <v>0.16001235342833234</v>
      </c>
      <c r="D42" s="463">
        <v>0.13542416734437102</v>
      </c>
      <c r="E42" s="464">
        <v>0.12246962934457821</v>
      </c>
      <c r="F42" s="464">
        <v>0.14728626027381847</v>
      </c>
      <c r="G42" s="465">
        <v>0.14086167678367237</v>
      </c>
    </row>
    <row r="43" spans="1:7" ht="15" customHeight="1">
      <c r="A43" s="236"/>
      <c r="B43" s="112" t="s">
        <v>258</v>
      </c>
      <c r="C43" s="477"/>
      <c r="D43" s="449"/>
      <c r="E43" s="232"/>
      <c r="F43" s="232"/>
      <c r="G43" s="233"/>
    </row>
    <row r="44" spans="1:7">
      <c r="A44" s="235">
        <v>29</v>
      </c>
      <c r="B44" s="14" t="s">
        <v>241</v>
      </c>
      <c r="C44" s="484">
        <v>233042375.96011871</v>
      </c>
      <c r="D44" s="466">
        <v>232026575.26607576</v>
      </c>
      <c r="E44" s="467">
        <v>104875682.22197714</v>
      </c>
      <c r="F44" s="467">
        <v>95829230.414931968</v>
      </c>
      <c r="G44" s="468">
        <v>100767888.36719733</v>
      </c>
    </row>
    <row r="45" spans="1:7" ht="15" customHeight="1">
      <c r="A45" s="235">
        <v>30</v>
      </c>
      <c r="B45" s="14" t="s">
        <v>253</v>
      </c>
      <c r="C45" s="484">
        <v>102799166.69708043</v>
      </c>
      <c r="D45" s="466">
        <v>66993630.972279087</v>
      </c>
      <c r="E45" s="467">
        <v>55448479.389427491</v>
      </c>
      <c r="F45" s="467">
        <v>26683803.235503621</v>
      </c>
      <c r="G45" s="468">
        <v>48544665.332213111</v>
      </c>
    </row>
    <row r="46" spans="1:7" ht="15" customHeight="1">
      <c r="A46" s="266">
        <v>31</v>
      </c>
      <c r="B46" s="267" t="s">
        <v>242</v>
      </c>
      <c r="C46" s="485">
        <f>C44/C45</f>
        <v>2.2669675586654079</v>
      </c>
      <c r="D46" s="469">
        <v>3.4634124453126702</v>
      </c>
      <c r="E46" s="470">
        <v>1.891407724374387</v>
      </c>
      <c r="F46" s="470">
        <v>3.5912883020898696</v>
      </c>
      <c r="G46" s="447">
        <v>2.0757767651212977</v>
      </c>
    </row>
    <row r="47" spans="1:7" ht="15" customHeight="1">
      <c r="A47" s="266"/>
      <c r="B47" s="112" t="s">
        <v>337</v>
      </c>
      <c r="C47" s="486"/>
      <c r="D47" s="471"/>
      <c r="E47" s="472"/>
      <c r="F47" s="472"/>
      <c r="G47" s="268"/>
    </row>
    <row r="48" spans="1:7" ht="15" customHeight="1">
      <c r="A48" s="266">
        <v>32</v>
      </c>
      <c r="B48" s="267" t="s">
        <v>344</v>
      </c>
      <c r="C48" s="486">
        <v>325614716.33225328</v>
      </c>
      <c r="D48" s="471">
        <v>353158788.72254282</v>
      </c>
      <c r="E48" s="472">
        <v>268503055.9017297</v>
      </c>
      <c r="F48" s="472">
        <v>270421223.92323118</v>
      </c>
      <c r="G48" s="268">
        <v>247540594.47121745</v>
      </c>
    </row>
    <row r="49" spans="1:7" ht="15" customHeight="1">
      <c r="A49" s="266">
        <v>33</v>
      </c>
      <c r="B49" s="267" t="s">
        <v>359</v>
      </c>
      <c r="C49" s="486">
        <v>269680930.74191761</v>
      </c>
      <c r="D49" s="471">
        <v>243941400.62583047</v>
      </c>
      <c r="E49" s="472">
        <v>238257284.18621168</v>
      </c>
      <c r="F49" s="472">
        <v>245928464.30842209</v>
      </c>
      <c r="G49" s="268">
        <v>235440458.27322611</v>
      </c>
    </row>
    <row r="50" spans="1:7" ht="15" thickBot="1">
      <c r="A50" s="237">
        <v>34</v>
      </c>
      <c r="B50" s="114" t="s">
        <v>377</v>
      </c>
      <c r="C50" s="487">
        <f>C48/C49</f>
        <v>1.2074072699039438</v>
      </c>
      <c r="D50" s="473">
        <v>1.4477197712914482</v>
      </c>
      <c r="E50" s="474">
        <v>1.1269458426793753</v>
      </c>
      <c r="F50" s="474">
        <v>1.0995930246776657</v>
      </c>
      <c r="G50" s="475">
        <v>1.0513936147029974</v>
      </c>
    </row>
    <row r="51" spans="1:7">
      <c r="A51" s="16"/>
    </row>
    <row r="52" spans="1:7">
      <c r="B52" s="160"/>
    </row>
    <row r="53" spans="1:7" ht="51">
      <c r="B53" s="160" t="s">
        <v>257</v>
      </c>
    </row>
    <row r="55" spans="1:7">
      <c r="B55" s="15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showGridLines="0" zoomScale="80" zoomScaleNormal="80" workbookViewId="0">
      <selection activeCell="B4" sqref="B4"/>
    </sheetView>
  </sheetViews>
  <sheetFormatPr defaultColWidth="8.7109375" defaultRowHeight="15"/>
  <cols>
    <col min="1" max="1" width="11.42578125" style="417" customWidth="1"/>
    <col min="2" max="2" width="76.85546875" style="441" customWidth="1"/>
    <col min="3" max="3" width="22.85546875" style="417" customWidth="1"/>
    <col min="4" max="16384" width="8.7109375" style="417"/>
  </cols>
  <sheetData>
    <row r="1" spans="1:3">
      <c r="A1" s="182" t="s">
        <v>30</v>
      </c>
      <c r="B1" s="445" t="str">
        <f>'Info '!C2</f>
        <v>JSC Isbank Georgia</v>
      </c>
    </row>
    <row r="2" spans="1:3">
      <c r="A2" s="182" t="s">
        <v>31</v>
      </c>
      <c r="B2" s="446">
        <f>'1. key ratios '!B2</f>
        <v>46112</v>
      </c>
    </row>
    <row r="3" spans="1:3">
      <c r="B3" s="417"/>
    </row>
    <row r="4" spans="1:3" ht="15.75" thickBot="1">
      <c r="A4" s="417" t="s">
        <v>295</v>
      </c>
      <c r="B4" s="417" t="s">
        <v>296</v>
      </c>
    </row>
    <row r="5" spans="1:3">
      <c r="A5" s="760" t="s">
        <v>297</v>
      </c>
      <c r="B5" s="761"/>
      <c r="C5" s="762"/>
    </row>
    <row r="6" spans="1:3">
      <c r="A6" s="763">
        <v>1</v>
      </c>
      <c r="B6" s="764" t="s">
        <v>751</v>
      </c>
      <c r="C6" s="765">
        <f>'2. SOFP'!$E$36</f>
        <v>631215679.93860197</v>
      </c>
    </row>
    <row r="7" spans="1:3">
      <c r="A7" s="763">
        <v>2</v>
      </c>
      <c r="B7" s="764" t="s">
        <v>298</v>
      </c>
      <c r="C7" s="765">
        <f>-'9.Capital'!$C$15</f>
        <v>-2463590.19</v>
      </c>
    </row>
    <row r="8" spans="1:3" ht="30">
      <c r="A8" s="766">
        <v>3</v>
      </c>
      <c r="B8" s="767" t="s">
        <v>299</v>
      </c>
      <c r="C8" s="765">
        <f>C6+C7</f>
        <v>628752089.74860191</v>
      </c>
    </row>
    <row r="9" spans="1:3">
      <c r="A9" s="768" t="s">
        <v>300</v>
      </c>
      <c r="B9" s="769"/>
      <c r="C9" s="770"/>
    </row>
    <row r="10" spans="1:3" ht="25.7" customHeight="1">
      <c r="A10" s="763">
        <v>4</v>
      </c>
      <c r="B10" s="771" t="s">
        <v>749</v>
      </c>
      <c r="C10" s="765" t="b">
        <f>'15. CCR '!F34</f>
        <v>0</v>
      </c>
    </row>
    <row r="11" spans="1:3" ht="25.7" customHeight="1">
      <c r="A11" s="763">
        <v>5</v>
      </c>
      <c r="B11" s="772" t="s">
        <v>750</v>
      </c>
      <c r="C11" s="765" t="b">
        <f>'15. CCR '!G34</f>
        <v>0</v>
      </c>
    </row>
    <row r="12" spans="1:3" ht="25.7" customHeight="1">
      <c r="A12" s="763">
        <v>6</v>
      </c>
      <c r="B12" s="772" t="s">
        <v>743</v>
      </c>
      <c r="C12" s="773">
        <f>'15. CCR '!I34</f>
        <v>0</v>
      </c>
    </row>
    <row r="13" spans="1:3" ht="25.7" customHeight="1">
      <c r="A13" s="774">
        <v>7</v>
      </c>
      <c r="B13" s="771" t="s">
        <v>744</v>
      </c>
      <c r="C13" s="765" t="b">
        <f>'15. CCR '!E34</f>
        <v>0</v>
      </c>
    </row>
    <row r="14" spans="1:3" ht="25.7" customHeight="1">
      <c r="A14" s="766">
        <v>8</v>
      </c>
      <c r="B14" s="775" t="s">
        <v>301</v>
      </c>
      <c r="C14" s="776">
        <f>C12</f>
        <v>0</v>
      </c>
    </row>
    <row r="15" spans="1:3">
      <c r="A15" s="768" t="s">
        <v>302</v>
      </c>
      <c r="B15" s="769"/>
      <c r="C15" s="770"/>
    </row>
    <row r="16" spans="1:3">
      <c r="A16" s="774">
        <v>9</v>
      </c>
      <c r="B16" s="771" t="s">
        <v>303</v>
      </c>
      <c r="C16" s="765"/>
    </row>
    <row r="17" spans="1:3">
      <c r="A17" s="774">
        <v>10</v>
      </c>
      <c r="B17" s="771" t="s">
        <v>304</v>
      </c>
      <c r="C17" s="765"/>
    </row>
    <row r="18" spans="1:3">
      <c r="A18" s="774">
        <v>11</v>
      </c>
      <c r="B18" s="771" t="s">
        <v>305</v>
      </c>
      <c r="C18" s="765"/>
    </row>
    <row r="19" spans="1:3" ht="30">
      <c r="A19" s="774">
        <v>12</v>
      </c>
      <c r="B19" s="771" t="s">
        <v>306</v>
      </c>
      <c r="C19" s="765"/>
    </row>
    <row r="20" spans="1:3">
      <c r="A20" s="774">
        <v>14</v>
      </c>
      <c r="B20" s="771" t="s">
        <v>307</v>
      </c>
      <c r="C20" s="765"/>
    </row>
    <row r="21" spans="1:3">
      <c r="A21" s="774">
        <v>14</v>
      </c>
      <c r="B21" s="771" t="s">
        <v>308</v>
      </c>
      <c r="C21" s="765"/>
    </row>
    <row r="22" spans="1:3">
      <c r="A22" s="766">
        <v>15</v>
      </c>
      <c r="B22" s="775" t="s">
        <v>309</v>
      </c>
      <c r="C22" s="776">
        <f>SUM(C16:C21)</f>
        <v>0</v>
      </c>
    </row>
    <row r="23" spans="1:3">
      <c r="A23" s="768" t="s">
        <v>310</v>
      </c>
      <c r="B23" s="769"/>
      <c r="C23" s="770"/>
    </row>
    <row r="24" spans="1:3">
      <c r="A24" s="777">
        <v>16</v>
      </c>
      <c r="B24" s="772" t="s">
        <v>311</v>
      </c>
      <c r="C24" s="765"/>
    </row>
    <row r="25" spans="1:3">
      <c r="A25" s="777">
        <v>17</v>
      </c>
      <c r="B25" s="772" t="s">
        <v>312</v>
      </c>
      <c r="C25" s="765"/>
    </row>
    <row r="26" spans="1:3">
      <c r="A26" s="778">
        <v>18</v>
      </c>
      <c r="B26" s="775" t="s">
        <v>313</v>
      </c>
      <c r="C26" s="776">
        <f>C24+C25</f>
        <v>0</v>
      </c>
    </row>
    <row r="27" spans="1:3">
      <c r="A27" s="768" t="s">
        <v>314</v>
      </c>
      <c r="B27" s="769"/>
      <c r="C27" s="770"/>
    </row>
    <row r="28" spans="1:3" ht="30">
      <c r="A28" s="777">
        <v>19</v>
      </c>
      <c r="B28" s="771" t="s">
        <v>315</v>
      </c>
      <c r="C28" s="779"/>
    </row>
    <row r="29" spans="1:3">
      <c r="A29" s="777">
        <v>20</v>
      </c>
      <c r="B29" s="772" t="s">
        <v>316</v>
      </c>
      <c r="C29" s="779"/>
    </row>
    <row r="30" spans="1:3">
      <c r="A30" s="768" t="s">
        <v>748</v>
      </c>
      <c r="B30" s="769"/>
      <c r="C30" s="770"/>
    </row>
    <row r="31" spans="1:3">
      <c r="A31" s="778">
        <v>21</v>
      </c>
      <c r="B31" s="780" t="s">
        <v>317</v>
      </c>
      <c r="C31" s="776">
        <f>'9.Capital'!C29</f>
        <v>161854447.71074623</v>
      </c>
    </row>
    <row r="32" spans="1:3">
      <c r="A32" s="778">
        <v>22</v>
      </c>
      <c r="B32" s="775" t="s">
        <v>318</v>
      </c>
      <c r="C32" s="776">
        <f>C8+C14+C22+C26</f>
        <v>628752089.74860191</v>
      </c>
    </row>
    <row r="33" spans="1:3">
      <c r="A33" s="768" t="s">
        <v>319</v>
      </c>
      <c r="B33" s="769"/>
      <c r="C33" s="770"/>
    </row>
    <row r="34" spans="1:3">
      <c r="A34" s="766">
        <v>23</v>
      </c>
      <c r="B34" s="775" t="s">
        <v>319</v>
      </c>
      <c r="C34" s="785">
        <f>C31/C32</f>
        <v>0.25742172527086399</v>
      </c>
    </row>
    <row r="35" spans="1:3">
      <c r="A35" s="768" t="s">
        <v>320</v>
      </c>
      <c r="B35" s="769"/>
      <c r="C35" s="770"/>
    </row>
    <row r="36" spans="1:3">
      <c r="A36" s="781" t="s">
        <v>321</v>
      </c>
      <c r="B36" s="771" t="s">
        <v>322</v>
      </c>
      <c r="C36" s="779"/>
    </row>
    <row r="37" spans="1:3" ht="30.75" thickBot="1">
      <c r="A37" s="782" t="s">
        <v>323</v>
      </c>
      <c r="B37" s="783" t="s">
        <v>324</v>
      </c>
      <c r="C37" s="784"/>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showGridLines="0" zoomScale="80" zoomScaleNormal="80" workbookViewId="0">
      <selection activeCell="B4" sqref="B4"/>
    </sheetView>
  </sheetViews>
  <sheetFormatPr defaultColWidth="8.85546875" defaultRowHeight="15"/>
  <cols>
    <col min="1" max="1" width="11.42578125" style="415" customWidth="1"/>
    <col min="2" max="2" width="76.85546875" style="204" customWidth="1"/>
    <col min="3" max="6" width="25.42578125" style="415" customWidth="1"/>
    <col min="7" max="16384" width="8.85546875" style="415"/>
  </cols>
  <sheetData>
    <row r="1" spans="1:6">
      <c r="A1" s="2" t="s">
        <v>30</v>
      </c>
      <c r="B1" s="445" t="str">
        <f>'Info '!C2</f>
        <v>JSC Isbank Georgia</v>
      </c>
    </row>
    <row r="2" spans="1:6">
      <c r="A2" s="2" t="s">
        <v>31</v>
      </c>
      <c r="B2" s="446">
        <f>'1. key ratios '!B2</f>
        <v>46112</v>
      </c>
    </row>
    <row r="3" spans="1:6">
      <c r="A3" s="4"/>
      <c r="B3" s="415"/>
    </row>
    <row r="4" spans="1:6">
      <c r="A4" s="436" t="s">
        <v>738</v>
      </c>
    </row>
    <row r="5" spans="1:6" ht="60">
      <c r="B5" s="437"/>
      <c r="C5" s="438" t="s">
        <v>739</v>
      </c>
      <c r="D5" s="438" t="s">
        <v>741</v>
      </c>
      <c r="E5" s="438" t="s">
        <v>740</v>
      </c>
      <c r="F5" s="438" t="s">
        <v>742</v>
      </c>
    </row>
    <row r="6" spans="1:6">
      <c r="B6" s="439" t="s">
        <v>716</v>
      </c>
      <c r="C6" s="430" t="b">
        <f>IF(C7&gt;0,C7,IF(C8&gt;0,C8,IF(C9&gt;0,C9)))</f>
        <v>0</v>
      </c>
      <c r="D6" s="430" t="b">
        <f>IF(D7&gt;0,D7,IF(D8&gt;0,D8,IF(D9&gt;0,D9)))</f>
        <v>0</v>
      </c>
      <c r="E6" s="430" t="b">
        <f>IF(E7&gt;0,E7,IF(E8&gt;0,E8,IF(E9&gt;0,E9)))</f>
        <v>0</v>
      </c>
      <c r="F6" s="430" t="b">
        <f>IF(F7&gt;0,F7,IF(F8&gt;0,F8,IF(F9&gt;0,F9)))</f>
        <v>0</v>
      </c>
    </row>
    <row r="7" spans="1:6">
      <c r="B7" s="431" t="s">
        <v>729</v>
      </c>
      <c r="C7" s="440"/>
      <c r="D7" s="440"/>
      <c r="E7" s="440"/>
      <c r="F7" s="440"/>
    </row>
    <row r="8" spans="1:6">
      <c r="B8" s="431" t="s">
        <v>730</v>
      </c>
      <c r="C8" s="440"/>
      <c r="D8" s="440"/>
      <c r="E8" s="440"/>
      <c r="F8" s="440"/>
    </row>
    <row r="9" spans="1:6">
      <c r="B9" s="431" t="s">
        <v>737</v>
      </c>
      <c r="C9" s="440"/>
      <c r="D9" s="440"/>
      <c r="E9" s="440"/>
      <c r="F9" s="440"/>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showGridLines="0"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4" sqref="B4"/>
    </sheetView>
  </sheetViews>
  <sheetFormatPr defaultRowHeight="15"/>
  <cols>
    <col min="1" max="1" width="8.85546875" style="146"/>
    <col min="2" max="2" width="82.5703125" style="238" customWidth="1"/>
    <col min="3" max="7" width="17.5703125" style="146" customWidth="1"/>
  </cols>
  <sheetData>
    <row r="1" spans="1:7">
      <c r="A1" s="146" t="s">
        <v>30</v>
      </c>
      <c r="B1" s="445" t="str">
        <f>'Info '!C2</f>
        <v>JSC Isbank Georgia</v>
      </c>
    </row>
    <row r="2" spans="1:7">
      <c r="A2" s="146" t="s">
        <v>31</v>
      </c>
      <c r="B2" s="446">
        <f>'1. key ratios '!B2</f>
        <v>46112</v>
      </c>
    </row>
    <row r="4" spans="1:7" ht="15.75" thickBot="1">
      <c r="A4" s="146" t="s">
        <v>376</v>
      </c>
      <c r="B4" s="239" t="s">
        <v>337</v>
      </c>
    </row>
    <row r="5" spans="1:7">
      <c r="A5" s="240"/>
      <c r="B5" s="241"/>
      <c r="C5" s="955" t="s">
        <v>338</v>
      </c>
      <c r="D5" s="955"/>
      <c r="E5" s="955"/>
      <c r="F5" s="955"/>
      <c r="G5" s="956" t="s">
        <v>339</v>
      </c>
    </row>
    <row r="6" spans="1:7">
      <c r="A6" s="242"/>
      <c r="B6" s="243"/>
      <c r="C6" s="244" t="s">
        <v>340</v>
      </c>
      <c r="D6" s="245" t="s">
        <v>341</v>
      </c>
      <c r="E6" s="245" t="s">
        <v>342</v>
      </c>
      <c r="F6" s="245" t="s">
        <v>343</v>
      </c>
      <c r="G6" s="957"/>
    </row>
    <row r="7" spans="1:7">
      <c r="A7" s="246"/>
      <c r="B7" s="247" t="s">
        <v>344</v>
      </c>
      <c r="C7" s="248"/>
      <c r="D7" s="248"/>
      <c r="E7" s="248"/>
      <c r="F7" s="248"/>
      <c r="G7" s="249"/>
    </row>
    <row r="8" spans="1:7">
      <c r="A8" s="250">
        <v>1</v>
      </c>
      <c r="B8" s="251" t="s">
        <v>345</v>
      </c>
      <c r="C8" s="786">
        <f>SUM(C9:C10)</f>
        <v>175353447.71074623</v>
      </c>
      <c r="D8" s="786">
        <f>SUM(D9:D10)</f>
        <v>0</v>
      </c>
      <c r="E8" s="786">
        <f>SUM(E9:E10)</f>
        <v>0</v>
      </c>
      <c r="F8" s="786">
        <f>SUM(F9:F10)</f>
        <v>32854606.339084532</v>
      </c>
      <c r="G8" s="787">
        <f>SUM(G9:G10)</f>
        <v>208208054.04983076</v>
      </c>
    </row>
    <row r="9" spans="1:7">
      <c r="A9" s="250">
        <v>2</v>
      </c>
      <c r="B9" s="252" t="s">
        <v>346</v>
      </c>
      <c r="C9" s="788">
        <v>175353447.71074623</v>
      </c>
      <c r="D9" s="788"/>
      <c r="E9" s="788"/>
      <c r="F9" s="788"/>
      <c r="G9" s="789">
        <v>175353447.71074623</v>
      </c>
    </row>
    <row r="10" spans="1:7" ht="32.25" customHeight="1">
      <c r="A10" s="250">
        <v>3</v>
      </c>
      <c r="B10" s="252" t="s">
        <v>347</v>
      </c>
      <c r="C10" s="790"/>
      <c r="D10" s="790"/>
      <c r="E10" s="790"/>
      <c r="F10" s="788">
        <v>32854606.339084532</v>
      </c>
      <c r="G10" s="789">
        <v>32854606.339084532</v>
      </c>
    </row>
    <row r="11" spans="1:7" ht="14.45" customHeight="1">
      <c r="A11" s="250">
        <v>4</v>
      </c>
      <c r="B11" s="251" t="s">
        <v>348</v>
      </c>
      <c r="C11" s="786">
        <f t="shared" ref="C11:F11" si="0">SUM(C12:C13)</f>
        <v>3946036.6225847993</v>
      </c>
      <c r="D11" s="786">
        <f t="shared" si="0"/>
        <v>3884570.6907959203</v>
      </c>
      <c r="E11" s="786">
        <f t="shared" si="0"/>
        <v>2229327.9378337204</v>
      </c>
      <c r="F11" s="786">
        <f t="shared" si="0"/>
        <v>1934198.9682086797</v>
      </c>
      <c r="G11" s="787">
        <f>SUM(G12:G13)</f>
        <v>7936854.3482659645</v>
      </c>
    </row>
    <row r="12" spans="1:7">
      <c r="A12" s="250">
        <v>5</v>
      </c>
      <c r="B12" s="252" t="s">
        <v>349</v>
      </c>
      <c r="C12" s="788">
        <v>302754.35017199966</v>
      </c>
      <c r="D12" s="791">
        <v>1439797.1933653401</v>
      </c>
      <c r="E12" s="788">
        <v>1006990.4463219602</v>
      </c>
      <c r="F12" s="788">
        <v>1561096.3180393798</v>
      </c>
      <c r="G12" s="789">
        <v>4095106.3925037454</v>
      </c>
    </row>
    <row r="13" spans="1:7">
      <c r="A13" s="250">
        <v>6</v>
      </c>
      <c r="B13" s="252" t="s">
        <v>350</v>
      </c>
      <c r="C13" s="788">
        <v>3643282.2724127998</v>
      </c>
      <c r="D13" s="791">
        <v>2444773.4974305802</v>
      </c>
      <c r="E13" s="788">
        <v>1222337.4915117603</v>
      </c>
      <c r="F13" s="788">
        <v>373102.65016929997</v>
      </c>
      <c r="G13" s="789">
        <v>3841747.9557622196</v>
      </c>
    </row>
    <row r="14" spans="1:7">
      <c r="A14" s="250">
        <v>7</v>
      </c>
      <c r="B14" s="251" t="s">
        <v>351</v>
      </c>
      <c r="C14" s="786">
        <f t="shared" ref="C14:F14" si="1">SUM(C15:C16)</f>
        <v>97056269.845255926</v>
      </c>
      <c r="D14" s="786">
        <f t="shared" si="1"/>
        <v>179222505.42328089</v>
      </c>
      <c r="E14" s="786">
        <f t="shared" si="1"/>
        <v>115343874.41957971</v>
      </c>
      <c r="F14" s="786">
        <f t="shared" si="1"/>
        <v>884630.40127399773</v>
      </c>
      <c r="G14" s="787">
        <f>SUM(G15:G16)</f>
        <v>109469807.93415654</v>
      </c>
    </row>
    <row r="15" spans="1:7" ht="39">
      <c r="A15" s="250">
        <v>8</v>
      </c>
      <c r="B15" s="252" t="s">
        <v>352</v>
      </c>
      <c r="C15" s="788">
        <v>79826526.65136449</v>
      </c>
      <c r="D15" s="791">
        <v>41096040.525068834</v>
      </c>
      <c r="E15" s="788">
        <v>56087273.088055193</v>
      </c>
      <c r="F15" s="788">
        <v>586215.75670000003</v>
      </c>
      <c r="G15" s="789">
        <v>88798028.010594279</v>
      </c>
    </row>
    <row r="16" spans="1:7" ht="26.25">
      <c r="A16" s="250">
        <v>9</v>
      </c>
      <c r="B16" s="252" t="s">
        <v>353</v>
      </c>
      <c r="C16" s="788">
        <v>17229743.19389144</v>
      </c>
      <c r="D16" s="791">
        <v>138126464.89821208</v>
      </c>
      <c r="E16" s="788">
        <v>59256601.331524521</v>
      </c>
      <c r="F16" s="788">
        <v>298414.64457399771</v>
      </c>
      <c r="G16" s="789">
        <v>20671779.923562262</v>
      </c>
    </row>
    <row r="17" spans="1:7">
      <c r="A17" s="250">
        <v>10</v>
      </c>
      <c r="B17" s="251" t="s">
        <v>354</v>
      </c>
      <c r="C17" s="788"/>
      <c r="D17" s="791"/>
      <c r="E17" s="788"/>
      <c r="F17" s="788"/>
      <c r="G17" s="789">
        <v>0</v>
      </c>
    </row>
    <row r="18" spans="1:7">
      <c r="A18" s="250">
        <v>11</v>
      </c>
      <c r="B18" s="251" t="s">
        <v>355</v>
      </c>
      <c r="C18" s="786">
        <f>SUM(C19:C20)</f>
        <v>16042621.389957424</v>
      </c>
      <c r="D18" s="792">
        <f t="shared" ref="D18:G18" si="2">SUM(D19:D20)</f>
        <v>0</v>
      </c>
      <c r="E18" s="786">
        <f t="shared" si="2"/>
        <v>0</v>
      </c>
      <c r="F18" s="786">
        <f t="shared" si="2"/>
        <v>0</v>
      </c>
      <c r="G18" s="787">
        <f t="shared" si="2"/>
        <v>0</v>
      </c>
    </row>
    <row r="19" spans="1:7">
      <c r="A19" s="250">
        <v>12</v>
      </c>
      <c r="B19" s="252" t="s">
        <v>356</v>
      </c>
      <c r="C19" s="790"/>
      <c r="D19" s="791"/>
      <c r="E19" s="788"/>
      <c r="F19" s="788"/>
      <c r="G19" s="789"/>
    </row>
    <row r="20" spans="1:7">
      <c r="A20" s="250">
        <v>13</v>
      </c>
      <c r="B20" s="252" t="s">
        <v>357</v>
      </c>
      <c r="C20" s="788">
        <v>16042621.389957424</v>
      </c>
      <c r="D20" s="788"/>
      <c r="E20" s="788"/>
      <c r="F20" s="788"/>
      <c r="G20" s="789"/>
    </row>
    <row r="21" spans="1:7">
      <c r="A21" s="253">
        <v>14</v>
      </c>
      <c r="B21" s="254" t="s">
        <v>358</v>
      </c>
      <c r="C21" s="790"/>
      <c r="D21" s="790"/>
      <c r="E21" s="790"/>
      <c r="F21" s="790"/>
      <c r="G21" s="793">
        <f>SUM(G8,G11,G14,G17,G18)</f>
        <v>325614716.33225328</v>
      </c>
    </row>
    <row r="22" spans="1:7">
      <c r="A22" s="255"/>
      <c r="B22" s="256" t="s">
        <v>359</v>
      </c>
      <c r="C22" s="257"/>
      <c r="D22" s="258"/>
      <c r="E22" s="257"/>
      <c r="F22" s="257"/>
      <c r="G22" s="259"/>
    </row>
    <row r="23" spans="1:7">
      <c r="A23" s="250">
        <v>15</v>
      </c>
      <c r="B23" s="251" t="s">
        <v>360</v>
      </c>
      <c r="C23" s="794">
        <v>211731923.64977545</v>
      </c>
      <c r="D23" s="795">
        <v>0</v>
      </c>
      <c r="E23" s="794">
        <v>0</v>
      </c>
      <c r="F23" s="794">
        <v>0</v>
      </c>
      <c r="G23" s="789">
        <v>7115188.0378705654</v>
      </c>
    </row>
    <row r="24" spans="1:7">
      <c r="A24" s="250">
        <v>16</v>
      </c>
      <c r="B24" s="251" t="s">
        <v>361</v>
      </c>
      <c r="C24" s="786">
        <f>SUM(C25:C27,C29,C31)</f>
        <v>863609.62472233619</v>
      </c>
      <c r="D24" s="792">
        <f t="shared" ref="D24:G24" si="3">SUM(D25:D27,D29,D31)</f>
        <v>144411328.78400567</v>
      </c>
      <c r="E24" s="786">
        <f t="shared" si="3"/>
        <v>132826317.30351365</v>
      </c>
      <c r="F24" s="786">
        <f t="shared" si="3"/>
        <v>118835412.71100366</v>
      </c>
      <c r="G24" s="787">
        <f t="shared" si="3"/>
        <v>234705402.77872461</v>
      </c>
    </row>
    <row r="25" spans="1:7">
      <c r="A25" s="250">
        <v>17</v>
      </c>
      <c r="B25" s="252" t="s">
        <v>362</v>
      </c>
      <c r="C25" s="788"/>
      <c r="D25" s="791"/>
      <c r="E25" s="788"/>
      <c r="F25" s="788"/>
      <c r="G25" s="789">
        <v>0</v>
      </c>
    </row>
    <row r="26" spans="1:7" ht="26.25">
      <c r="A26" s="250">
        <v>18</v>
      </c>
      <c r="B26" s="252" t="s">
        <v>363</v>
      </c>
      <c r="C26" s="788">
        <v>863609.62472233619</v>
      </c>
      <c r="D26" s="791">
        <v>16143607.180275457</v>
      </c>
      <c r="E26" s="788">
        <v>50718616.222663425</v>
      </c>
      <c r="F26" s="788">
        <v>0</v>
      </c>
      <c r="G26" s="789">
        <v>27910390.632081382</v>
      </c>
    </row>
    <row r="27" spans="1:7">
      <c r="A27" s="250">
        <v>19</v>
      </c>
      <c r="B27" s="252" t="s">
        <v>364</v>
      </c>
      <c r="C27" s="788">
        <v>0</v>
      </c>
      <c r="D27" s="791">
        <v>128035799.69534317</v>
      </c>
      <c r="E27" s="788">
        <v>81880937.048570231</v>
      </c>
      <c r="F27" s="788">
        <v>55750601.95682963</v>
      </c>
      <c r="G27" s="789">
        <v>152943580.03526175</v>
      </c>
    </row>
    <row r="28" spans="1:7">
      <c r="A28" s="250">
        <v>20</v>
      </c>
      <c r="B28" s="260" t="s">
        <v>365</v>
      </c>
      <c r="C28" s="788"/>
      <c r="D28" s="791"/>
      <c r="E28" s="788"/>
      <c r="F28" s="788"/>
      <c r="G28" s="789"/>
    </row>
    <row r="29" spans="1:7">
      <c r="A29" s="250">
        <v>21</v>
      </c>
      <c r="B29" s="252" t="s">
        <v>366</v>
      </c>
      <c r="C29" s="788">
        <v>0</v>
      </c>
      <c r="D29" s="791">
        <v>231921.90838703065</v>
      </c>
      <c r="E29" s="788">
        <v>226764.03227999993</v>
      </c>
      <c r="F29" s="788">
        <v>992459.72543800052</v>
      </c>
      <c r="G29" s="789">
        <v>1072933.7369558157</v>
      </c>
    </row>
    <row r="30" spans="1:7">
      <c r="A30" s="250">
        <v>22</v>
      </c>
      <c r="B30" s="260" t="s">
        <v>365</v>
      </c>
      <c r="C30" s="788"/>
      <c r="D30" s="791"/>
      <c r="E30" s="788"/>
      <c r="F30" s="788"/>
      <c r="G30" s="789"/>
    </row>
    <row r="31" spans="1:7">
      <c r="A31" s="250">
        <v>23</v>
      </c>
      <c r="B31" s="252" t="s">
        <v>367</v>
      </c>
      <c r="C31" s="788"/>
      <c r="D31" s="791"/>
      <c r="E31" s="788"/>
      <c r="F31" s="788">
        <v>62092351.02873604</v>
      </c>
      <c r="G31" s="789">
        <v>52778498.374425635</v>
      </c>
    </row>
    <row r="32" spans="1:7">
      <c r="A32" s="250">
        <v>24</v>
      </c>
      <c r="B32" s="251" t="s">
        <v>368</v>
      </c>
      <c r="C32" s="788">
        <v>0</v>
      </c>
      <c r="D32" s="791"/>
      <c r="E32" s="788"/>
      <c r="F32" s="788"/>
      <c r="G32" s="789">
        <v>0</v>
      </c>
    </row>
    <row r="33" spans="1:7">
      <c r="A33" s="250">
        <v>25</v>
      </c>
      <c r="B33" s="251" t="s">
        <v>369</v>
      </c>
      <c r="C33" s="786">
        <f>SUM(C34:C35)</f>
        <v>12874447.747010836</v>
      </c>
      <c r="D33" s="786">
        <f>SUM(D34:D35)</f>
        <v>1000000</v>
      </c>
      <c r="E33" s="786">
        <f>SUM(E34:E35)</f>
        <v>194400</v>
      </c>
      <c r="F33" s="786">
        <f>SUM(F34:F35)</f>
        <v>907376.32485199545</v>
      </c>
      <c r="G33" s="787">
        <f>SUM(G34:G35)</f>
        <v>13781824.07186283</v>
      </c>
    </row>
    <row r="34" spans="1:7">
      <c r="A34" s="250">
        <v>26</v>
      </c>
      <c r="B34" s="252" t="s">
        <v>370</v>
      </c>
      <c r="C34" s="790"/>
      <c r="D34" s="791"/>
      <c r="E34" s="788"/>
      <c r="F34" s="788"/>
      <c r="G34" s="789"/>
    </row>
    <row r="35" spans="1:7">
      <c r="A35" s="250">
        <v>27</v>
      </c>
      <c r="B35" s="252" t="s">
        <v>371</v>
      </c>
      <c r="C35" s="788">
        <v>12874447.747010836</v>
      </c>
      <c r="D35" s="791">
        <v>1000000</v>
      </c>
      <c r="E35" s="788">
        <v>194400</v>
      </c>
      <c r="F35" s="788">
        <v>907376.32485199545</v>
      </c>
      <c r="G35" s="789">
        <v>13781824.07186283</v>
      </c>
    </row>
    <row r="36" spans="1:7">
      <c r="A36" s="250">
        <v>28</v>
      </c>
      <c r="B36" s="251" t="s">
        <v>372</v>
      </c>
      <c r="C36" s="788">
        <v>0</v>
      </c>
      <c r="D36" s="791">
        <v>43190219.299437113</v>
      </c>
      <c r="E36" s="788">
        <v>34415147.289935321</v>
      </c>
      <c r="F36" s="788">
        <v>42119861.296815977</v>
      </c>
      <c r="G36" s="789">
        <v>14078515.853459641</v>
      </c>
    </row>
    <row r="37" spans="1:7">
      <c r="A37" s="253">
        <v>29</v>
      </c>
      <c r="B37" s="254" t="s">
        <v>373</v>
      </c>
      <c r="C37" s="790"/>
      <c r="D37" s="790"/>
      <c r="E37" s="790"/>
      <c r="F37" s="790"/>
      <c r="G37" s="793">
        <f>SUM(G23:G24,G32:G33,G36)</f>
        <v>269680930.74191761</v>
      </c>
    </row>
    <row r="38" spans="1:7">
      <c r="A38" s="246"/>
      <c r="B38" s="261"/>
      <c r="C38" s="262"/>
      <c r="D38" s="262"/>
      <c r="E38" s="262"/>
      <c r="F38" s="262"/>
      <c r="G38" s="263"/>
    </row>
    <row r="39" spans="1:7" ht="15.75" thickBot="1">
      <c r="A39" s="264">
        <v>30</v>
      </c>
      <c r="B39" s="265" t="s">
        <v>374</v>
      </c>
      <c r="C39" s="727"/>
      <c r="D39" s="728"/>
      <c r="E39" s="728"/>
      <c r="F39" s="729"/>
      <c r="G39" s="796">
        <f>IFERROR(G21/G37,0)</f>
        <v>1.2074072699039438</v>
      </c>
    </row>
    <row r="42" spans="1:7" ht="39">
      <c r="B42" s="238"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Normal="100" workbookViewId="0">
      <selection activeCell="A5" sqref="A5:B7"/>
    </sheetView>
  </sheetViews>
  <sheetFormatPr defaultColWidth="9.140625" defaultRowHeight="12.75"/>
  <cols>
    <col min="1" max="1" width="11.85546875" style="286" bestFit="1" customWidth="1"/>
    <col min="2" max="2" width="82.7109375" style="286" customWidth="1"/>
    <col min="3" max="3" width="14.28515625" style="286" bestFit="1" customWidth="1"/>
    <col min="4" max="4" width="15.28515625" style="286" bestFit="1" customWidth="1"/>
    <col min="5" max="5" width="17.5703125" style="286" bestFit="1" customWidth="1"/>
    <col min="6" max="6" width="14.28515625" style="286" bestFit="1" customWidth="1"/>
    <col min="7" max="7" width="30.42578125" style="286" customWidth="1"/>
    <col min="8" max="8" width="12.5703125" style="286" bestFit="1" customWidth="1"/>
    <col min="9" max="16384" width="9.140625" style="286"/>
  </cols>
  <sheetData>
    <row r="1" spans="1:8" ht="13.5">
      <c r="A1" s="269" t="s">
        <v>30</v>
      </c>
      <c r="B1" s="445" t="str">
        <f>'Info '!C2</f>
        <v>JSC Isbank Georgia</v>
      </c>
    </row>
    <row r="2" spans="1:8" ht="13.5">
      <c r="A2" s="270" t="s">
        <v>31</v>
      </c>
      <c r="B2" s="446">
        <f>'1. key ratios '!B2</f>
        <v>46112</v>
      </c>
    </row>
    <row r="3" spans="1:8">
      <c r="A3" s="271" t="s">
        <v>380</v>
      </c>
    </row>
    <row r="4" spans="1:8" ht="13.5" thickBot="1"/>
    <row r="5" spans="1:8" ht="12" customHeight="1">
      <c r="A5" s="958" t="s">
        <v>381</v>
      </c>
      <c r="B5" s="959"/>
      <c r="C5" s="964" t="s">
        <v>382</v>
      </c>
      <c r="D5" s="965"/>
      <c r="E5" s="965"/>
      <c r="F5" s="965"/>
      <c r="G5" s="965"/>
      <c r="H5" s="966"/>
    </row>
    <row r="6" spans="1:8">
      <c r="A6" s="960"/>
      <c r="B6" s="961"/>
      <c r="C6" s="967"/>
      <c r="D6" s="968"/>
      <c r="E6" s="968"/>
      <c r="F6" s="968"/>
      <c r="G6" s="968"/>
      <c r="H6" s="969"/>
    </row>
    <row r="7" spans="1:8" ht="13.5" thickBot="1">
      <c r="A7" s="962"/>
      <c r="B7" s="963"/>
      <c r="C7" s="806" t="s">
        <v>383</v>
      </c>
      <c r="D7" s="806" t="s">
        <v>384</v>
      </c>
      <c r="E7" s="806" t="s">
        <v>385</v>
      </c>
      <c r="F7" s="806" t="s">
        <v>386</v>
      </c>
      <c r="G7" s="806" t="s">
        <v>387</v>
      </c>
      <c r="H7" s="807" t="s">
        <v>64</v>
      </c>
    </row>
    <row r="8" spans="1:8" ht="13.5" thickTop="1">
      <c r="A8" s="804">
        <v>1</v>
      </c>
      <c r="B8" s="805" t="s">
        <v>51</v>
      </c>
      <c r="C8" s="808">
        <v>73077911.824082449</v>
      </c>
      <c r="D8" s="808">
        <v>22962899.778448913</v>
      </c>
      <c r="E8" s="808">
        <v>0</v>
      </c>
      <c r="F8" s="808">
        <v>27225957.905575313</v>
      </c>
      <c r="G8" s="808"/>
      <c r="H8" s="809">
        <f t="shared" ref="H8:H21" si="0">SUM(C8:G8)</f>
        <v>123266769.50810668</v>
      </c>
    </row>
    <row r="9" spans="1:8">
      <c r="A9" s="797">
        <v>2</v>
      </c>
      <c r="B9" s="798" t="s">
        <v>52</v>
      </c>
      <c r="C9" s="810"/>
      <c r="D9" s="810"/>
      <c r="E9" s="810"/>
      <c r="F9" s="810"/>
      <c r="G9" s="810"/>
      <c r="H9" s="811">
        <f t="shared" si="0"/>
        <v>0</v>
      </c>
    </row>
    <row r="10" spans="1:8">
      <c r="A10" s="797">
        <v>3</v>
      </c>
      <c r="B10" s="798" t="s">
        <v>152</v>
      </c>
      <c r="C10" s="810"/>
      <c r="D10" s="810"/>
      <c r="E10" s="810"/>
      <c r="F10" s="810"/>
      <c r="G10" s="810"/>
      <c r="H10" s="811">
        <f t="shared" si="0"/>
        <v>0</v>
      </c>
    </row>
    <row r="11" spans="1:8">
      <c r="A11" s="797">
        <v>4</v>
      </c>
      <c r="B11" s="798" t="s">
        <v>53</v>
      </c>
      <c r="C11" s="810"/>
      <c r="D11" s="810"/>
      <c r="E11" s="810"/>
      <c r="F11" s="810"/>
      <c r="G11" s="810"/>
      <c r="H11" s="811">
        <f t="shared" si="0"/>
        <v>0</v>
      </c>
    </row>
    <row r="12" spans="1:8">
      <c r="A12" s="797">
        <v>5</v>
      </c>
      <c r="B12" s="798" t="s">
        <v>54</v>
      </c>
      <c r="C12" s="810"/>
      <c r="D12" s="810"/>
      <c r="E12" s="810"/>
      <c r="F12" s="810"/>
      <c r="G12" s="810"/>
      <c r="H12" s="811">
        <f t="shared" si="0"/>
        <v>0</v>
      </c>
    </row>
    <row r="13" spans="1:8">
      <c r="A13" s="797">
        <v>6</v>
      </c>
      <c r="B13" s="798" t="s">
        <v>55</v>
      </c>
      <c r="C13" s="810">
        <v>61888596.278432421</v>
      </c>
      <c r="D13" s="810">
        <v>9757201.8941043504</v>
      </c>
      <c r="E13" s="810">
        <v>0</v>
      </c>
      <c r="F13" s="810">
        <v>0</v>
      </c>
      <c r="G13" s="810"/>
      <c r="H13" s="811">
        <f t="shared" si="0"/>
        <v>71645798.172536775</v>
      </c>
    </row>
    <row r="14" spans="1:8">
      <c r="A14" s="797">
        <v>7</v>
      </c>
      <c r="B14" s="798" t="s">
        <v>56</v>
      </c>
      <c r="C14" s="810"/>
      <c r="D14" s="810">
        <v>246734718.96569148</v>
      </c>
      <c r="E14" s="810">
        <v>149807334.3598797</v>
      </c>
      <c r="F14" s="810">
        <v>15055350.950049834</v>
      </c>
      <c r="G14" s="810">
        <v>2828340.7957518296</v>
      </c>
      <c r="H14" s="811">
        <f t="shared" si="0"/>
        <v>414425745.07137281</v>
      </c>
    </row>
    <row r="15" spans="1:8">
      <c r="A15" s="797">
        <v>8</v>
      </c>
      <c r="B15" s="799" t="s">
        <v>57</v>
      </c>
      <c r="C15" s="810"/>
      <c r="D15" s="810"/>
      <c r="E15" s="810"/>
      <c r="F15" s="810"/>
      <c r="G15" s="810"/>
      <c r="H15" s="811">
        <f t="shared" si="0"/>
        <v>0</v>
      </c>
    </row>
    <row r="16" spans="1:8">
      <c r="A16" s="797">
        <v>9</v>
      </c>
      <c r="B16" s="798" t="s">
        <v>58</v>
      </c>
      <c r="C16" s="810"/>
      <c r="D16" s="810"/>
      <c r="E16" s="810"/>
      <c r="F16" s="810"/>
      <c r="G16" s="810"/>
      <c r="H16" s="811">
        <f t="shared" si="0"/>
        <v>0</v>
      </c>
    </row>
    <row r="17" spans="1:8">
      <c r="A17" s="797">
        <v>10</v>
      </c>
      <c r="B17" s="800" t="s">
        <v>395</v>
      </c>
      <c r="C17" s="810"/>
      <c r="D17" s="810">
        <v>0</v>
      </c>
      <c r="E17" s="810">
        <v>0</v>
      </c>
      <c r="F17" s="810">
        <v>0</v>
      </c>
      <c r="G17" s="810">
        <v>140862.9448519951</v>
      </c>
      <c r="H17" s="811">
        <f t="shared" si="0"/>
        <v>140862.9448519951</v>
      </c>
    </row>
    <row r="18" spans="1:8">
      <c r="A18" s="797">
        <v>11</v>
      </c>
      <c r="B18" s="798" t="s">
        <v>60</v>
      </c>
      <c r="C18" s="810"/>
      <c r="D18" s="810">
        <v>0</v>
      </c>
      <c r="E18" s="810">
        <v>0</v>
      </c>
      <c r="F18" s="810">
        <v>0</v>
      </c>
      <c r="G18" s="810">
        <v>0</v>
      </c>
      <c r="H18" s="811">
        <f t="shared" si="0"/>
        <v>0</v>
      </c>
    </row>
    <row r="19" spans="1:8">
      <c r="A19" s="797">
        <v>12</v>
      </c>
      <c r="B19" s="798" t="s">
        <v>61</v>
      </c>
      <c r="C19" s="810"/>
      <c r="D19" s="810"/>
      <c r="E19" s="810"/>
      <c r="F19" s="810"/>
      <c r="G19" s="810"/>
      <c r="H19" s="811">
        <f t="shared" si="0"/>
        <v>0</v>
      </c>
    </row>
    <row r="20" spans="1:8">
      <c r="A20" s="801">
        <v>13</v>
      </c>
      <c r="B20" s="799" t="s">
        <v>144</v>
      </c>
      <c r="C20" s="810"/>
      <c r="D20" s="810"/>
      <c r="E20" s="810"/>
      <c r="F20" s="810"/>
      <c r="G20" s="810"/>
      <c r="H20" s="811">
        <f t="shared" si="0"/>
        <v>0</v>
      </c>
    </row>
    <row r="21" spans="1:8">
      <c r="A21" s="797">
        <v>14</v>
      </c>
      <c r="B21" s="798" t="s">
        <v>63</v>
      </c>
      <c r="C21" s="810">
        <v>1457524.672</v>
      </c>
      <c r="D21" s="810">
        <v>567606.877230593</v>
      </c>
      <c r="E21" s="810">
        <v>3406929.7635125741</v>
      </c>
      <c r="F21" s="810">
        <v>1101575.5119555152</v>
      </c>
      <c r="G21" s="810">
        <v>12880140.171886833</v>
      </c>
      <c r="H21" s="811">
        <f t="shared" si="0"/>
        <v>19413776.996585518</v>
      </c>
    </row>
    <row r="22" spans="1:8" ht="13.5" thickBot="1">
      <c r="A22" s="802">
        <v>15</v>
      </c>
      <c r="B22" s="803" t="s">
        <v>64</v>
      </c>
      <c r="C22" s="812">
        <f>SUM(C18:C21)+SUM(C8:C16)</f>
        <v>136424032.77451485</v>
      </c>
      <c r="D22" s="812">
        <f t="shared" ref="D22:H22" si="1">SUM(D18:D21)+SUM(D8:D16)</f>
        <v>280022427.51547533</v>
      </c>
      <c r="E22" s="812">
        <f t="shared" si="1"/>
        <v>153214264.12339228</v>
      </c>
      <c r="F22" s="812">
        <f t="shared" si="1"/>
        <v>43382884.36758066</v>
      </c>
      <c r="G22" s="812">
        <f t="shared" si="1"/>
        <v>15708480.967638664</v>
      </c>
      <c r="H22" s="813">
        <f t="shared" si="1"/>
        <v>628752089.74860179</v>
      </c>
    </row>
    <row r="26" spans="1:8" ht="38.25">
      <c r="B26" s="275"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A5" sqref="A5:B6"/>
    </sheetView>
  </sheetViews>
  <sheetFormatPr defaultColWidth="9.140625" defaultRowHeight="12.75"/>
  <cols>
    <col min="1" max="1" width="11.85546875" style="289" bestFit="1" customWidth="1"/>
    <col min="2" max="2" width="86.85546875" style="286" customWidth="1"/>
    <col min="3" max="4" width="31.5703125" style="286" customWidth="1"/>
    <col min="5" max="5" width="15.140625" style="272" bestFit="1" customWidth="1"/>
    <col min="6" max="6" width="11.85546875" style="272" bestFit="1" customWidth="1"/>
    <col min="7" max="7" width="21.5703125" style="286" bestFit="1" customWidth="1"/>
    <col min="8" max="8" width="41.42578125" style="286" customWidth="1"/>
    <col min="9" max="16384" width="9.140625" style="286"/>
  </cols>
  <sheetData>
    <row r="1" spans="1:8" ht="13.5">
      <c r="A1" s="269" t="s">
        <v>30</v>
      </c>
      <c r="B1" s="445" t="str">
        <f>'Info '!C2</f>
        <v>JSC Isbank Georgia</v>
      </c>
      <c r="C1" s="297"/>
      <c r="D1" s="297"/>
      <c r="E1" s="297"/>
      <c r="F1" s="297"/>
      <c r="G1" s="297"/>
      <c r="H1" s="297"/>
    </row>
    <row r="2" spans="1:8" ht="13.5">
      <c r="A2" s="270" t="s">
        <v>31</v>
      </c>
      <c r="B2" s="446">
        <f>'1. key ratios '!B2</f>
        <v>46112</v>
      </c>
      <c r="C2" s="297"/>
      <c r="D2" s="297"/>
      <c r="E2" s="297"/>
      <c r="F2" s="297"/>
      <c r="G2" s="297"/>
      <c r="H2" s="297"/>
    </row>
    <row r="3" spans="1:8">
      <c r="A3" s="271" t="s">
        <v>388</v>
      </c>
      <c r="B3" s="297"/>
      <c r="C3" s="297"/>
      <c r="D3" s="297"/>
      <c r="E3" s="297"/>
      <c r="F3" s="297"/>
      <c r="G3" s="297"/>
      <c r="H3" s="297"/>
    </row>
    <row r="4" spans="1:8" ht="13.5" thickBot="1">
      <c r="A4" s="298"/>
      <c r="B4" s="297"/>
      <c r="C4" s="814" t="s">
        <v>0</v>
      </c>
      <c r="D4" s="814" t="s">
        <v>1</v>
      </c>
      <c r="E4" s="814" t="s">
        <v>2</v>
      </c>
      <c r="F4" s="814" t="s">
        <v>3</v>
      </c>
      <c r="G4" s="814" t="s">
        <v>4</v>
      </c>
      <c r="H4" s="814" t="s">
        <v>5</v>
      </c>
    </row>
    <row r="5" spans="1:8" ht="41.25" customHeight="1">
      <c r="A5" s="958" t="s">
        <v>389</v>
      </c>
      <c r="B5" s="959"/>
      <c r="C5" s="974" t="s">
        <v>390</v>
      </c>
      <c r="D5" s="974"/>
      <c r="E5" s="974" t="s">
        <v>627</v>
      </c>
      <c r="F5" s="970" t="s">
        <v>391</v>
      </c>
      <c r="G5" s="970" t="s">
        <v>392</v>
      </c>
      <c r="H5" s="815" t="s">
        <v>626</v>
      </c>
    </row>
    <row r="6" spans="1:8" ht="25.5">
      <c r="A6" s="972"/>
      <c r="B6" s="973"/>
      <c r="C6" s="816" t="s">
        <v>393</v>
      </c>
      <c r="D6" s="816" t="s">
        <v>394</v>
      </c>
      <c r="E6" s="975"/>
      <c r="F6" s="971"/>
      <c r="G6" s="971"/>
      <c r="H6" s="817" t="s">
        <v>625</v>
      </c>
    </row>
    <row r="7" spans="1:8">
      <c r="A7" s="818">
        <v>1</v>
      </c>
      <c r="B7" s="798" t="s">
        <v>51</v>
      </c>
      <c r="C7" s="829">
        <v>0</v>
      </c>
      <c r="D7" s="829">
        <v>123640328.23568097</v>
      </c>
      <c r="E7" s="830">
        <v>373558.72757429245</v>
      </c>
      <c r="F7" s="830"/>
      <c r="G7" s="829"/>
      <c r="H7" s="834">
        <f>C7+D7-E7-F7</f>
        <v>123266769.50810668</v>
      </c>
    </row>
    <row r="8" spans="1:8">
      <c r="A8" s="818">
        <v>2</v>
      </c>
      <c r="B8" s="798" t="s">
        <v>52</v>
      </c>
      <c r="C8" s="829"/>
      <c r="D8" s="829"/>
      <c r="E8" s="830"/>
      <c r="F8" s="830"/>
      <c r="G8" s="829"/>
      <c r="H8" s="834">
        <f t="shared" ref="H8:H20" si="0">C8+D8-E8-F8</f>
        <v>0</v>
      </c>
    </row>
    <row r="9" spans="1:8">
      <c r="A9" s="818">
        <v>3</v>
      </c>
      <c r="B9" s="798" t="s">
        <v>152</v>
      </c>
      <c r="C9" s="829"/>
      <c r="D9" s="829"/>
      <c r="E9" s="830"/>
      <c r="F9" s="830"/>
      <c r="G9" s="829"/>
      <c r="H9" s="834">
        <f t="shared" si="0"/>
        <v>0</v>
      </c>
    </row>
    <row r="10" spans="1:8">
      <c r="A10" s="818">
        <v>4</v>
      </c>
      <c r="B10" s="798" t="s">
        <v>53</v>
      </c>
      <c r="C10" s="829"/>
      <c r="D10" s="829"/>
      <c r="E10" s="830"/>
      <c r="F10" s="830"/>
      <c r="G10" s="829"/>
      <c r="H10" s="834">
        <f t="shared" si="0"/>
        <v>0</v>
      </c>
    </row>
    <row r="11" spans="1:8">
      <c r="A11" s="818">
        <v>5</v>
      </c>
      <c r="B11" s="798" t="s">
        <v>54</v>
      </c>
      <c r="C11" s="829">
        <v>0</v>
      </c>
      <c r="D11" s="829"/>
      <c r="E11" s="830"/>
      <c r="F11" s="830"/>
      <c r="G11" s="829"/>
      <c r="H11" s="834">
        <f t="shared" si="0"/>
        <v>0</v>
      </c>
    </row>
    <row r="12" spans="1:8">
      <c r="A12" s="818">
        <v>6</v>
      </c>
      <c r="B12" s="798" t="s">
        <v>55</v>
      </c>
      <c r="C12" s="829">
        <v>0</v>
      </c>
      <c r="D12" s="829">
        <v>71812647.525178269</v>
      </c>
      <c r="E12" s="830">
        <v>166849.35264151698</v>
      </c>
      <c r="F12" s="830"/>
      <c r="G12" s="829"/>
      <c r="H12" s="834">
        <f t="shared" si="0"/>
        <v>71645798.172536746</v>
      </c>
    </row>
    <row r="13" spans="1:8">
      <c r="A13" s="818">
        <v>7</v>
      </c>
      <c r="B13" s="798" t="s">
        <v>56</v>
      </c>
      <c r="C13" s="829">
        <v>633392.44891400007</v>
      </c>
      <c r="D13" s="829">
        <v>416051596.93968248</v>
      </c>
      <c r="E13" s="830">
        <v>2259244.3172236881</v>
      </c>
      <c r="F13" s="830"/>
      <c r="G13" s="829"/>
      <c r="H13" s="834">
        <f t="shared" si="0"/>
        <v>414425745.07137281</v>
      </c>
    </row>
    <row r="14" spans="1:8">
      <c r="A14" s="818">
        <v>8</v>
      </c>
      <c r="B14" s="799" t="s">
        <v>57</v>
      </c>
      <c r="C14" s="829"/>
      <c r="D14" s="829"/>
      <c r="E14" s="830"/>
      <c r="F14" s="830"/>
      <c r="G14" s="829"/>
      <c r="H14" s="834">
        <f t="shared" si="0"/>
        <v>0</v>
      </c>
    </row>
    <row r="15" spans="1:8">
      <c r="A15" s="818">
        <v>9</v>
      </c>
      <c r="B15" s="798" t="s">
        <v>58</v>
      </c>
      <c r="C15" s="829"/>
      <c r="D15" s="829"/>
      <c r="E15" s="830"/>
      <c r="F15" s="830"/>
      <c r="G15" s="829"/>
      <c r="H15" s="834">
        <f t="shared" si="0"/>
        <v>0</v>
      </c>
    </row>
    <row r="16" spans="1:8">
      <c r="A16" s="818">
        <v>10</v>
      </c>
      <c r="B16" s="800" t="s">
        <v>395</v>
      </c>
      <c r="C16" s="829">
        <v>963772.90274799988</v>
      </c>
      <c r="D16" s="829">
        <v>0</v>
      </c>
      <c r="E16" s="830">
        <v>822909.95789600501</v>
      </c>
      <c r="F16" s="830"/>
      <c r="G16" s="829"/>
      <c r="H16" s="834">
        <f t="shared" si="0"/>
        <v>140862.94485199486</v>
      </c>
    </row>
    <row r="17" spans="1:8">
      <c r="A17" s="818">
        <v>11</v>
      </c>
      <c r="B17" s="798" t="s">
        <v>60</v>
      </c>
      <c r="C17" s="829">
        <v>0</v>
      </c>
      <c r="D17" s="829">
        <v>0</v>
      </c>
      <c r="E17" s="830">
        <v>0</v>
      </c>
      <c r="F17" s="830"/>
      <c r="G17" s="829"/>
      <c r="H17" s="834">
        <f t="shared" si="0"/>
        <v>0</v>
      </c>
    </row>
    <row r="18" spans="1:8">
      <c r="A18" s="818">
        <v>12</v>
      </c>
      <c r="B18" s="798" t="s">
        <v>61</v>
      </c>
      <c r="C18" s="829"/>
      <c r="D18" s="829"/>
      <c r="E18" s="830"/>
      <c r="F18" s="830"/>
      <c r="G18" s="829"/>
      <c r="H18" s="834">
        <f t="shared" si="0"/>
        <v>0</v>
      </c>
    </row>
    <row r="19" spans="1:8">
      <c r="A19" s="821">
        <v>13</v>
      </c>
      <c r="B19" s="799" t="s">
        <v>144</v>
      </c>
      <c r="C19" s="829"/>
      <c r="D19" s="829"/>
      <c r="E19" s="830"/>
      <c r="F19" s="830"/>
      <c r="G19" s="829"/>
      <c r="H19" s="834">
        <f t="shared" si="0"/>
        <v>0</v>
      </c>
    </row>
    <row r="20" spans="1:8">
      <c r="A20" s="818">
        <v>14</v>
      </c>
      <c r="B20" s="798" t="s">
        <v>63</v>
      </c>
      <c r="C20" s="829">
        <v>750829.50613199989</v>
      </c>
      <c r="D20" s="829">
        <v>21525989.423138838</v>
      </c>
      <c r="E20" s="830">
        <v>399451.7426853166</v>
      </c>
      <c r="F20" s="830"/>
      <c r="G20" s="829"/>
      <c r="H20" s="834">
        <f t="shared" si="0"/>
        <v>21877367.186585519</v>
      </c>
    </row>
    <row r="21" spans="1:8" s="292" customFormat="1">
      <c r="A21" s="822">
        <v>15</v>
      </c>
      <c r="B21" s="823" t="s">
        <v>64</v>
      </c>
      <c r="C21" s="831">
        <f t="shared" ref="C21:H21" si="1">SUM(C7:C15)+SUM(C17:C20)</f>
        <v>1384221.955046</v>
      </c>
      <c r="D21" s="831">
        <f t="shared" si="1"/>
        <v>633030562.12368059</v>
      </c>
      <c r="E21" s="831">
        <f t="shared" si="1"/>
        <v>3199104.1401248141</v>
      </c>
      <c r="F21" s="831">
        <f t="shared" si="1"/>
        <v>0</v>
      </c>
      <c r="G21" s="831">
        <f t="shared" si="1"/>
        <v>0</v>
      </c>
      <c r="H21" s="834">
        <f t="shared" si="1"/>
        <v>631215679.93860185</v>
      </c>
    </row>
    <row r="22" spans="1:8">
      <c r="A22" s="824">
        <v>16</v>
      </c>
      <c r="B22" s="825" t="s">
        <v>396</v>
      </c>
      <c r="C22" s="829">
        <v>1017967.3650460001</v>
      </c>
      <c r="D22" s="829">
        <v>326774677.70468783</v>
      </c>
      <c r="E22" s="830">
        <v>2184332.2090548337</v>
      </c>
      <c r="F22" s="830"/>
      <c r="G22" s="829"/>
      <c r="H22" s="834">
        <f>C22+D22-E22-F22</f>
        <v>325608312.86067903</v>
      </c>
    </row>
    <row r="23" spans="1:8" ht="13.5" thickBot="1">
      <c r="A23" s="826">
        <v>17</v>
      </c>
      <c r="B23" s="827" t="s">
        <v>397</v>
      </c>
      <c r="C23" s="832">
        <v>0</v>
      </c>
      <c r="D23" s="832">
        <v>145255122.34826356</v>
      </c>
      <c r="E23" s="833">
        <v>689597.21582631313</v>
      </c>
      <c r="F23" s="833"/>
      <c r="G23" s="832"/>
      <c r="H23" s="835">
        <f>C23+D23-E23-F23</f>
        <v>144565525.13243726</v>
      </c>
    </row>
    <row r="25" spans="1:8">
      <c r="E25" s="286"/>
      <c r="F25" s="286"/>
    </row>
    <row r="26" spans="1:8" ht="42.6" customHeight="1">
      <c r="B26" s="275" t="s">
        <v>482</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80" zoomScaleNormal="80" workbookViewId="0">
      <selection activeCell="A5" sqref="A5:B6"/>
    </sheetView>
  </sheetViews>
  <sheetFormatPr defaultColWidth="9.140625" defaultRowHeight="12.75"/>
  <cols>
    <col min="1" max="1" width="11" style="286" bestFit="1" customWidth="1"/>
    <col min="2" max="2" width="93.42578125" style="286" customWidth="1"/>
    <col min="3" max="3" width="29.140625" style="286" customWidth="1"/>
    <col min="4" max="4" width="35" style="286" customWidth="1"/>
    <col min="5" max="5" width="15.140625" style="286" bestFit="1" customWidth="1"/>
    <col min="6" max="6" width="11.85546875" style="286" bestFit="1" customWidth="1"/>
    <col min="7" max="7" width="22" style="286" customWidth="1"/>
    <col min="8" max="8" width="19.85546875" style="286" customWidth="1"/>
    <col min="9" max="16384" width="9.140625" style="286"/>
  </cols>
  <sheetData>
    <row r="1" spans="1:8" ht="13.5">
      <c r="A1" s="269" t="s">
        <v>30</v>
      </c>
      <c r="B1" s="445" t="str">
        <f>'Info '!C2</f>
        <v>JSC Isbank Georgia</v>
      </c>
      <c r="C1" s="297"/>
      <c r="D1" s="297"/>
      <c r="E1" s="297"/>
      <c r="F1" s="297"/>
      <c r="G1" s="297"/>
      <c r="H1" s="297"/>
    </row>
    <row r="2" spans="1:8" ht="13.5">
      <c r="A2" s="270" t="s">
        <v>31</v>
      </c>
      <c r="B2" s="446">
        <f>'1. key ratios '!B2</f>
        <v>46112</v>
      </c>
      <c r="C2" s="297"/>
      <c r="D2" s="297"/>
      <c r="E2" s="297"/>
      <c r="F2" s="297"/>
      <c r="G2" s="297"/>
      <c r="H2" s="297"/>
    </row>
    <row r="3" spans="1:8">
      <c r="A3" s="271" t="s">
        <v>398</v>
      </c>
      <c r="B3" s="297"/>
      <c r="C3" s="297"/>
      <c r="D3" s="297"/>
      <c r="E3" s="297"/>
      <c r="F3" s="297"/>
      <c r="G3" s="297"/>
      <c r="H3" s="297"/>
    </row>
    <row r="4" spans="1:8">
      <c r="A4" s="298"/>
      <c r="B4" s="297"/>
      <c r="C4" s="296" t="s">
        <v>0</v>
      </c>
      <c r="D4" s="296" t="s">
        <v>1</v>
      </c>
      <c r="E4" s="296" t="s">
        <v>2</v>
      </c>
      <c r="F4" s="296" t="s">
        <v>3</v>
      </c>
      <c r="G4" s="296" t="s">
        <v>4</v>
      </c>
      <c r="H4" s="296" t="s">
        <v>5</v>
      </c>
    </row>
    <row r="5" spans="1:8" ht="41.45" customHeight="1">
      <c r="A5" s="977" t="s">
        <v>389</v>
      </c>
      <c r="B5" s="978"/>
      <c r="C5" s="980" t="s">
        <v>390</v>
      </c>
      <c r="D5" s="980"/>
      <c r="E5" s="980" t="s">
        <v>627</v>
      </c>
      <c r="F5" s="976" t="s">
        <v>391</v>
      </c>
      <c r="G5" s="976" t="s">
        <v>392</v>
      </c>
      <c r="H5" s="294" t="s">
        <v>626</v>
      </c>
    </row>
    <row r="6" spans="1:8" ht="25.5">
      <c r="A6" s="979"/>
      <c r="B6" s="973"/>
      <c r="C6" s="295" t="s">
        <v>393</v>
      </c>
      <c r="D6" s="295" t="s">
        <v>394</v>
      </c>
      <c r="E6" s="980"/>
      <c r="F6" s="971"/>
      <c r="G6" s="971"/>
      <c r="H6" s="294" t="s">
        <v>625</v>
      </c>
    </row>
    <row r="7" spans="1:8">
      <c r="A7" s="290">
        <v>1</v>
      </c>
      <c r="B7" s="303" t="s">
        <v>486</v>
      </c>
      <c r="C7" s="836">
        <v>11936.599999999999</v>
      </c>
      <c r="D7" s="836">
        <v>123909921.67456096</v>
      </c>
      <c r="E7" s="836">
        <v>387659.25380967016</v>
      </c>
      <c r="F7" s="836"/>
      <c r="G7" s="836"/>
      <c r="H7" s="838">
        <f t="shared" ref="H7:H34" si="0">C7+D7-E7-F7</f>
        <v>123534199.02075128</v>
      </c>
    </row>
    <row r="8" spans="1:8">
      <c r="A8" s="290">
        <v>2</v>
      </c>
      <c r="B8" s="303" t="s">
        <v>399</v>
      </c>
      <c r="C8" s="836">
        <v>0</v>
      </c>
      <c r="D8" s="836">
        <v>179781864.48687395</v>
      </c>
      <c r="E8" s="836">
        <v>526728.10214790911</v>
      </c>
      <c r="F8" s="836"/>
      <c r="G8" s="836"/>
      <c r="H8" s="838">
        <f t="shared" si="0"/>
        <v>179255136.38472605</v>
      </c>
    </row>
    <row r="9" spans="1:8">
      <c r="A9" s="290">
        <v>3</v>
      </c>
      <c r="B9" s="303" t="s">
        <v>400</v>
      </c>
      <c r="C9" s="836"/>
      <c r="D9" s="836"/>
      <c r="E9" s="836"/>
      <c r="F9" s="836"/>
      <c r="G9" s="836"/>
      <c r="H9" s="838">
        <f t="shared" si="0"/>
        <v>0</v>
      </c>
    </row>
    <row r="10" spans="1:8">
      <c r="A10" s="290">
        <v>4</v>
      </c>
      <c r="B10" s="303" t="s">
        <v>487</v>
      </c>
      <c r="C10" s="836">
        <v>0</v>
      </c>
      <c r="D10" s="836">
        <v>13896133.879657999</v>
      </c>
      <c r="E10" s="836">
        <v>40948.263462978226</v>
      </c>
      <c r="F10" s="836"/>
      <c r="G10" s="836"/>
      <c r="H10" s="838">
        <f t="shared" si="0"/>
        <v>13855185.616195021</v>
      </c>
    </row>
    <row r="11" spans="1:8">
      <c r="A11" s="290">
        <v>5</v>
      </c>
      <c r="B11" s="303" t="s">
        <v>401</v>
      </c>
      <c r="C11" s="836">
        <v>0</v>
      </c>
      <c r="D11" s="836">
        <v>12242196.86716</v>
      </c>
      <c r="E11" s="836">
        <v>100829.75293224239</v>
      </c>
      <c r="F11" s="836"/>
      <c r="G11" s="836"/>
      <c r="H11" s="838">
        <f t="shared" si="0"/>
        <v>12141367.114227757</v>
      </c>
    </row>
    <row r="12" spans="1:8">
      <c r="A12" s="290">
        <v>6</v>
      </c>
      <c r="B12" s="303" t="s">
        <v>402</v>
      </c>
      <c r="C12" s="836">
        <v>145875.54997600001</v>
      </c>
      <c r="D12" s="836">
        <v>2025730.4973200001</v>
      </c>
      <c r="E12" s="836">
        <v>12167.221047320898</v>
      </c>
      <c r="F12" s="836"/>
      <c r="G12" s="836"/>
      <c r="H12" s="838">
        <f t="shared" si="0"/>
        <v>2159438.8262486793</v>
      </c>
    </row>
    <row r="13" spans="1:8">
      <c r="A13" s="290">
        <v>7</v>
      </c>
      <c r="B13" s="303" t="s">
        <v>403</v>
      </c>
      <c r="C13" s="836">
        <v>0</v>
      </c>
      <c r="D13" s="836">
        <v>65465639.546646006</v>
      </c>
      <c r="E13" s="836">
        <v>168455.99080665526</v>
      </c>
      <c r="F13" s="836"/>
      <c r="G13" s="836"/>
      <c r="H13" s="838">
        <f t="shared" si="0"/>
        <v>65297183.555839352</v>
      </c>
    </row>
    <row r="14" spans="1:8">
      <c r="A14" s="290">
        <v>8</v>
      </c>
      <c r="B14" s="303" t="s">
        <v>404</v>
      </c>
      <c r="C14" s="836">
        <v>0</v>
      </c>
      <c r="D14" s="836">
        <v>1054152.064122</v>
      </c>
      <c r="E14" s="836">
        <v>5472.005529754093</v>
      </c>
      <c r="F14" s="836"/>
      <c r="G14" s="836"/>
      <c r="H14" s="838">
        <f t="shared" si="0"/>
        <v>1048680.0585922459</v>
      </c>
    </row>
    <row r="15" spans="1:8">
      <c r="A15" s="290">
        <v>9</v>
      </c>
      <c r="B15" s="303" t="s">
        <v>405</v>
      </c>
      <c r="C15" s="836">
        <v>0</v>
      </c>
      <c r="D15" s="836">
        <v>0</v>
      </c>
      <c r="E15" s="836">
        <v>0</v>
      </c>
      <c r="F15" s="836"/>
      <c r="G15" s="836"/>
      <c r="H15" s="838">
        <f t="shared" si="0"/>
        <v>0</v>
      </c>
    </row>
    <row r="16" spans="1:8">
      <c r="A16" s="290">
        <v>10</v>
      </c>
      <c r="B16" s="303" t="s">
        <v>406</v>
      </c>
      <c r="C16" s="836">
        <v>490385.68954400008</v>
      </c>
      <c r="D16" s="836">
        <v>13067901.970492002</v>
      </c>
      <c r="E16" s="836">
        <v>575315.20275723503</v>
      </c>
      <c r="F16" s="836"/>
      <c r="G16" s="836"/>
      <c r="H16" s="838">
        <f t="shared" si="0"/>
        <v>12982972.457278766</v>
      </c>
    </row>
    <row r="17" spans="1:9">
      <c r="A17" s="290">
        <v>11</v>
      </c>
      <c r="B17" s="303" t="s">
        <v>407</v>
      </c>
      <c r="C17" s="836">
        <v>17330.57</v>
      </c>
      <c r="D17" s="836">
        <v>18183102.66</v>
      </c>
      <c r="E17" s="836">
        <v>43105.947780185918</v>
      </c>
      <c r="F17" s="836"/>
      <c r="G17" s="836"/>
      <c r="H17" s="838">
        <f t="shared" si="0"/>
        <v>18157327.282219816</v>
      </c>
    </row>
    <row r="18" spans="1:9">
      <c r="A18" s="290">
        <v>12</v>
      </c>
      <c r="B18" s="303" t="s">
        <v>408</v>
      </c>
      <c r="C18" s="836">
        <v>17840.359393999999</v>
      </c>
      <c r="D18" s="836">
        <v>31301152.896504004</v>
      </c>
      <c r="E18" s="836">
        <v>157935.8665255685</v>
      </c>
      <c r="F18" s="836"/>
      <c r="G18" s="836"/>
      <c r="H18" s="838">
        <f t="shared" si="0"/>
        <v>31161057.389372434</v>
      </c>
    </row>
    <row r="19" spans="1:9">
      <c r="A19" s="290">
        <v>13</v>
      </c>
      <c r="B19" s="303" t="s">
        <v>409</v>
      </c>
      <c r="C19" s="836">
        <v>27744.03</v>
      </c>
      <c r="D19" s="836">
        <v>446560.08</v>
      </c>
      <c r="E19" s="836">
        <v>22767.404054191171</v>
      </c>
      <c r="F19" s="836"/>
      <c r="G19" s="836"/>
      <c r="H19" s="838">
        <f t="shared" si="0"/>
        <v>451536.70594580879</v>
      </c>
    </row>
    <row r="20" spans="1:9">
      <c r="A20" s="290">
        <v>14</v>
      </c>
      <c r="B20" s="303" t="s">
        <v>410</v>
      </c>
      <c r="C20" s="836">
        <v>124135.31383400002</v>
      </c>
      <c r="D20" s="836">
        <v>833005.20134000015</v>
      </c>
      <c r="E20" s="836">
        <v>124135.68434208263</v>
      </c>
      <c r="F20" s="836"/>
      <c r="G20" s="836"/>
      <c r="H20" s="838">
        <f t="shared" si="0"/>
        <v>833004.83083191758</v>
      </c>
    </row>
    <row r="21" spans="1:9">
      <c r="A21" s="290">
        <v>15</v>
      </c>
      <c r="B21" s="303" t="s">
        <v>411</v>
      </c>
      <c r="C21" s="836">
        <v>0</v>
      </c>
      <c r="D21" s="836">
        <v>10012054.800000001</v>
      </c>
      <c r="E21" s="836">
        <v>52823.368789469474</v>
      </c>
      <c r="F21" s="836"/>
      <c r="G21" s="836"/>
      <c r="H21" s="838">
        <f t="shared" si="0"/>
        <v>9959231.4312105309</v>
      </c>
    </row>
    <row r="22" spans="1:9">
      <c r="A22" s="290">
        <v>16</v>
      </c>
      <c r="B22" s="303" t="s">
        <v>412</v>
      </c>
      <c r="C22" s="836">
        <v>0</v>
      </c>
      <c r="D22" s="836">
        <v>0</v>
      </c>
      <c r="E22" s="836">
        <v>0</v>
      </c>
      <c r="F22" s="836"/>
      <c r="G22" s="836"/>
      <c r="H22" s="838">
        <f t="shared" si="0"/>
        <v>0</v>
      </c>
    </row>
    <row r="23" spans="1:9">
      <c r="A23" s="290">
        <v>17</v>
      </c>
      <c r="B23" s="303" t="s">
        <v>490</v>
      </c>
      <c r="C23" s="836">
        <v>0</v>
      </c>
      <c r="D23" s="836">
        <v>0</v>
      </c>
      <c r="E23" s="836">
        <v>0</v>
      </c>
      <c r="F23" s="836"/>
      <c r="G23" s="836"/>
      <c r="H23" s="838">
        <f t="shared" si="0"/>
        <v>0</v>
      </c>
    </row>
    <row r="24" spans="1:9">
      <c r="A24" s="290">
        <v>18</v>
      </c>
      <c r="B24" s="303" t="s">
        <v>413</v>
      </c>
      <c r="C24" s="836">
        <v>0</v>
      </c>
      <c r="D24" s="836">
        <v>59204249.788963996</v>
      </c>
      <c r="E24" s="836">
        <v>341838.33741833235</v>
      </c>
      <c r="F24" s="836"/>
      <c r="G24" s="836"/>
      <c r="H24" s="838">
        <f t="shared" si="0"/>
        <v>58862411.451545663</v>
      </c>
    </row>
    <row r="25" spans="1:9">
      <c r="A25" s="290">
        <v>19</v>
      </c>
      <c r="B25" s="303" t="s">
        <v>414</v>
      </c>
      <c r="C25" s="836">
        <v>0</v>
      </c>
      <c r="D25" s="836">
        <v>29021981.659306001</v>
      </c>
      <c r="E25" s="836">
        <v>166057.45693223385</v>
      </c>
      <c r="F25" s="836"/>
      <c r="G25" s="836"/>
      <c r="H25" s="838">
        <f t="shared" si="0"/>
        <v>28855924.202373765</v>
      </c>
    </row>
    <row r="26" spans="1:9">
      <c r="A26" s="290">
        <v>20</v>
      </c>
      <c r="B26" s="303" t="s">
        <v>489</v>
      </c>
      <c r="C26" s="836">
        <v>45527.26</v>
      </c>
      <c r="D26" s="836">
        <v>1098864.7</v>
      </c>
      <c r="E26" s="836">
        <v>53902.131957381687</v>
      </c>
      <c r="F26" s="836"/>
      <c r="G26" s="836"/>
      <c r="H26" s="838">
        <f t="shared" si="0"/>
        <v>1090489.8280426182</v>
      </c>
      <c r="I26" s="300"/>
    </row>
    <row r="27" spans="1:9">
      <c r="A27" s="290">
        <v>21</v>
      </c>
      <c r="B27" s="303" t="s">
        <v>415</v>
      </c>
      <c r="C27" s="836">
        <v>0</v>
      </c>
      <c r="D27" s="836">
        <v>22994817.584336001</v>
      </c>
      <c r="E27" s="836">
        <v>128220.15612552591</v>
      </c>
      <c r="F27" s="836"/>
      <c r="G27" s="836"/>
      <c r="H27" s="838">
        <f t="shared" si="0"/>
        <v>22866597.428210475</v>
      </c>
      <c r="I27" s="300"/>
    </row>
    <row r="28" spans="1:9">
      <c r="A28" s="290">
        <v>22</v>
      </c>
      <c r="B28" s="303" t="s">
        <v>416</v>
      </c>
      <c r="C28" s="836">
        <v>0</v>
      </c>
      <c r="D28" s="836">
        <v>13499366.966716876</v>
      </c>
      <c r="E28" s="836">
        <v>78742.068078839176</v>
      </c>
      <c r="F28" s="836"/>
      <c r="G28" s="836"/>
      <c r="H28" s="838">
        <f t="shared" si="0"/>
        <v>13420624.898638038</v>
      </c>
      <c r="I28" s="300"/>
    </row>
    <row r="29" spans="1:9">
      <c r="A29" s="290">
        <v>23</v>
      </c>
      <c r="B29" s="303" t="s">
        <v>417</v>
      </c>
      <c r="C29" s="836">
        <v>69060.259999999995</v>
      </c>
      <c r="D29" s="836">
        <v>15844512.716693997</v>
      </c>
      <c r="E29" s="836">
        <v>137238.14512907102</v>
      </c>
      <c r="F29" s="836"/>
      <c r="G29" s="836"/>
      <c r="H29" s="838">
        <f t="shared" si="0"/>
        <v>15776334.831564926</v>
      </c>
      <c r="I29" s="300"/>
    </row>
    <row r="30" spans="1:9">
      <c r="A30" s="290">
        <v>24</v>
      </c>
      <c r="B30" s="303" t="s">
        <v>488</v>
      </c>
      <c r="C30" s="836">
        <v>0</v>
      </c>
      <c r="D30" s="836">
        <v>2699800.3239760003</v>
      </c>
      <c r="E30" s="836">
        <v>6630.0482001657174</v>
      </c>
      <c r="F30" s="836"/>
      <c r="G30" s="836"/>
      <c r="H30" s="838">
        <f t="shared" si="0"/>
        <v>2693170.2757758345</v>
      </c>
      <c r="I30" s="300"/>
    </row>
    <row r="31" spans="1:9">
      <c r="A31" s="290">
        <v>25</v>
      </c>
      <c r="B31" s="303" t="s">
        <v>418</v>
      </c>
      <c r="C31" s="836">
        <v>68131.732298000003</v>
      </c>
      <c r="D31" s="836">
        <v>18243.739999999998</v>
      </c>
      <c r="E31" s="836">
        <v>68131.732298002302</v>
      </c>
      <c r="F31" s="836"/>
      <c r="G31" s="836"/>
      <c r="H31" s="838">
        <f t="shared" si="0"/>
        <v>18243.739999997706</v>
      </c>
      <c r="I31" s="300"/>
    </row>
    <row r="32" spans="1:9">
      <c r="A32" s="290">
        <v>26</v>
      </c>
      <c r="B32" s="303" t="s">
        <v>485</v>
      </c>
      <c r="C32" s="836">
        <v>0</v>
      </c>
      <c r="D32" s="836">
        <v>0</v>
      </c>
      <c r="E32" s="836">
        <v>0</v>
      </c>
      <c r="F32" s="836"/>
      <c r="G32" s="836"/>
      <c r="H32" s="838">
        <f t="shared" si="0"/>
        <v>0</v>
      </c>
      <c r="I32" s="300"/>
    </row>
    <row r="33" spans="1:9">
      <c r="A33" s="290">
        <v>27</v>
      </c>
      <c r="B33" s="291" t="s">
        <v>419</v>
      </c>
      <c r="C33" s="836">
        <v>366254.58999999997</v>
      </c>
      <c r="D33" s="836">
        <v>16429308.019010834</v>
      </c>
      <c r="E33" s="836"/>
      <c r="F33" s="836"/>
      <c r="G33" s="836"/>
      <c r="H33" s="838">
        <f t="shared" si="0"/>
        <v>16795562.609010834</v>
      </c>
      <c r="I33" s="300"/>
    </row>
    <row r="34" spans="1:9">
      <c r="A34" s="290">
        <v>28</v>
      </c>
      <c r="B34" s="302" t="s">
        <v>64</v>
      </c>
      <c r="C34" s="837">
        <f>SUM(C7:C33)</f>
        <v>1384221.9550460002</v>
      </c>
      <c r="D34" s="837">
        <f>SUM(D7:D33)</f>
        <v>633030562.12368071</v>
      </c>
      <c r="E34" s="837">
        <f>SUM(E7:E33)</f>
        <v>3199104.1401248146</v>
      </c>
      <c r="F34" s="837">
        <f>SUM(F7:F33)</f>
        <v>0</v>
      </c>
      <c r="G34" s="837">
        <f>SUM(G7:G33)</f>
        <v>0</v>
      </c>
      <c r="H34" s="838">
        <f t="shared" si="0"/>
        <v>631215679.93860197</v>
      </c>
      <c r="I34" s="300"/>
    </row>
    <row r="35" spans="1:9">
      <c r="A35" s="300"/>
      <c r="B35" s="300"/>
      <c r="C35" s="300"/>
      <c r="D35" s="300"/>
      <c r="E35" s="300"/>
      <c r="F35" s="300"/>
      <c r="G35" s="300"/>
      <c r="H35" s="300"/>
      <c r="I35" s="300"/>
    </row>
    <row r="36" spans="1:9">
      <c r="A36" s="300"/>
      <c r="B36" s="301"/>
      <c r="C36" s="300"/>
      <c r="D36" s="300"/>
      <c r="E36" s="300"/>
      <c r="F36" s="300"/>
      <c r="G36" s="300"/>
      <c r="H36" s="300"/>
      <c r="I36" s="300"/>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Normal="100" workbookViewId="0">
      <selection activeCell="A5" sqref="A5:B5"/>
    </sheetView>
  </sheetViews>
  <sheetFormatPr defaultColWidth="9.140625" defaultRowHeight="12.75"/>
  <cols>
    <col min="1" max="1" width="11.85546875" style="286" bestFit="1" customWidth="1"/>
    <col min="2" max="2" width="108" style="286" bestFit="1" customWidth="1"/>
    <col min="3" max="3" width="35.5703125" style="286" customWidth="1"/>
    <col min="4" max="4" width="38.42578125" style="272" customWidth="1"/>
    <col min="5" max="16384" width="9.140625" style="286"/>
  </cols>
  <sheetData>
    <row r="1" spans="1:4" ht="13.5">
      <c r="A1" s="269" t="s">
        <v>30</v>
      </c>
      <c r="B1" s="445" t="str">
        <f>'Info '!C2</f>
        <v>JSC Isbank Georgia</v>
      </c>
      <c r="D1" s="286"/>
    </row>
    <row r="2" spans="1:4" ht="13.5">
      <c r="A2" s="270" t="s">
        <v>31</v>
      </c>
      <c r="B2" s="446">
        <f>'1. key ratios '!B2</f>
        <v>46112</v>
      </c>
      <c r="D2" s="286"/>
    </row>
    <row r="3" spans="1:4">
      <c r="A3" s="271" t="s">
        <v>420</v>
      </c>
      <c r="D3" s="286"/>
    </row>
    <row r="5" spans="1:4">
      <c r="A5" s="981" t="s">
        <v>634</v>
      </c>
      <c r="B5" s="981"/>
      <c r="C5" s="288" t="s">
        <v>437</v>
      </c>
      <c r="D5" s="288" t="s">
        <v>478</v>
      </c>
    </row>
    <row r="6" spans="1:4">
      <c r="A6" s="310">
        <v>1</v>
      </c>
      <c r="B6" s="304" t="s">
        <v>633</v>
      </c>
      <c r="C6" s="873">
        <v>2404018.9558232613</v>
      </c>
      <c r="D6" s="873">
        <v>251185.72309608952</v>
      </c>
    </row>
    <row r="7" spans="1:4">
      <c r="A7" s="307">
        <v>2</v>
      </c>
      <c r="B7" s="304" t="s">
        <v>632</v>
      </c>
      <c r="C7" s="873">
        <f>SUM(C8:C9)</f>
        <v>368135.58594652801</v>
      </c>
      <c r="D7" s="873">
        <f>SUM(D8:D9)</f>
        <v>353204.493281295</v>
      </c>
    </row>
    <row r="8" spans="1:4">
      <c r="A8" s="309">
        <v>2.1</v>
      </c>
      <c r="B8" s="308" t="s">
        <v>493</v>
      </c>
      <c r="C8" s="874">
        <v>368135.58594652801</v>
      </c>
      <c r="D8" s="874">
        <v>353204.493281295</v>
      </c>
    </row>
    <row r="9" spans="1:4">
      <c r="A9" s="309">
        <v>2.2000000000000002</v>
      </c>
      <c r="B9" s="308" t="s">
        <v>491</v>
      </c>
      <c r="C9" s="874">
        <v>0</v>
      </c>
      <c r="D9" s="874">
        <v>0</v>
      </c>
    </row>
    <row r="10" spans="1:4">
      <c r="A10" s="310">
        <v>3</v>
      </c>
      <c r="B10" s="304" t="s">
        <v>631</v>
      </c>
      <c r="C10" s="873">
        <f>SUM(C11:C13)</f>
        <v>596988.79747985385</v>
      </c>
      <c r="D10" s="873">
        <f>SUM(D11:D13)</f>
        <v>130045.55118128074</v>
      </c>
    </row>
    <row r="11" spans="1:4">
      <c r="A11" s="309">
        <v>3.1</v>
      </c>
      <c r="B11" s="308" t="s">
        <v>422</v>
      </c>
      <c r="C11" s="874"/>
      <c r="D11" s="874"/>
    </row>
    <row r="12" spans="1:4">
      <c r="A12" s="309">
        <v>3.2</v>
      </c>
      <c r="B12" s="308" t="s">
        <v>630</v>
      </c>
      <c r="C12" s="874">
        <v>596988.79747985385</v>
      </c>
      <c r="D12" s="874">
        <v>130045.55118128074</v>
      </c>
    </row>
    <row r="13" spans="1:4">
      <c r="A13" s="309">
        <v>3.3</v>
      </c>
      <c r="B13" s="308" t="s">
        <v>492</v>
      </c>
      <c r="C13" s="874">
        <v>0</v>
      </c>
      <c r="D13" s="874">
        <v>0</v>
      </c>
    </row>
    <row r="14" spans="1:4">
      <c r="A14" s="307">
        <v>4</v>
      </c>
      <c r="B14" s="306" t="s">
        <v>629</v>
      </c>
      <c r="C14" s="874">
        <v>9166.4559624091198</v>
      </c>
      <c r="D14" s="874">
        <v>1715.8219734643201</v>
      </c>
    </row>
    <row r="15" spans="1:4">
      <c r="A15" s="305">
        <v>5</v>
      </c>
      <c r="B15" s="304" t="s">
        <v>628</v>
      </c>
      <c r="C15" s="875">
        <f>C6+C7-C10+C14</f>
        <v>2184332.2002523448</v>
      </c>
      <c r="D15" s="875">
        <f>D6+D7-D10+D14</f>
        <v>476060.48716956808</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Normal="100" workbookViewId="0">
      <selection activeCell="A5" sqref="A5:B6"/>
    </sheetView>
  </sheetViews>
  <sheetFormatPr defaultColWidth="9.140625" defaultRowHeight="12.75"/>
  <cols>
    <col min="1" max="1" width="11.85546875" style="286" bestFit="1" customWidth="1"/>
    <col min="2" max="2" width="128.85546875" style="286" bestFit="1" customWidth="1"/>
    <col min="3" max="3" width="37" style="286" customWidth="1"/>
    <col min="4" max="4" width="50.5703125" style="286" customWidth="1"/>
    <col min="5" max="16384" width="9.140625" style="286"/>
  </cols>
  <sheetData>
    <row r="1" spans="1:4" ht="13.5">
      <c r="A1" s="269" t="s">
        <v>30</v>
      </c>
      <c r="B1" s="445" t="str">
        <f>'Info '!C2</f>
        <v>JSC Isbank Georgia</v>
      </c>
    </row>
    <row r="2" spans="1:4" ht="13.5">
      <c r="A2" s="270" t="s">
        <v>31</v>
      </c>
      <c r="B2" s="446">
        <f>'1. key ratios '!B2</f>
        <v>46112</v>
      </c>
    </row>
    <row r="3" spans="1:4">
      <c r="A3" s="271" t="s">
        <v>424</v>
      </c>
    </row>
    <row r="4" spans="1:4">
      <c r="A4" s="271"/>
    </row>
    <row r="5" spans="1:4" ht="15" customHeight="1">
      <c r="A5" s="982" t="s">
        <v>494</v>
      </c>
      <c r="B5" s="983"/>
      <c r="C5" s="986" t="s">
        <v>425</v>
      </c>
      <c r="D5" s="986" t="s">
        <v>426</v>
      </c>
    </row>
    <row r="6" spans="1:4">
      <c r="A6" s="984"/>
      <c r="B6" s="985"/>
      <c r="C6" s="986"/>
      <c r="D6" s="986"/>
    </row>
    <row r="7" spans="1:4">
      <c r="A7" s="313">
        <v>1</v>
      </c>
      <c r="B7" s="287" t="s">
        <v>421</v>
      </c>
      <c r="C7" s="873">
        <v>1286241.6629709997</v>
      </c>
      <c r="D7" s="311"/>
    </row>
    <row r="8" spans="1:4">
      <c r="A8" s="315">
        <v>2</v>
      </c>
      <c r="B8" s="315" t="s">
        <v>427</v>
      </c>
      <c r="C8" s="873">
        <v>99589.737619999796</v>
      </c>
      <c r="D8" s="311"/>
    </row>
    <row r="9" spans="1:4">
      <c r="A9" s="315">
        <v>3</v>
      </c>
      <c r="B9" s="316" t="s">
        <v>637</v>
      </c>
      <c r="C9" s="873">
        <v>782.13893800002484</v>
      </c>
      <c r="D9" s="311"/>
    </row>
    <row r="10" spans="1:4">
      <c r="A10" s="315">
        <v>4</v>
      </c>
      <c r="B10" s="315" t="s">
        <v>428</v>
      </c>
      <c r="C10" s="873">
        <f>SUM(C11:C17)</f>
        <v>368646.17448299931</v>
      </c>
      <c r="D10" s="311"/>
    </row>
    <row r="11" spans="1:4">
      <c r="A11" s="315">
        <v>5</v>
      </c>
      <c r="B11" s="314" t="s">
        <v>636</v>
      </c>
      <c r="C11" s="874">
        <v>0</v>
      </c>
      <c r="D11" s="311"/>
    </row>
    <row r="12" spans="1:4">
      <c r="A12" s="315">
        <v>6</v>
      </c>
      <c r="B12" s="314" t="s">
        <v>429</v>
      </c>
      <c r="C12" s="874">
        <v>368646.17448299931</v>
      </c>
      <c r="D12" s="311"/>
    </row>
    <row r="13" spans="1:4">
      <c r="A13" s="315">
        <v>7</v>
      </c>
      <c r="B13" s="314" t="s">
        <v>432</v>
      </c>
      <c r="C13" s="874">
        <v>0</v>
      </c>
      <c r="D13" s="311"/>
    </row>
    <row r="14" spans="1:4">
      <c r="A14" s="315">
        <v>8</v>
      </c>
      <c r="B14" s="314" t="s">
        <v>430</v>
      </c>
      <c r="C14" s="874">
        <v>0</v>
      </c>
      <c r="D14" s="315"/>
    </row>
    <row r="15" spans="1:4">
      <c r="A15" s="315">
        <v>9</v>
      </c>
      <c r="B15" s="314" t="s">
        <v>431</v>
      </c>
      <c r="C15" s="874">
        <v>0</v>
      </c>
      <c r="D15" s="315"/>
    </row>
    <row r="16" spans="1:4">
      <c r="A16" s="315">
        <v>10</v>
      </c>
      <c r="B16" s="314" t="s">
        <v>433</v>
      </c>
      <c r="C16" s="874">
        <v>0</v>
      </c>
      <c r="D16" s="315"/>
    </row>
    <row r="17" spans="1:4">
      <c r="A17" s="315">
        <v>11</v>
      </c>
      <c r="B17" s="314" t="s">
        <v>635</v>
      </c>
      <c r="C17" s="874">
        <v>0</v>
      </c>
      <c r="D17" s="311"/>
    </row>
    <row r="18" spans="1:4">
      <c r="A18" s="313">
        <v>12</v>
      </c>
      <c r="B18" s="312" t="s">
        <v>423</v>
      </c>
      <c r="C18" s="875">
        <f>C7+C8+C9-C10</f>
        <v>1017967.3650460001</v>
      </c>
      <c r="D18" s="311"/>
    </row>
    <row r="21" spans="1:4">
      <c r="B21" s="269"/>
    </row>
    <row r="22" spans="1:4">
      <c r="B22" s="270"/>
    </row>
    <row r="23" spans="1:4">
      <c r="B23" s="271"/>
      <c r="C23" s="88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A5" sqref="A5:B7"/>
    </sheetView>
  </sheetViews>
  <sheetFormatPr defaultColWidth="9.140625" defaultRowHeight="12.75"/>
  <cols>
    <col min="1" max="1" width="11.85546875" style="297" bestFit="1" customWidth="1"/>
    <col min="2" max="2" width="63.85546875" style="297" customWidth="1"/>
    <col min="3" max="3" width="15.5703125" style="297" customWidth="1"/>
    <col min="4" max="18" width="22.140625" style="297" customWidth="1"/>
    <col min="19" max="19" width="23.140625" style="297" bestFit="1" customWidth="1"/>
    <col min="20" max="26" width="22.140625" style="297" customWidth="1"/>
    <col min="27" max="27" width="23.140625" style="297" bestFit="1" customWidth="1"/>
    <col min="28" max="28" width="20" style="297" customWidth="1"/>
    <col min="29" max="16384" width="9.140625" style="297"/>
  </cols>
  <sheetData>
    <row r="1" spans="1:28" ht="13.5">
      <c r="A1" s="269" t="s">
        <v>30</v>
      </c>
      <c r="B1" s="445" t="str">
        <f>'Info '!C2</f>
        <v>JSC Isbank Georgia</v>
      </c>
    </row>
    <row r="2" spans="1:28" ht="13.5">
      <c r="A2" s="270" t="s">
        <v>31</v>
      </c>
      <c r="B2" s="446">
        <f>'1. key ratios '!B2</f>
        <v>46112</v>
      </c>
      <c r="C2" s="298"/>
    </row>
    <row r="3" spans="1:28">
      <c r="A3" s="271" t="s">
        <v>434</v>
      </c>
    </row>
    <row r="5" spans="1:28" ht="15" customHeight="1">
      <c r="A5" s="988" t="s">
        <v>649</v>
      </c>
      <c r="B5" s="989"/>
      <c r="C5" s="994" t="s">
        <v>435</v>
      </c>
      <c r="D5" s="995"/>
      <c r="E5" s="995"/>
      <c r="F5" s="995"/>
      <c r="G5" s="995"/>
      <c r="H5" s="995"/>
      <c r="I5" s="995"/>
      <c r="J5" s="995"/>
      <c r="K5" s="995"/>
      <c r="L5" s="995"/>
      <c r="M5" s="995"/>
      <c r="N5" s="995"/>
      <c r="O5" s="995"/>
      <c r="P5" s="995"/>
      <c r="Q5" s="995"/>
      <c r="R5" s="995"/>
      <c r="S5" s="995"/>
      <c r="T5" s="328"/>
      <c r="U5" s="328"/>
      <c r="V5" s="328"/>
      <c r="W5" s="328"/>
      <c r="X5" s="328"/>
      <c r="Y5" s="328"/>
      <c r="Z5" s="328"/>
      <c r="AA5" s="327"/>
      <c r="AB5" s="320"/>
    </row>
    <row r="6" spans="1:28" ht="12" customHeight="1">
      <c r="A6" s="990"/>
      <c r="B6" s="991"/>
      <c r="C6" s="996" t="s">
        <v>64</v>
      </c>
      <c r="D6" s="998" t="s">
        <v>648</v>
      </c>
      <c r="E6" s="998"/>
      <c r="F6" s="998"/>
      <c r="G6" s="998"/>
      <c r="H6" s="998" t="s">
        <v>647</v>
      </c>
      <c r="I6" s="998"/>
      <c r="J6" s="998"/>
      <c r="K6" s="998"/>
      <c r="L6" s="326"/>
      <c r="M6" s="999" t="s">
        <v>646</v>
      </c>
      <c r="N6" s="999"/>
      <c r="O6" s="999"/>
      <c r="P6" s="999"/>
      <c r="Q6" s="999"/>
      <c r="R6" s="999"/>
      <c r="S6" s="971"/>
      <c r="T6" s="325"/>
      <c r="U6" s="987" t="s">
        <v>645</v>
      </c>
      <c r="V6" s="987"/>
      <c r="W6" s="987"/>
      <c r="X6" s="987"/>
      <c r="Y6" s="987"/>
      <c r="Z6" s="987"/>
      <c r="AA6" s="980"/>
      <c r="AB6" s="324"/>
    </row>
    <row r="7" spans="1:28" ht="25.5">
      <c r="A7" s="992"/>
      <c r="B7" s="993"/>
      <c r="C7" s="997"/>
      <c r="D7" s="323"/>
      <c r="E7" s="321" t="s">
        <v>436</v>
      </c>
      <c r="F7" s="294" t="s">
        <v>643</v>
      </c>
      <c r="G7" s="296" t="s">
        <v>644</v>
      </c>
      <c r="H7" s="298"/>
      <c r="I7" s="321" t="s">
        <v>436</v>
      </c>
      <c r="J7" s="294" t="s">
        <v>643</v>
      </c>
      <c r="K7" s="296" t="s">
        <v>644</v>
      </c>
      <c r="L7" s="322"/>
      <c r="M7" s="321" t="s">
        <v>436</v>
      </c>
      <c r="N7" s="321" t="s">
        <v>643</v>
      </c>
      <c r="O7" s="321" t="s">
        <v>642</v>
      </c>
      <c r="P7" s="321" t="s">
        <v>641</v>
      </c>
      <c r="Q7" s="321" t="s">
        <v>640</v>
      </c>
      <c r="R7" s="294" t="s">
        <v>639</v>
      </c>
      <c r="S7" s="321" t="s">
        <v>638</v>
      </c>
      <c r="T7" s="322"/>
      <c r="U7" s="321" t="s">
        <v>436</v>
      </c>
      <c r="V7" s="321" t="s">
        <v>643</v>
      </c>
      <c r="W7" s="321" t="s">
        <v>642</v>
      </c>
      <c r="X7" s="321" t="s">
        <v>641</v>
      </c>
      <c r="Y7" s="321" t="s">
        <v>640</v>
      </c>
      <c r="Z7" s="294" t="s">
        <v>639</v>
      </c>
      <c r="AA7" s="321" t="s">
        <v>638</v>
      </c>
      <c r="AB7" s="320"/>
    </row>
    <row r="8" spans="1:28">
      <c r="A8" s="319">
        <v>1</v>
      </c>
      <c r="B8" s="293" t="s">
        <v>437</v>
      </c>
      <c r="C8" s="839">
        <f>SUM(C9:C14)</f>
        <v>327792645.06973404</v>
      </c>
      <c r="D8" s="839">
        <f t="shared" ref="D8:S8" si="0">SUM(D9:D14)</f>
        <v>325966760.07566202</v>
      </c>
      <c r="E8" s="839">
        <f t="shared" si="0"/>
        <v>20856233.041046001</v>
      </c>
      <c r="F8" s="839">
        <f t="shared" si="0"/>
        <v>0</v>
      </c>
      <c r="G8" s="839">
        <f t="shared" si="0"/>
        <v>0</v>
      </c>
      <c r="H8" s="839">
        <f t="shared" si="0"/>
        <v>807917.62902599992</v>
      </c>
      <c r="I8" s="839">
        <f t="shared" si="0"/>
        <v>506706.01999999996</v>
      </c>
      <c r="J8" s="839">
        <f t="shared" si="0"/>
        <v>26727.669026000003</v>
      </c>
      <c r="K8" s="839">
        <f t="shared" si="0"/>
        <v>0</v>
      </c>
      <c r="L8" s="839">
        <f t="shared" si="0"/>
        <v>1017967.365046</v>
      </c>
      <c r="M8" s="839">
        <f t="shared" si="0"/>
        <v>0</v>
      </c>
      <c r="N8" s="839">
        <f t="shared" si="0"/>
        <v>0</v>
      </c>
      <c r="O8" s="839">
        <f t="shared" si="0"/>
        <v>135170.51997600001</v>
      </c>
      <c r="P8" s="839">
        <f t="shared" si="0"/>
        <v>480381.56954400009</v>
      </c>
      <c r="Q8" s="839">
        <f t="shared" si="0"/>
        <v>337515.78322799993</v>
      </c>
      <c r="R8" s="839">
        <f t="shared" si="0"/>
        <v>10705.03</v>
      </c>
      <c r="S8" s="839">
        <f t="shared" si="0"/>
        <v>0</v>
      </c>
      <c r="T8" s="819"/>
      <c r="U8" s="819"/>
      <c r="V8" s="819"/>
      <c r="W8" s="819"/>
      <c r="X8" s="819"/>
      <c r="Y8" s="819"/>
      <c r="Z8" s="819"/>
      <c r="AA8" s="819"/>
      <c r="AB8" s="317"/>
    </row>
    <row r="9" spans="1:28">
      <c r="A9" s="290">
        <v>1.1000000000000001</v>
      </c>
      <c r="B9" s="318" t="s">
        <v>438</v>
      </c>
      <c r="C9" s="840"/>
      <c r="D9" s="829"/>
      <c r="E9" s="829"/>
      <c r="F9" s="829"/>
      <c r="G9" s="829"/>
      <c r="H9" s="829"/>
      <c r="I9" s="829"/>
      <c r="J9" s="829"/>
      <c r="K9" s="829"/>
      <c r="L9" s="829"/>
      <c r="M9" s="829"/>
      <c r="N9" s="829"/>
      <c r="O9" s="829"/>
      <c r="P9" s="829"/>
      <c r="Q9" s="829"/>
      <c r="R9" s="829"/>
      <c r="S9" s="829"/>
      <c r="T9" s="819"/>
      <c r="U9" s="819"/>
      <c r="V9" s="819"/>
      <c r="W9" s="819"/>
      <c r="X9" s="819"/>
      <c r="Y9" s="819"/>
      <c r="Z9" s="819"/>
      <c r="AA9" s="819"/>
      <c r="AB9" s="317"/>
    </row>
    <row r="10" spans="1:28">
      <c r="A10" s="290">
        <v>1.2</v>
      </c>
      <c r="B10" s="318" t="s">
        <v>439</v>
      </c>
      <c r="C10" s="840"/>
      <c r="D10" s="829"/>
      <c r="E10" s="829"/>
      <c r="F10" s="829"/>
      <c r="G10" s="829"/>
      <c r="H10" s="829"/>
      <c r="I10" s="829"/>
      <c r="J10" s="829"/>
      <c r="K10" s="829"/>
      <c r="L10" s="829"/>
      <c r="M10" s="829"/>
      <c r="N10" s="829"/>
      <c r="O10" s="829"/>
      <c r="P10" s="829"/>
      <c r="Q10" s="829"/>
      <c r="R10" s="829"/>
      <c r="S10" s="829"/>
      <c r="T10" s="819"/>
      <c r="U10" s="819"/>
      <c r="V10" s="819"/>
      <c r="W10" s="819"/>
      <c r="X10" s="819"/>
      <c r="Y10" s="819"/>
      <c r="Z10" s="819"/>
      <c r="AA10" s="819"/>
      <c r="AB10" s="317"/>
    </row>
    <row r="11" spans="1:28">
      <c r="A11" s="290">
        <v>1.3</v>
      </c>
      <c r="B11" s="318" t="s">
        <v>440</v>
      </c>
      <c r="C11" s="840">
        <v>479127.29645999998</v>
      </c>
      <c r="D11" s="829">
        <v>479127.29645999998</v>
      </c>
      <c r="E11" s="829">
        <v>0</v>
      </c>
      <c r="F11" s="829">
        <v>0</v>
      </c>
      <c r="G11" s="829">
        <v>0</v>
      </c>
      <c r="H11" s="829">
        <v>0</v>
      </c>
      <c r="I11" s="829">
        <v>0</v>
      </c>
      <c r="J11" s="829">
        <v>0</v>
      </c>
      <c r="K11" s="829">
        <v>0</v>
      </c>
      <c r="L11" s="829">
        <v>0</v>
      </c>
      <c r="M11" s="829">
        <v>0</v>
      </c>
      <c r="N11" s="829">
        <v>0</v>
      </c>
      <c r="O11" s="829">
        <v>0</v>
      </c>
      <c r="P11" s="829">
        <v>0</v>
      </c>
      <c r="Q11" s="829">
        <v>0</v>
      </c>
      <c r="R11" s="829">
        <v>0</v>
      </c>
      <c r="S11" s="829">
        <v>0</v>
      </c>
      <c r="T11" s="819"/>
      <c r="U11" s="819"/>
      <c r="V11" s="819"/>
      <c r="W11" s="819"/>
      <c r="X11" s="819"/>
      <c r="Y11" s="819"/>
      <c r="Z11" s="819"/>
      <c r="AA11" s="819"/>
      <c r="AB11" s="317"/>
    </row>
    <row r="12" spans="1:28">
      <c r="A12" s="290">
        <v>1.4</v>
      </c>
      <c r="B12" s="318" t="s">
        <v>441</v>
      </c>
      <c r="C12" s="840">
        <v>58049131.525808007</v>
      </c>
      <c r="D12" s="829">
        <v>58049131.525808007</v>
      </c>
      <c r="E12" s="829">
        <v>0</v>
      </c>
      <c r="F12" s="829">
        <v>0</v>
      </c>
      <c r="G12" s="829">
        <v>0</v>
      </c>
      <c r="H12" s="829">
        <v>0</v>
      </c>
      <c r="I12" s="829">
        <v>0</v>
      </c>
      <c r="J12" s="829">
        <v>0</v>
      </c>
      <c r="K12" s="829">
        <v>0</v>
      </c>
      <c r="L12" s="829">
        <v>0</v>
      </c>
      <c r="M12" s="829">
        <v>0</v>
      </c>
      <c r="N12" s="829">
        <v>0</v>
      </c>
      <c r="O12" s="829">
        <v>0</v>
      </c>
      <c r="P12" s="829">
        <v>0</v>
      </c>
      <c r="Q12" s="829">
        <v>0</v>
      </c>
      <c r="R12" s="829">
        <v>0</v>
      </c>
      <c r="S12" s="829">
        <v>0</v>
      </c>
      <c r="T12" s="819"/>
      <c r="U12" s="819"/>
      <c r="V12" s="819"/>
      <c r="W12" s="819"/>
      <c r="X12" s="819"/>
      <c r="Y12" s="819"/>
      <c r="Z12" s="819"/>
      <c r="AA12" s="819"/>
      <c r="AB12" s="317"/>
    </row>
    <row r="13" spans="1:28">
      <c r="A13" s="290">
        <v>1.5</v>
      </c>
      <c r="B13" s="318" t="s">
        <v>442</v>
      </c>
      <c r="C13" s="840">
        <v>263783129.92720601</v>
      </c>
      <c r="D13" s="829">
        <v>262643031.45829201</v>
      </c>
      <c r="E13" s="829">
        <v>20856233.041046001</v>
      </c>
      <c r="F13" s="829">
        <v>0</v>
      </c>
      <c r="G13" s="829">
        <v>0</v>
      </c>
      <c r="H13" s="829">
        <v>506706.01999999996</v>
      </c>
      <c r="I13" s="829">
        <v>506706.01999999996</v>
      </c>
      <c r="J13" s="829">
        <v>0</v>
      </c>
      <c r="K13" s="829">
        <v>0</v>
      </c>
      <c r="L13" s="829">
        <v>633392.44891400007</v>
      </c>
      <c r="M13" s="829">
        <v>0</v>
      </c>
      <c r="N13" s="829">
        <v>0</v>
      </c>
      <c r="O13" s="829">
        <v>135170.51997600001</v>
      </c>
      <c r="P13" s="829">
        <v>480381.56954400009</v>
      </c>
      <c r="Q13" s="829">
        <v>17840.359393999999</v>
      </c>
      <c r="R13" s="829">
        <v>0</v>
      </c>
      <c r="S13" s="829">
        <v>0</v>
      </c>
      <c r="T13" s="819"/>
      <c r="U13" s="819"/>
      <c r="V13" s="819"/>
      <c r="W13" s="819"/>
      <c r="X13" s="819"/>
      <c r="Y13" s="819"/>
      <c r="Z13" s="819"/>
      <c r="AA13" s="819"/>
      <c r="AB13" s="317"/>
    </row>
    <row r="14" spans="1:28">
      <c r="A14" s="290">
        <v>1.6</v>
      </c>
      <c r="B14" s="318" t="s">
        <v>443</v>
      </c>
      <c r="C14" s="840">
        <v>5481256.3202600041</v>
      </c>
      <c r="D14" s="829">
        <v>4795469.795102004</v>
      </c>
      <c r="E14" s="829">
        <v>0</v>
      </c>
      <c r="F14" s="829">
        <v>0</v>
      </c>
      <c r="G14" s="829">
        <v>0</v>
      </c>
      <c r="H14" s="829">
        <v>301211.60902599996</v>
      </c>
      <c r="I14" s="829">
        <v>0</v>
      </c>
      <c r="J14" s="829">
        <v>26727.669026000003</v>
      </c>
      <c r="K14" s="829">
        <v>0</v>
      </c>
      <c r="L14" s="829">
        <v>384574.91613199993</v>
      </c>
      <c r="M14" s="829">
        <v>0</v>
      </c>
      <c r="N14" s="829">
        <v>0</v>
      </c>
      <c r="O14" s="829">
        <v>0</v>
      </c>
      <c r="P14" s="829">
        <v>0</v>
      </c>
      <c r="Q14" s="829">
        <v>319675.42383399996</v>
      </c>
      <c r="R14" s="829">
        <v>10705.03</v>
      </c>
      <c r="S14" s="829">
        <v>0</v>
      </c>
      <c r="T14" s="819"/>
      <c r="U14" s="819"/>
      <c r="V14" s="819"/>
      <c r="W14" s="819"/>
      <c r="X14" s="819"/>
      <c r="Y14" s="819"/>
      <c r="Z14" s="819"/>
      <c r="AA14" s="819"/>
      <c r="AB14" s="317"/>
    </row>
    <row r="15" spans="1:28">
      <c r="A15" s="319">
        <v>2</v>
      </c>
      <c r="B15" s="302" t="s">
        <v>444</v>
      </c>
      <c r="C15" s="839">
        <f>SUM(C16:C21)</f>
        <v>145255122.34826353</v>
      </c>
      <c r="D15" s="839">
        <f t="shared" ref="D15:S15" si="1">SUM(D16:D21)</f>
        <v>145255122.34826353</v>
      </c>
      <c r="E15" s="839">
        <f t="shared" si="1"/>
        <v>0</v>
      </c>
      <c r="F15" s="839">
        <f t="shared" si="1"/>
        <v>0</v>
      </c>
      <c r="G15" s="839">
        <f t="shared" si="1"/>
        <v>0</v>
      </c>
      <c r="H15" s="839">
        <f t="shared" si="1"/>
        <v>0</v>
      </c>
      <c r="I15" s="839">
        <f t="shared" si="1"/>
        <v>0</v>
      </c>
      <c r="J15" s="839">
        <f t="shared" si="1"/>
        <v>0</v>
      </c>
      <c r="K15" s="839">
        <f t="shared" si="1"/>
        <v>0</v>
      </c>
      <c r="L15" s="839">
        <f t="shared" si="1"/>
        <v>0</v>
      </c>
      <c r="M15" s="839">
        <f t="shared" si="1"/>
        <v>0</v>
      </c>
      <c r="N15" s="839">
        <f t="shared" si="1"/>
        <v>0</v>
      </c>
      <c r="O15" s="839">
        <f t="shared" si="1"/>
        <v>0</v>
      </c>
      <c r="P15" s="839">
        <f t="shared" si="1"/>
        <v>0</v>
      </c>
      <c r="Q15" s="839">
        <f t="shared" si="1"/>
        <v>0</v>
      </c>
      <c r="R15" s="839">
        <f t="shared" si="1"/>
        <v>0</v>
      </c>
      <c r="S15" s="839">
        <f t="shared" si="1"/>
        <v>0</v>
      </c>
      <c r="T15" s="819"/>
      <c r="U15" s="819"/>
      <c r="V15" s="819"/>
      <c r="W15" s="819"/>
      <c r="X15" s="819"/>
      <c r="Y15" s="819"/>
      <c r="Z15" s="819"/>
      <c r="AA15" s="819"/>
      <c r="AB15" s="317"/>
    </row>
    <row r="16" spans="1:28">
      <c r="A16" s="290">
        <v>2.1</v>
      </c>
      <c r="B16" s="318" t="s">
        <v>438</v>
      </c>
      <c r="C16" s="840">
        <v>0</v>
      </c>
      <c r="D16" s="829">
        <v>0</v>
      </c>
      <c r="E16" s="829"/>
      <c r="F16" s="829"/>
      <c r="G16" s="829"/>
      <c r="H16" s="829">
        <v>0</v>
      </c>
      <c r="I16" s="829"/>
      <c r="J16" s="829"/>
      <c r="K16" s="829"/>
      <c r="L16" s="829">
        <v>0</v>
      </c>
      <c r="M16" s="829"/>
      <c r="N16" s="829"/>
      <c r="O16" s="829"/>
      <c r="P16" s="829"/>
      <c r="Q16" s="829"/>
      <c r="R16" s="829"/>
      <c r="S16" s="829"/>
      <c r="T16" s="819"/>
      <c r="U16" s="819"/>
      <c r="V16" s="819"/>
      <c r="W16" s="819"/>
      <c r="X16" s="819"/>
      <c r="Y16" s="819"/>
      <c r="Z16" s="819"/>
      <c r="AA16" s="819"/>
      <c r="AB16" s="317"/>
    </row>
    <row r="17" spans="1:28">
      <c r="A17" s="290">
        <v>2.2000000000000002</v>
      </c>
      <c r="B17" s="318" t="s">
        <v>439</v>
      </c>
      <c r="C17" s="840">
        <v>50402394.412680969</v>
      </c>
      <c r="D17" s="829">
        <v>50402394.412680969</v>
      </c>
      <c r="E17" s="829"/>
      <c r="F17" s="829"/>
      <c r="G17" s="829"/>
      <c r="H17" s="829">
        <v>0</v>
      </c>
      <c r="I17" s="829"/>
      <c r="J17" s="829"/>
      <c r="K17" s="829"/>
      <c r="L17" s="829">
        <v>0</v>
      </c>
      <c r="M17" s="829"/>
      <c r="N17" s="829"/>
      <c r="O17" s="829"/>
      <c r="P17" s="829"/>
      <c r="Q17" s="829"/>
      <c r="R17" s="829"/>
      <c r="S17" s="829"/>
      <c r="T17" s="819"/>
      <c r="U17" s="819"/>
      <c r="V17" s="819"/>
      <c r="W17" s="819"/>
      <c r="X17" s="819"/>
      <c r="Y17" s="819"/>
      <c r="Z17" s="819"/>
      <c r="AA17" s="819"/>
      <c r="AB17" s="317"/>
    </row>
    <row r="18" spans="1:28">
      <c r="A18" s="290">
        <v>2.2999999999999998</v>
      </c>
      <c r="B18" s="318" t="s">
        <v>440</v>
      </c>
      <c r="C18" s="840">
        <v>0</v>
      </c>
      <c r="D18" s="829">
        <v>0</v>
      </c>
      <c r="E18" s="829"/>
      <c r="F18" s="829"/>
      <c r="G18" s="829"/>
      <c r="H18" s="829"/>
      <c r="I18" s="829"/>
      <c r="J18" s="829"/>
      <c r="K18" s="829"/>
      <c r="L18" s="829"/>
      <c r="M18" s="829"/>
      <c r="N18" s="829"/>
      <c r="O18" s="829"/>
      <c r="P18" s="829"/>
      <c r="Q18" s="829"/>
      <c r="R18" s="829"/>
      <c r="S18" s="829"/>
      <c r="T18" s="819"/>
      <c r="U18" s="819"/>
      <c r="V18" s="819"/>
      <c r="W18" s="819"/>
      <c r="X18" s="819"/>
      <c r="Y18" s="819"/>
      <c r="Z18" s="819"/>
      <c r="AA18" s="819"/>
      <c r="AB18" s="317"/>
    </row>
    <row r="19" spans="1:28">
      <c r="A19" s="290">
        <v>2.4</v>
      </c>
      <c r="B19" s="318" t="s">
        <v>441</v>
      </c>
      <c r="C19" s="840">
        <v>47476003.721705697</v>
      </c>
      <c r="D19" s="829">
        <v>47476003.721705697</v>
      </c>
      <c r="E19" s="829"/>
      <c r="F19" s="829"/>
      <c r="G19" s="829"/>
      <c r="H19" s="829"/>
      <c r="I19" s="829"/>
      <c r="J19" s="829"/>
      <c r="K19" s="829"/>
      <c r="L19" s="829"/>
      <c r="M19" s="829"/>
      <c r="N19" s="829"/>
      <c r="O19" s="829"/>
      <c r="P19" s="829"/>
      <c r="Q19" s="829"/>
      <c r="R19" s="829"/>
      <c r="S19" s="829"/>
      <c r="T19" s="819"/>
      <c r="U19" s="819"/>
      <c r="V19" s="819"/>
      <c r="W19" s="819"/>
      <c r="X19" s="819"/>
      <c r="Y19" s="819"/>
      <c r="Z19" s="819"/>
      <c r="AA19" s="819"/>
      <c r="AB19" s="317"/>
    </row>
    <row r="20" spans="1:28">
      <c r="A20" s="290">
        <v>2.5</v>
      </c>
      <c r="B20" s="318" t="s">
        <v>442</v>
      </c>
      <c r="C20" s="840">
        <v>47376724.213876881</v>
      </c>
      <c r="D20" s="829">
        <v>47376724.213876881</v>
      </c>
      <c r="E20" s="829"/>
      <c r="F20" s="829"/>
      <c r="G20" s="829"/>
      <c r="H20" s="829">
        <v>0</v>
      </c>
      <c r="I20" s="829"/>
      <c r="J20" s="829"/>
      <c r="K20" s="829"/>
      <c r="L20" s="829">
        <v>0</v>
      </c>
      <c r="M20" s="829"/>
      <c r="N20" s="829"/>
      <c r="O20" s="829"/>
      <c r="P20" s="829"/>
      <c r="Q20" s="829"/>
      <c r="R20" s="829"/>
      <c r="S20" s="829"/>
      <c r="T20" s="819"/>
      <c r="U20" s="819"/>
      <c r="V20" s="819"/>
      <c r="W20" s="819"/>
      <c r="X20" s="819"/>
      <c r="Y20" s="819"/>
      <c r="Z20" s="819"/>
      <c r="AA20" s="819"/>
      <c r="AB20" s="317"/>
    </row>
    <row r="21" spans="1:28">
      <c r="A21" s="290">
        <v>2.6</v>
      </c>
      <c r="B21" s="318" t="s">
        <v>443</v>
      </c>
      <c r="C21" s="840"/>
      <c r="D21" s="829"/>
      <c r="E21" s="829"/>
      <c r="F21" s="829"/>
      <c r="G21" s="829"/>
      <c r="H21" s="829"/>
      <c r="I21" s="829"/>
      <c r="J21" s="829"/>
      <c r="K21" s="829"/>
      <c r="L21" s="829"/>
      <c r="M21" s="829"/>
      <c r="N21" s="829"/>
      <c r="O21" s="829"/>
      <c r="P21" s="829"/>
      <c r="Q21" s="829"/>
      <c r="R21" s="829"/>
      <c r="S21" s="829"/>
      <c r="T21" s="819"/>
      <c r="U21" s="819"/>
      <c r="V21" s="819"/>
      <c r="W21" s="819"/>
      <c r="X21" s="819"/>
      <c r="Y21" s="819"/>
      <c r="Z21" s="819"/>
      <c r="AA21" s="819"/>
      <c r="AB21" s="317"/>
    </row>
    <row r="22" spans="1:28">
      <c r="A22" s="319">
        <v>3</v>
      </c>
      <c r="B22" s="293" t="s">
        <v>484</v>
      </c>
      <c r="C22" s="831">
        <f>SUM(C23:C28)</f>
        <v>120011154.00278199</v>
      </c>
      <c r="D22" s="831">
        <f t="shared" ref="D22:S22" si="2">SUM(D23:D28)</f>
        <v>120011154.00278199</v>
      </c>
      <c r="E22" s="841">
        <f t="shared" si="2"/>
        <v>0</v>
      </c>
      <c r="F22" s="841">
        <f t="shared" si="2"/>
        <v>0</v>
      </c>
      <c r="G22" s="841">
        <f t="shared" si="2"/>
        <v>0</v>
      </c>
      <c r="H22" s="831">
        <f t="shared" si="2"/>
        <v>0</v>
      </c>
      <c r="I22" s="841">
        <f t="shared" si="2"/>
        <v>0</v>
      </c>
      <c r="J22" s="841">
        <f t="shared" si="2"/>
        <v>0</v>
      </c>
      <c r="K22" s="841">
        <f t="shared" si="2"/>
        <v>0</v>
      </c>
      <c r="L22" s="831">
        <f t="shared" si="2"/>
        <v>0</v>
      </c>
      <c r="M22" s="841">
        <f t="shared" si="2"/>
        <v>0</v>
      </c>
      <c r="N22" s="841">
        <f t="shared" si="2"/>
        <v>0</v>
      </c>
      <c r="O22" s="841">
        <f t="shared" si="2"/>
        <v>0</v>
      </c>
      <c r="P22" s="841">
        <f t="shared" si="2"/>
        <v>0</v>
      </c>
      <c r="Q22" s="841">
        <f t="shared" si="2"/>
        <v>0</v>
      </c>
      <c r="R22" s="841">
        <f t="shared" si="2"/>
        <v>0</v>
      </c>
      <c r="S22" s="841">
        <f t="shared" si="2"/>
        <v>0</v>
      </c>
      <c r="T22" s="823"/>
      <c r="U22" s="842"/>
      <c r="V22" s="842"/>
      <c r="W22" s="842"/>
      <c r="X22" s="842"/>
      <c r="Y22" s="842"/>
      <c r="Z22" s="842"/>
      <c r="AA22" s="842"/>
      <c r="AB22" s="317"/>
    </row>
    <row r="23" spans="1:28">
      <c r="A23" s="290">
        <v>3.1</v>
      </c>
      <c r="B23" s="318" t="s">
        <v>438</v>
      </c>
      <c r="C23" s="840"/>
      <c r="D23" s="831"/>
      <c r="E23" s="841"/>
      <c r="F23" s="841"/>
      <c r="G23" s="841"/>
      <c r="H23" s="831"/>
      <c r="I23" s="841"/>
      <c r="J23" s="841"/>
      <c r="K23" s="841"/>
      <c r="L23" s="831"/>
      <c r="M23" s="841"/>
      <c r="N23" s="841"/>
      <c r="O23" s="841"/>
      <c r="P23" s="841"/>
      <c r="Q23" s="841"/>
      <c r="R23" s="841"/>
      <c r="S23" s="841"/>
      <c r="T23" s="823"/>
      <c r="U23" s="842"/>
      <c r="V23" s="842"/>
      <c r="W23" s="842"/>
      <c r="X23" s="842"/>
      <c r="Y23" s="842"/>
      <c r="Z23" s="842"/>
      <c r="AA23" s="842"/>
      <c r="AB23" s="317"/>
    </row>
    <row r="24" spans="1:28">
      <c r="A24" s="290">
        <v>3.2</v>
      </c>
      <c r="B24" s="318" t="s">
        <v>439</v>
      </c>
      <c r="C24" s="840"/>
      <c r="D24" s="831"/>
      <c r="E24" s="841"/>
      <c r="F24" s="841"/>
      <c r="G24" s="841"/>
      <c r="H24" s="831"/>
      <c r="I24" s="841"/>
      <c r="J24" s="841"/>
      <c r="K24" s="841"/>
      <c r="L24" s="831"/>
      <c r="M24" s="841"/>
      <c r="N24" s="841"/>
      <c r="O24" s="841"/>
      <c r="P24" s="841"/>
      <c r="Q24" s="841"/>
      <c r="R24" s="841"/>
      <c r="S24" s="841"/>
      <c r="T24" s="823"/>
      <c r="U24" s="842"/>
      <c r="V24" s="842"/>
      <c r="W24" s="842"/>
      <c r="X24" s="842"/>
      <c r="Y24" s="842"/>
      <c r="Z24" s="842"/>
      <c r="AA24" s="842"/>
      <c r="AB24" s="317"/>
    </row>
    <row r="25" spans="1:28">
      <c r="A25" s="290">
        <v>3.3</v>
      </c>
      <c r="B25" s="318" t="s">
        <v>440</v>
      </c>
      <c r="C25" s="840">
        <v>105230010.35827599</v>
      </c>
      <c r="D25" s="843">
        <v>105230010.35827599</v>
      </c>
      <c r="E25" s="841"/>
      <c r="F25" s="841"/>
      <c r="G25" s="841"/>
      <c r="H25" s="831">
        <v>0</v>
      </c>
      <c r="I25" s="841"/>
      <c r="J25" s="841"/>
      <c r="K25" s="841"/>
      <c r="L25" s="831">
        <v>0</v>
      </c>
      <c r="M25" s="841"/>
      <c r="N25" s="841"/>
      <c r="O25" s="841"/>
      <c r="P25" s="841"/>
      <c r="Q25" s="841"/>
      <c r="R25" s="841"/>
      <c r="S25" s="841"/>
      <c r="T25" s="823"/>
      <c r="U25" s="842"/>
      <c r="V25" s="842"/>
      <c r="W25" s="842"/>
      <c r="X25" s="842"/>
      <c r="Y25" s="842"/>
      <c r="Z25" s="842"/>
      <c r="AA25" s="842"/>
      <c r="AB25" s="317"/>
    </row>
    <row r="26" spans="1:28">
      <c r="A26" s="290">
        <v>3.4</v>
      </c>
      <c r="B26" s="318" t="s">
        <v>441</v>
      </c>
      <c r="C26" s="840">
        <v>0</v>
      </c>
      <c r="D26" s="843">
        <v>0</v>
      </c>
      <c r="E26" s="841"/>
      <c r="F26" s="841"/>
      <c r="G26" s="841"/>
      <c r="H26" s="831">
        <v>0</v>
      </c>
      <c r="I26" s="841"/>
      <c r="J26" s="841"/>
      <c r="K26" s="841"/>
      <c r="L26" s="831">
        <v>0</v>
      </c>
      <c r="M26" s="841"/>
      <c r="N26" s="841"/>
      <c r="O26" s="841"/>
      <c r="P26" s="841"/>
      <c r="Q26" s="841"/>
      <c r="R26" s="841"/>
      <c r="S26" s="841"/>
      <c r="T26" s="823"/>
      <c r="U26" s="842"/>
      <c r="V26" s="842"/>
      <c r="W26" s="842"/>
      <c r="X26" s="842"/>
      <c r="Y26" s="842"/>
      <c r="Z26" s="842"/>
      <c r="AA26" s="842"/>
      <c r="AB26" s="317"/>
    </row>
    <row r="27" spans="1:28">
      <c r="A27" s="290">
        <v>3.5</v>
      </c>
      <c r="B27" s="318" t="s">
        <v>442</v>
      </c>
      <c r="C27" s="840">
        <v>14781143.644506</v>
      </c>
      <c r="D27" s="843">
        <v>14781143.644506</v>
      </c>
      <c r="E27" s="841"/>
      <c r="F27" s="841"/>
      <c r="G27" s="841"/>
      <c r="H27" s="831">
        <v>0</v>
      </c>
      <c r="I27" s="841"/>
      <c r="J27" s="841"/>
      <c r="K27" s="841"/>
      <c r="L27" s="831">
        <v>0</v>
      </c>
      <c r="M27" s="841"/>
      <c r="N27" s="841"/>
      <c r="O27" s="841"/>
      <c r="P27" s="841"/>
      <c r="Q27" s="841"/>
      <c r="R27" s="841"/>
      <c r="S27" s="841"/>
      <c r="T27" s="823"/>
      <c r="U27" s="842"/>
      <c r="V27" s="842"/>
      <c r="W27" s="842"/>
      <c r="X27" s="842"/>
      <c r="Y27" s="842"/>
      <c r="Z27" s="842"/>
      <c r="AA27" s="842"/>
      <c r="AB27" s="317"/>
    </row>
    <row r="28" spans="1:28">
      <c r="A28" s="290">
        <v>3.6</v>
      </c>
      <c r="B28" s="318" t="s">
        <v>443</v>
      </c>
      <c r="C28" s="840">
        <v>0</v>
      </c>
      <c r="D28" s="843">
        <v>0</v>
      </c>
      <c r="E28" s="841"/>
      <c r="F28" s="841"/>
      <c r="G28" s="841"/>
      <c r="H28" s="831">
        <v>0</v>
      </c>
      <c r="I28" s="841"/>
      <c r="J28" s="841"/>
      <c r="K28" s="841"/>
      <c r="L28" s="831">
        <v>0</v>
      </c>
      <c r="M28" s="841"/>
      <c r="N28" s="841"/>
      <c r="O28" s="841"/>
      <c r="P28" s="841"/>
      <c r="Q28" s="841"/>
      <c r="R28" s="841"/>
      <c r="S28" s="841"/>
      <c r="T28" s="823"/>
      <c r="U28" s="842"/>
      <c r="V28" s="842"/>
      <c r="W28" s="842"/>
      <c r="X28" s="842"/>
      <c r="Y28" s="842"/>
      <c r="Z28" s="842"/>
      <c r="AA28" s="842"/>
      <c r="AB28" s="31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A5" sqref="A5:B7"/>
    </sheetView>
  </sheetViews>
  <sheetFormatPr defaultColWidth="9.140625" defaultRowHeight="12.75"/>
  <cols>
    <col min="1" max="1" width="11.85546875" style="297" bestFit="1" customWidth="1"/>
    <col min="2" max="2" width="90.140625" style="297" bestFit="1" customWidth="1"/>
    <col min="3" max="3" width="20.140625" style="297" customWidth="1"/>
    <col min="4" max="4" width="22.140625" style="297" customWidth="1"/>
    <col min="5" max="7" width="17.140625" style="297" customWidth="1"/>
    <col min="8" max="8" width="22.140625" style="297" customWidth="1"/>
    <col min="9" max="10" width="17.140625" style="297" customWidth="1"/>
    <col min="11" max="27" width="22.140625" style="297" customWidth="1"/>
    <col min="28" max="16384" width="9.140625" style="297"/>
  </cols>
  <sheetData>
    <row r="1" spans="1:27" ht="13.5">
      <c r="A1" s="269" t="s">
        <v>30</v>
      </c>
      <c r="B1" s="445" t="str">
        <f>'Info '!C2</f>
        <v>JSC Isbank Georgia</v>
      </c>
    </row>
    <row r="2" spans="1:27" ht="13.5">
      <c r="A2" s="270" t="s">
        <v>31</v>
      </c>
      <c r="B2" s="446">
        <f>'1. key ratios '!B2</f>
        <v>46112</v>
      </c>
    </row>
    <row r="3" spans="1:27">
      <c r="A3" s="271" t="s">
        <v>446</v>
      </c>
      <c r="C3" s="299"/>
    </row>
    <row r="4" spans="1:27" ht="13.5" thickBot="1">
      <c r="A4" s="271"/>
      <c r="B4" s="363"/>
      <c r="C4" s="299"/>
    </row>
    <row r="5" spans="1:27" s="329" customFormat="1" ht="13.5" customHeight="1">
      <c r="A5" s="1000" t="s">
        <v>652</v>
      </c>
      <c r="B5" s="1001"/>
      <c r="C5" s="1009" t="s">
        <v>651</v>
      </c>
      <c r="D5" s="1010"/>
      <c r="E5" s="1010"/>
      <c r="F5" s="1010"/>
      <c r="G5" s="1010"/>
      <c r="H5" s="1010"/>
      <c r="I5" s="1010"/>
      <c r="J5" s="1010"/>
      <c r="K5" s="1010"/>
      <c r="L5" s="1010"/>
      <c r="M5" s="1010"/>
      <c r="N5" s="1010"/>
      <c r="O5" s="1010"/>
      <c r="P5" s="1010"/>
      <c r="Q5" s="1010"/>
      <c r="R5" s="1010"/>
      <c r="S5" s="1011"/>
      <c r="T5" s="328"/>
      <c r="U5" s="328"/>
      <c r="V5" s="328"/>
      <c r="W5" s="328"/>
      <c r="X5" s="328"/>
      <c r="Y5" s="328"/>
      <c r="Z5" s="328"/>
      <c r="AA5" s="327"/>
    </row>
    <row r="6" spans="1:27" s="329" customFormat="1" ht="12" customHeight="1">
      <c r="A6" s="1002"/>
      <c r="B6" s="1003"/>
      <c r="C6" s="1006" t="s">
        <v>64</v>
      </c>
      <c r="D6" s="998" t="s">
        <v>648</v>
      </c>
      <c r="E6" s="998"/>
      <c r="F6" s="998"/>
      <c r="G6" s="998"/>
      <c r="H6" s="998" t="s">
        <v>647</v>
      </c>
      <c r="I6" s="998"/>
      <c r="J6" s="998"/>
      <c r="K6" s="998"/>
      <c r="L6" s="326"/>
      <c r="M6" s="999" t="s">
        <v>646</v>
      </c>
      <c r="N6" s="999"/>
      <c r="O6" s="999"/>
      <c r="P6" s="999"/>
      <c r="Q6" s="999"/>
      <c r="R6" s="999"/>
      <c r="S6" s="1008"/>
      <c r="T6" s="328"/>
      <c r="U6" s="987" t="s">
        <v>645</v>
      </c>
      <c r="V6" s="987"/>
      <c r="W6" s="987"/>
      <c r="X6" s="987"/>
      <c r="Y6" s="987"/>
      <c r="Z6" s="987"/>
      <c r="AA6" s="980"/>
    </row>
    <row r="7" spans="1:27" s="329" customFormat="1" ht="25.5">
      <c r="A7" s="1004"/>
      <c r="B7" s="1005"/>
      <c r="C7" s="1007"/>
      <c r="D7" s="323"/>
      <c r="E7" s="321" t="s">
        <v>436</v>
      </c>
      <c r="F7" s="294" t="s">
        <v>643</v>
      </c>
      <c r="G7" s="296" t="s">
        <v>644</v>
      </c>
      <c r="H7" s="362"/>
      <c r="I7" s="321" t="s">
        <v>436</v>
      </c>
      <c r="J7" s="294" t="s">
        <v>643</v>
      </c>
      <c r="K7" s="296" t="s">
        <v>644</v>
      </c>
      <c r="L7" s="322"/>
      <c r="M7" s="321" t="s">
        <v>436</v>
      </c>
      <c r="N7" s="294" t="s">
        <v>643</v>
      </c>
      <c r="O7" s="294" t="s">
        <v>642</v>
      </c>
      <c r="P7" s="294" t="s">
        <v>641</v>
      </c>
      <c r="Q7" s="294" t="s">
        <v>640</v>
      </c>
      <c r="R7" s="294" t="s">
        <v>639</v>
      </c>
      <c r="S7" s="361" t="s">
        <v>638</v>
      </c>
      <c r="T7" s="360"/>
      <c r="U7" s="321" t="s">
        <v>436</v>
      </c>
      <c r="V7" s="321" t="s">
        <v>643</v>
      </c>
      <c r="W7" s="321" t="s">
        <v>642</v>
      </c>
      <c r="X7" s="321" t="s">
        <v>641</v>
      </c>
      <c r="Y7" s="321" t="s">
        <v>640</v>
      </c>
      <c r="Z7" s="294" t="s">
        <v>639</v>
      </c>
      <c r="AA7" s="321" t="s">
        <v>638</v>
      </c>
    </row>
    <row r="8" spans="1:27">
      <c r="A8" s="359">
        <v>1</v>
      </c>
      <c r="B8" s="358" t="s">
        <v>437</v>
      </c>
      <c r="C8" s="844">
        <v>327792645.06973404</v>
      </c>
      <c r="D8" s="839">
        <v>325966760.07566202</v>
      </c>
      <c r="E8" s="839">
        <v>20856233.041046001</v>
      </c>
      <c r="F8" s="839">
        <v>0</v>
      </c>
      <c r="G8" s="839">
        <v>0</v>
      </c>
      <c r="H8" s="839">
        <v>807917.62902599992</v>
      </c>
      <c r="I8" s="839">
        <v>506706.01999999996</v>
      </c>
      <c r="J8" s="839">
        <v>26727.669026000003</v>
      </c>
      <c r="K8" s="839">
        <v>0</v>
      </c>
      <c r="L8" s="839">
        <v>1017967.365046</v>
      </c>
      <c r="M8" s="839">
        <v>0</v>
      </c>
      <c r="N8" s="839">
        <v>0</v>
      </c>
      <c r="O8" s="839">
        <v>135170.51997600001</v>
      </c>
      <c r="P8" s="839">
        <v>480381.56954400009</v>
      </c>
      <c r="Q8" s="839">
        <v>337515.78322799993</v>
      </c>
      <c r="R8" s="839">
        <v>10705.03</v>
      </c>
      <c r="S8" s="845">
        <v>0</v>
      </c>
      <c r="T8" s="350"/>
      <c r="U8" s="290"/>
      <c r="V8" s="290"/>
      <c r="W8" s="290"/>
      <c r="X8" s="290"/>
      <c r="Y8" s="290"/>
      <c r="Z8" s="290"/>
      <c r="AA8" s="349"/>
    </row>
    <row r="9" spans="1:27">
      <c r="A9" s="356">
        <v>1.1000000000000001</v>
      </c>
      <c r="B9" s="357" t="s">
        <v>447</v>
      </c>
      <c r="C9" s="846">
        <v>256444822.53315401</v>
      </c>
      <c r="D9" s="829">
        <v>255090052.01252604</v>
      </c>
      <c r="E9" s="829">
        <v>18022257.081638001</v>
      </c>
      <c r="F9" s="829">
        <v>0</v>
      </c>
      <c r="G9" s="829">
        <v>0</v>
      </c>
      <c r="H9" s="829">
        <v>766667.29</v>
      </c>
      <c r="I9" s="829">
        <v>493862.42</v>
      </c>
      <c r="J9" s="829">
        <v>0</v>
      </c>
      <c r="K9" s="829">
        <v>0</v>
      </c>
      <c r="L9" s="829">
        <v>588103.23062799999</v>
      </c>
      <c r="M9" s="829">
        <v>0</v>
      </c>
      <c r="N9" s="829">
        <v>0</v>
      </c>
      <c r="O9" s="829">
        <v>113106.20940000001</v>
      </c>
      <c r="P9" s="829">
        <v>361990.12893000006</v>
      </c>
      <c r="Q9" s="829">
        <v>54419.29</v>
      </c>
      <c r="R9" s="829">
        <v>4393.1400000000003</v>
      </c>
      <c r="S9" s="847">
        <v>0</v>
      </c>
      <c r="T9" s="350"/>
      <c r="U9" s="290"/>
      <c r="V9" s="290"/>
      <c r="W9" s="290"/>
      <c r="X9" s="290"/>
      <c r="Y9" s="290"/>
      <c r="Z9" s="290"/>
      <c r="AA9" s="349"/>
    </row>
    <row r="10" spans="1:27">
      <c r="A10" s="354" t="s">
        <v>14</v>
      </c>
      <c r="B10" s="355" t="s">
        <v>448</v>
      </c>
      <c r="C10" s="848">
        <v>140252713.608596</v>
      </c>
      <c r="D10" s="829">
        <v>139812608.06689802</v>
      </c>
      <c r="E10" s="829">
        <v>18022257.081638001</v>
      </c>
      <c r="F10" s="829">
        <v>0</v>
      </c>
      <c r="G10" s="829">
        <v>0</v>
      </c>
      <c r="H10" s="829">
        <v>272804.87</v>
      </c>
      <c r="I10" s="829">
        <v>0</v>
      </c>
      <c r="J10" s="829">
        <v>0</v>
      </c>
      <c r="K10" s="829">
        <v>0</v>
      </c>
      <c r="L10" s="829">
        <v>167300.67169799999</v>
      </c>
      <c r="M10" s="829">
        <v>0</v>
      </c>
      <c r="N10" s="829">
        <v>0</v>
      </c>
      <c r="O10" s="829">
        <v>113106.20940000001</v>
      </c>
      <c r="P10" s="829">
        <v>0</v>
      </c>
      <c r="Q10" s="829">
        <v>0</v>
      </c>
      <c r="R10" s="829">
        <v>0</v>
      </c>
      <c r="S10" s="847">
        <v>0</v>
      </c>
      <c r="T10" s="350"/>
      <c r="U10" s="290"/>
      <c r="V10" s="290"/>
      <c r="W10" s="290"/>
      <c r="X10" s="290"/>
      <c r="Y10" s="290"/>
      <c r="Z10" s="290"/>
      <c r="AA10" s="349"/>
    </row>
    <row r="11" spans="1:27">
      <c r="A11" s="353" t="s">
        <v>449</v>
      </c>
      <c r="B11" s="352" t="s">
        <v>450</v>
      </c>
      <c r="C11" s="849">
        <v>43118938.487992011</v>
      </c>
      <c r="D11" s="829">
        <v>42678832.94629401</v>
      </c>
      <c r="E11" s="829">
        <v>2980748.7744380003</v>
      </c>
      <c r="F11" s="829">
        <v>0</v>
      </c>
      <c r="G11" s="829">
        <v>0</v>
      </c>
      <c r="H11" s="829">
        <v>272804.87</v>
      </c>
      <c r="I11" s="829">
        <v>0</v>
      </c>
      <c r="J11" s="829">
        <v>0</v>
      </c>
      <c r="K11" s="829">
        <v>0</v>
      </c>
      <c r="L11" s="829">
        <v>167300.67169799999</v>
      </c>
      <c r="M11" s="829">
        <v>0</v>
      </c>
      <c r="N11" s="829">
        <v>0</v>
      </c>
      <c r="O11" s="829">
        <v>113106.20940000001</v>
      </c>
      <c r="P11" s="829">
        <v>0</v>
      </c>
      <c r="Q11" s="829">
        <v>0</v>
      </c>
      <c r="R11" s="829">
        <v>0</v>
      </c>
      <c r="S11" s="847">
        <v>0</v>
      </c>
      <c r="T11" s="350"/>
      <c r="U11" s="290"/>
      <c r="V11" s="290"/>
      <c r="W11" s="290"/>
      <c r="X11" s="290"/>
      <c r="Y11" s="290"/>
      <c r="Z11" s="290"/>
      <c r="AA11" s="349"/>
    </row>
    <row r="12" spans="1:27">
      <c r="A12" s="353" t="s">
        <v>451</v>
      </c>
      <c r="B12" s="352" t="s">
        <v>452</v>
      </c>
      <c r="C12" s="849">
        <v>4929660.7722319998</v>
      </c>
      <c r="D12" s="829">
        <v>4929660.7722319998</v>
      </c>
      <c r="E12" s="829">
        <v>0</v>
      </c>
      <c r="F12" s="829">
        <v>0</v>
      </c>
      <c r="G12" s="829">
        <v>0</v>
      </c>
      <c r="H12" s="829">
        <v>0</v>
      </c>
      <c r="I12" s="829">
        <v>0</v>
      </c>
      <c r="J12" s="829">
        <v>0</v>
      </c>
      <c r="K12" s="829">
        <v>0</v>
      </c>
      <c r="L12" s="829">
        <v>0</v>
      </c>
      <c r="M12" s="829">
        <v>0</v>
      </c>
      <c r="N12" s="829">
        <v>0</v>
      </c>
      <c r="O12" s="829">
        <v>0</v>
      </c>
      <c r="P12" s="829">
        <v>0</v>
      </c>
      <c r="Q12" s="829">
        <v>0</v>
      </c>
      <c r="R12" s="829">
        <v>0</v>
      </c>
      <c r="S12" s="847">
        <v>0</v>
      </c>
      <c r="T12" s="350"/>
      <c r="U12" s="290"/>
      <c r="V12" s="290"/>
      <c r="W12" s="290"/>
      <c r="X12" s="290"/>
      <c r="Y12" s="290"/>
      <c r="Z12" s="290"/>
      <c r="AA12" s="349"/>
    </row>
    <row r="13" spans="1:27">
      <c r="A13" s="353" t="s">
        <v>453</v>
      </c>
      <c r="B13" s="352" t="s">
        <v>454</v>
      </c>
      <c r="C13" s="849">
        <v>26891455.187886</v>
      </c>
      <c r="D13" s="829">
        <v>26891455.187886</v>
      </c>
      <c r="E13" s="829">
        <v>15041508.307200002</v>
      </c>
      <c r="F13" s="829">
        <v>0</v>
      </c>
      <c r="G13" s="829">
        <v>0</v>
      </c>
      <c r="H13" s="829">
        <v>0</v>
      </c>
      <c r="I13" s="829">
        <v>0</v>
      </c>
      <c r="J13" s="829">
        <v>0</v>
      </c>
      <c r="K13" s="829">
        <v>0</v>
      </c>
      <c r="L13" s="829">
        <v>0</v>
      </c>
      <c r="M13" s="829">
        <v>0</v>
      </c>
      <c r="N13" s="829">
        <v>0</v>
      </c>
      <c r="O13" s="829">
        <v>0</v>
      </c>
      <c r="P13" s="829">
        <v>0</v>
      </c>
      <c r="Q13" s="829">
        <v>0</v>
      </c>
      <c r="R13" s="829">
        <v>0</v>
      </c>
      <c r="S13" s="847">
        <v>0</v>
      </c>
      <c r="T13" s="350"/>
      <c r="U13" s="290"/>
      <c r="V13" s="290"/>
      <c r="W13" s="290"/>
      <c r="X13" s="290"/>
      <c r="Y13" s="290"/>
      <c r="Z13" s="290"/>
      <c r="AA13" s="349"/>
    </row>
    <row r="14" spans="1:27">
      <c r="A14" s="353" t="s">
        <v>455</v>
      </c>
      <c r="B14" s="352" t="s">
        <v>456</v>
      </c>
      <c r="C14" s="849">
        <v>65312659.160485998</v>
      </c>
      <c r="D14" s="829">
        <v>65312659.160485998</v>
      </c>
      <c r="E14" s="829">
        <v>0</v>
      </c>
      <c r="F14" s="829">
        <v>0</v>
      </c>
      <c r="G14" s="829">
        <v>0</v>
      </c>
      <c r="H14" s="829">
        <v>0</v>
      </c>
      <c r="I14" s="829">
        <v>0</v>
      </c>
      <c r="J14" s="829">
        <v>0</v>
      </c>
      <c r="K14" s="829">
        <v>0</v>
      </c>
      <c r="L14" s="829">
        <v>0</v>
      </c>
      <c r="M14" s="829">
        <v>0</v>
      </c>
      <c r="N14" s="829">
        <v>0</v>
      </c>
      <c r="O14" s="829">
        <v>0</v>
      </c>
      <c r="P14" s="829">
        <v>0</v>
      </c>
      <c r="Q14" s="829">
        <v>0</v>
      </c>
      <c r="R14" s="829">
        <v>0</v>
      </c>
      <c r="S14" s="847">
        <v>0</v>
      </c>
      <c r="T14" s="350"/>
      <c r="U14" s="290"/>
      <c r="V14" s="290"/>
      <c r="W14" s="290"/>
      <c r="X14" s="290"/>
      <c r="Y14" s="290"/>
      <c r="Z14" s="290"/>
      <c r="AA14" s="349"/>
    </row>
    <row r="15" spans="1:27">
      <c r="A15" s="351">
        <v>1.2</v>
      </c>
      <c r="B15" s="347" t="s">
        <v>650</v>
      </c>
      <c r="C15" s="850">
        <v>1708593.2242375184</v>
      </c>
      <c r="D15" s="829">
        <v>960498.29255410575</v>
      </c>
      <c r="E15" s="829">
        <v>82399.722662169501</v>
      </c>
      <c r="F15" s="829">
        <v>0</v>
      </c>
      <c r="G15" s="829">
        <v>0</v>
      </c>
      <c r="H15" s="829">
        <v>29469.019841408033</v>
      </c>
      <c r="I15" s="829">
        <v>29468.700030036915</v>
      </c>
      <c r="J15" s="829">
        <v>0</v>
      </c>
      <c r="K15" s="829">
        <v>0</v>
      </c>
      <c r="L15" s="829">
        <v>718625.91184200498</v>
      </c>
      <c r="M15" s="829">
        <v>0</v>
      </c>
      <c r="N15" s="829">
        <v>0</v>
      </c>
      <c r="O15" s="829">
        <v>4.91310618249985E-9</v>
      </c>
      <c r="P15" s="829">
        <v>480381.56954400009</v>
      </c>
      <c r="Q15" s="829">
        <v>173344.85</v>
      </c>
      <c r="R15" s="829">
        <v>10705.03</v>
      </c>
      <c r="S15" s="847">
        <v>0</v>
      </c>
      <c r="T15" s="350"/>
      <c r="U15" s="290"/>
      <c r="V15" s="290"/>
      <c r="W15" s="290"/>
      <c r="X15" s="290"/>
      <c r="Y15" s="290"/>
      <c r="Z15" s="290"/>
      <c r="AA15" s="349"/>
    </row>
    <row r="16" spans="1:27">
      <c r="A16" s="348">
        <v>1.3</v>
      </c>
      <c r="B16" s="347" t="s">
        <v>495</v>
      </c>
      <c r="C16" s="851"/>
      <c r="D16" s="852"/>
      <c r="E16" s="852"/>
      <c r="F16" s="852"/>
      <c r="G16" s="852"/>
      <c r="H16" s="852"/>
      <c r="I16" s="852"/>
      <c r="J16" s="852"/>
      <c r="K16" s="852"/>
      <c r="L16" s="852"/>
      <c r="M16" s="852"/>
      <c r="N16" s="852"/>
      <c r="O16" s="852"/>
      <c r="P16" s="852"/>
      <c r="Q16" s="852"/>
      <c r="R16" s="852"/>
      <c r="S16" s="853"/>
      <c r="T16" s="346"/>
      <c r="U16" s="345"/>
      <c r="V16" s="345"/>
      <c r="W16" s="345"/>
      <c r="X16" s="345"/>
      <c r="Y16" s="345"/>
      <c r="Z16" s="345"/>
      <c r="AA16" s="344"/>
    </row>
    <row r="17" spans="1:27" s="329" customFormat="1">
      <c r="A17" s="342" t="s">
        <v>457</v>
      </c>
      <c r="B17" s="343" t="s">
        <v>458</v>
      </c>
      <c r="C17" s="854">
        <v>252529896.72803515</v>
      </c>
      <c r="D17" s="830">
        <v>251175126.20740718</v>
      </c>
      <c r="E17" s="830">
        <v>18022257.081638001</v>
      </c>
      <c r="F17" s="830">
        <v>0</v>
      </c>
      <c r="G17" s="830">
        <v>0</v>
      </c>
      <c r="H17" s="830">
        <v>766667.29</v>
      </c>
      <c r="I17" s="830">
        <v>493862.42</v>
      </c>
      <c r="J17" s="830">
        <v>0</v>
      </c>
      <c r="K17" s="830">
        <v>0</v>
      </c>
      <c r="L17" s="830">
        <v>588103.23062799999</v>
      </c>
      <c r="M17" s="830">
        <v>0</v>
      </c>
      <c r="N17" s="830">
        <v>0</v>
      </c>
      <c r="O17" s="830">
        <v>113106.20940000001</v>
      </c>
      <c r="P17" s="830">
        <v>361990.12893000006</v>
      </c>
      <c r="Q17" s="830">
        <v>54419.29</v>
      </c>
      <c r="R17" s="830">
        <v>4393.1400000000003</v>
      </c>
      <c r="S17" s="855">
        <v>0</v>
      </c>
      <c r="T17" s="336"/>
      <c r="U17" s="291"/>
      <c r="V17" s="291"/>
      <c r="W17" s="291"/>
      <c r="X17" s="291"/>
      <c r="Y17" s="291"/>
      <c r="Z17" s="291"/>
      <c r="AA17" s="335"/>
    </row>
    <row r="18" spans="1:27" s="329" customFormat="1">
      <c r="A18" s="339" t="s">
        <v>459</v>
      </c>
      <c r="B18" s="340" t="s">
        <v>460</v>
      </c>
      <c r="C18" s="856">
        <v>108761129.60982849</v>
      </c>
      <c r="D18" s="830">
        <v>108321024.06813048</v>
      </c>
      <c r="E18" s="830">
        <v>18022257.081638001</v>
      </c>
      <c r="F18" s="830">
        <v>0</v>
      </c>
      <c r="G18" s="830">
        <v>0</v>
      </c>
      <c r="H18" s="830">
        <v>272804.87</v>
      </c>
      <c r="I18" s="830">
        <v>0</v>
      </c>
      <c r="J18" s="830">
        <v>0</v>
      </c>
      <c r="K18" s="830">
        <v>0</v>
      </c>
      <c r="L18" s="830">
        <v>167300.67169799999</v>
      </c>
      <c r="M18" s="830">
        <v>0</v>
      </c>
      <c r="N18" s="830">
        <v>0</v>
      </c>
      <c r="O18" s="830">
        <v>113106.20940000001</v>
      </c>
      <c r="P18" s="830">
        <v>0</v>
      </c>
      <c r="Q18" s="830">
        <v>0</v>
      </c>
      <c r="R18" s="830">
        <v>0</v>
      </c>
      <c r="S18" s="855">
        <v>0</v>
      </c>
      <c r="T18" s="336"/>
      <c r="U18" s="291"/>
      <c r="V18" s="291"/>
      <c r="W18" s="291"/>
      <c r="X18" s="291"/>
      <c r="Y18" s="291"/>
      <c r="Z18" s="291"/>
      <c r="AA18" s="335"/>
    </row>
    <row r="19" spans="1:27" s="329" customFormat="1">
      <c r="A19" s="342" t="s">
        <v>461</v>
      </c>
      <c r="B19" s="341" t="s">
        <v>462</v>
      </c>
      <c r="C19" s="857">
        <v>245663741.16362116</v>
      </c>
      <c r="D19" s="830">
        <v>243836075.16571915</v>
      </c>
      <c r="E19" s="830">
        <v>26126246.6919</v>
      </c>
      <c r="F19" s="830">
        <v>0</v>
      </c>
      <c r="G19" s="830">
        <v>0</v>
      </c>
      <c r="H19" s="830">
        <v>544362.44999999995</v>
      </c>
      <c r="I19" s="830">
        <v>0</v>
      </c>
      <c r="J19" s="830">
        <v>0</v>
      </c>
      <c r="K19" s="830">
        <v>0</v>
      </c>
      <c r="L19" s="830">
        <v>1283303.5479020001</v>
      </c>
      <c r="M19" s="830">
        <v>0</v>
      </c>
      <c r="N19" s="830">
        <v>0</v>
      </c>
      <c r="O19" s="830">
        <v>1252521.6000000001</v>
      </c>
      <c r="P19" s="830">
        <v>0</v>
      </c>
      <c r="Q19" s="830">
        <v>0</v>
      </c>
      <c r="R19" s="830">
        <v>0</v>
      </c>
      <c r="S19" s="855">
        <v>0</v>
      </c>
      <c r="T19" s="336"/>
      <c r="U19" s="291"/>
      <c r="V19" s="291"/>
      <c r="W19" s="291"/>
      <c r="X19" s="291"/>
      <c r="Y19" s="291"/>
      <c r="Z19" s="291"/>
      <c r="AA19" s="335"/>
    </row>
    <row r="20" spans="1:27" s="329" customFormat="1">
      <c r="A20" s="339" t="s">
        <v>463</v>
      </c>
      <c r="B20" s="340" t="s">
        <v>460</v>
      </c>
      <c r="C20" s="856">
        <v>91430312.84840858</v>
      </c>
      <c r="D20" s="830">
        <v>89733897.979906589</v>
      </c>
      <c r="E20" s="830">
        <v>8103989.6102619981</v>
      </c>
      <c r="F20" s="830">
        <v>0</v>
      </c>
      <c r="G20" s="830">
        <v>0</v>
      </c>
      <c r="H20" s="830">
        <v>526217.53</v>
      </c>
      <c r="I20" s="830">
        <v>0</v>
      </c>
      <c r="J20" s="830">
        <v>0</v>
      </c>
      <c r="K20" s="830">
        <v>0</v>
      </c>
      <c r="L20" s="830">
        <v>1170197.3385020001</v>
      </c>
      <c r="M20" s="830">
        <v>0</v>
      </c>
      <c r="N20" s="830">
        <v>0</v>
      </c>
      <c r="O20" s="830">
        <v>1139415.3906</v>
      </c>
      <c r="P20" s="830">
        <v>0</v>
      </c>
      <c r="Q20" s="830">
        <v>0</v>
      </c>
      <c r="R20" s="830">
        <v>0</v>
      </c>
      <c r="S20" s="855">
        <v>0</v>
      </c>
      <c r="T20" s="336"/>
      <c r="U20" s="291"/>
      <c r="V20" s="291"/>
      <c r="W20" s="291"/>
      <c r="X20" s="291"/>
      <c r="Y20" s="291"/>
      <c r="Z20" s="291"/>
      <c r="AA20" s="335"/>
    </row>
    <row r="21" spans="1:27" s="329" customFormat="1">
      <c r="A21" s="338">
        <v>1.4</v>
      </c>
      <c r="B21" s="337" t="s">
        <v>464</v>
      </c>
      <c r="C21" s="858"/>
      <c r="D21" s="820"/>
      <c r="E21" s="820"/>
      <c r="F21" s="820"/>
      <c r="G21" s="820"/>
      <c r="H21" s="820"/>
      <c r="I21" s="820"/>
      <c r="J21" s="820"/>
      <c r="K21" s="820"/>
      <c r="L21" s="820"/>
      <c r="M21" s="820"/>
      <c r="N21" s="820"/>
      <c r="O21" s="820"/>
      <c r="P21" s="820"/>
      <c r="Q21" s="820"/>
      <c r="R21" s="820"/>
      <c r="S21" s="859"/>
      <c r="T21" s="336"/>
      <c r="U21" s="291"/>
      <c r="V21" s="291"/>
      <c r="W21" s="291"/>
      <c r="X21" s="291"/>
      <c r="Y21" s="291"/>
      <c r="Z21" s="291"/>
      <c r="AA21" s="335"/>
    </row>
    <row r="22" spans="1:27" s="329" customFormat="1" ht="13.5" thickBot="1">
      <c r="A22" s="334">
        <v>1.5</v>
      </c>
      <c r="B22" s="333" t="s">
        <v>465</v>
      </c>
      <c r="C22" s="860"/>
      <c r="D22" s="828"/>
      <c r="E22" s="828"/>
      <c r="F22" s="828"/>
      <c r="G22" s="828"/>
      <c r="H22" s="828"/>
      <c r="I22" s="828"/>
      <c r="J22" s="828"/>
      <c r="K22" s="828"/>
      <c r="L22" s="828"/>
      <c r="M22" s="828"/>
      <c r="N22" s="828"/>
      <c r="O22" s="828"/>
      <c r="P22" s="828"/>
      <c r="Q22" s="828"/>
      <c r="R22" s="828"/>
      <c r="S22" s="861"/>
      <c r="T22" s="332"/>
      <c r="U22" s="331"/>
      <c r="V22" s="331"/>
      <c r="W22" s="331"/>
      <c r="X22" s="331"/>
      <c r="Y22" s="331"/>
      <c r="Z22" s="331"/>
      <c r="AA22" s="330"/>
    </row>
    <row r="23" spans="1:27">
      <c r="A23" s="31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72"/>
  <sheetViews>
    <sheetView showGridLines="0" zoomScaleNormal="100" workbookViewId="0">
      <selection activeCell="B4" sqref="B4:B5"/>
    </sheetView>
  </sheetViews>
  <sheetFormatPr defaultColWidth="8.85546875" defaultRowHeight="15"/>
  <cols>
    <col min="1" max="1" width="8.85546875" style="420"/>
    <col min="2" max="2" width="69.140625" style="421" customWidth="1"/>
    <col min="3" max="3" width="13.5703125" style="417" customWidth="1"/>
    <col min="4" max="4" width="14.42578125" style="417" customWidth="1"/>
    <col min="5" max="8" width="13.140625" style="417" customWidth="1"/>
    <col min="9" max="16384" width="8.85546875" style="417"/>
  </cols>
  <sheetData>
    <row r="1" spans="1:8">
      <c r="A1" s="182" t="s">
        <v>30</v>
      </c>
      <c r="B1" s="445" t="str">
        <f>'Info '!C2</f>
        <v>JSC Isbank Georgia</v>
      </c>
      <c r="C1" s="416"/>
    </row>
    <row r="2" spans="1:8">
      <c r="A2" s="182" t="s">
        <v>31</v>
      </c>
      <c r="B2" s="446">
        <f>'1. key ratios '!B2</f>
        <v>46112</v>
      </c>
      <c r="C2" s="418"/>
      <c r="D2" s="419"/>
      <c r="E2" s="419"/>
      <c r="F2" s="419"/>
      <c r="G2" s="419"/>
      <c r="H2" s="419"/>
    </row>
    <row r="3" spans="1:8" ht="15.75" thickBot="1">
      <c r="A3" s="182"/>
      <c r="B3" s="418"/>
      <c r="C3" s="418"/>
      <c r="D3" s="419"/>
      <c r="E3" s="419"/>
      <c r="F3" s="419"/>
      <c r="G3" s="419"/>
      <c r="H3" s="419"/>
    </row>
    <row r="4" spans="1:8" ht="21" customHeight="1">
      <c r="A4" s="891" t="s">
        <v>6</v>
      </c>
      <c r="B4" s="893" t="s">
        <v>521</v>
      </c>
      <c r="C4" s="895" t="s">
        <v>522</v>
      </c>
      <c r="D4" s="895"/>
      <c r="E4" s="895"/>
      <c r="F4" s="895" t="s">
        <v>523</v>
      </c>
      <c r="G4" s="895"/>
      <c r="H4" s="896"/>
    </row>
    <row r="5" spans="1:8" ht="21" customHeight="1" thickBot="1">
      <c r="A5" s="892"/>
      <c r="B5" s="894"/>
      <c r="C5" s="557" t="s">
        <v>32</v>
      </c>
      <c r="D5" s="557" t="s">
        <v>33</v>
      </c>
      <c r="E5" s="557" t="s">
        <v>34</v>
      </c>
      <c r="F5" s="557" t="s">
        <v>32</v>
      </c>
      <c r="G5" s="557" t="s">
        <v>33</v>
      </c>
      <c r="H5" s="558" t="s">
        <v>34</v>
      </c>
    </row>
    <row r="6" spans="1:8" ht="26.45" customHeight="1" thickTop="1">
      <c r="A6" s="892"/>
      <c r="B6" s="442" t="s">
        <v>524</v>
      </c>
      <c r="C6" s="897"/>
      <c r="D6" s="898"/>
      <c r="E6" s="898"/>
      <c r="F6" s="898"/>
      <c r="G6" s="898"/>
      <c r="H6" s="899"/>
    </row>
    <row r="7" spans="1:8" ht="23.1" customHeight="1">
      <c r="A7" s="523">
        <v>1</v>
      </c>
      <c r="B7" s="506" t="s">
        <v>525</v>
      </c>
      <c r="C7" s="488">
        <f>SUM(C8:C10)</f>
        <v>10587838.942027085</v>
      </c>
      <c r="D7" s="498">
        <f>SUM(D8:D10)</f>
        <v>135115965.06644759</v>
      </c>
      <c r="E7" s="497">
        <f>C7+D7</f>
        <v>145703804.00847468</v>
      </c>
      <c r="F7" s="489">
        <f>SUM(F8:F10)</f>
        <v>17267181.871416401</v>
      </c>
      <c r="G7" s="498">
        <f>SUM(G8:G10)</f>
        <v>68982678.887909532</v>
      </c>
      <c r="H7" s="490">
        <f>F7+G7</f>
        <v>86249860.759325936</v>
      </c>
    </row>
    <row r="8" spans="1:8" ht="15.75">
      <c r="A8" s="523">
        <v>1.1000000000000001</v>
      </c>
      <c r="B8" s="507" t="s">
        <v>526</v>
      </c>
      <c r="C8" s="491">
        <v>352269.5</v>
      </c>
      <c r="D8" s="496">
        <v>1105255.172</v>
      </c>
      <c r="E8" s="497">
        <f t="shared" ref="E8:E36" si="0">C8+D8</f>
        <v>1457524.672</v>
      </c>
      <c r="F8" s="492">
        <v>232708</v>
      </c>
      <c r="G8" s="496">
        <v>586065.49450000003</v>
      </c>
      <c r="H8" s="490">
        <f t="shared" ref="H8:H36" si="1">F8+G8</f>
        <v>818773.49450000003</v>
      </c>
    </row>
    <row r="9" spans="1:8" ht="15.75">
      <c r="A9" s="523">
        <v>1.2</v>
      </c>
      <c r="B9" s="507" t="s">
        <v>527</v>
      </c>
      <c r="C9" s="491">
        <v>5240902.7688722247</v>
      </c>
      <c r="D9" s="496">
        <v>67837009.055210233</v>
      </c>
      <c r="E9" s="497">
        <f t="shared" si="0"/>
        <v>73077911.824082464</v>
      </c>
      <c r="F9" s="492">
        <v>2075995.6894999896</v>
      </c>
      <c r="G9" s="496">
        <v>49992105.805319786</v>
      </c>
      <c r="H9" s="490">
        <f t="shared" si="1"/>
        <v>52068101.494819775</v>
      </c>
    </row>
    <row r="10" spans="1:8" ht="15.75">
      <c r="A10" s="523">
        <v>1.3</v>
      </c>
      <c r="B10" s="507" t="s">
        <v>528</v>
      </c>
      <c r="C10" s="491">
        <v>4994666.6731548589</v>
      </c>
      <c r="D10" s="496">
        <v>66173700.83923734</v>
      </c>
      <c r="E10" s="497">
        <f t="shared" si="0"/>
        <v>71168367.512392193</v>
      </c>
      <c r="F10" s="492">
        <v>14958478.18191641</v>
      </c>
      <c r="G10" s="496">
        <v>18404507.588089749</v>
      </c>
      <c r="H10" s="490">
        <f t="shared" si="1"/>
        <v>33362985.770006157</v>
      </c>
    </row>
    <row r="11" spans="1:8" ht="15.75">
      <c r="A11" s="523">
        <v>2</v>
      </c>
      <c r="B11" s="508" t="s">
        <v>529</v>
      </c>
      <c r="C11" s="491"/>
      <c r="D11" s="496"/>
      <c r="E11" s="497">
        <f t="shared" si="0"/>
        <v>0</v>
      </c>
      <c r="F11" s="492"/>
      <c r="G11" s="496"/>
      <c r="H11" s="490">
        <f t="shared" si="1"/>
        <v>0</v>
      </c>
    </row>
    <row r="12" spans="1:8" ht="15.75">
      <c r="A12" s="523">
        <v>2.1</v>
      </c>
      <c r="B12" s="509" t="s">
        <v>530</v>
      </c>
      <c r="C12" s="491"/>
      <c r="D12" s="496"/>
      <c r="E12" s="497">
        <f t="shared" si="0"/>
        <v>0</v>
      </c>
      <c r="F12" s="492"/>
      <c r="G12" s="496"/>
      <c r="H12" s="490">
        <f t="shared" si="1"/>
        <v>0</v>
      </c>
    </row>
    <row r="13" spans="1:8" ht="26.45" customHeight="1">
      <c r="A13" s="523">
        <v>3</v>
      </c>
      <c r="B13" s="510" t="s">
        <v>531</v>
      </c>
      <c r="C13" s="491"/>
      <c r="D13" s="496"/>
      <c r="E13" s="497">
        <f t="shared" si="0"/>
        <v>0</v>
      </c>
      <c r="F13" s="492"/>
      <c r="G13" s="496"/>
      <c r="H13" s="490">
        <f t="shared" si="1"/>
        <v>0</v>
      </c>
    </row>
    <row r="14" spans="1:8" ht="26.45" customHeight="1">
      <c r="A14" s="523">
        <v>4</v>
      </c>
      <c r="B14" s="511" t="s">
        <v>532</v>
      </c>
      <c r="C14" s="491"/>
      <c r="D14" s="496"/>
      <c r="E14" s="497">
        <f t="shared" si="0"/>
        <v>0</v>
      </c>
      <c r="F14" s="492"/>
      <c r="G14" s="496"/>
      <c r="H14" s="490">
        <f t="shared" si="1"/>
        <v>0</v>
      </c>
    </row>
    <row r="15" spans="1:8" ht="24.6" customHeight="1">
      <c r="A15" s="523">
        <v>5</v>
      </c>
      <c r="B15" s="512" t="s">
        <v>533</v>
      </c>
      <c r="C15" s="493">
        <f>SUM(C16:C18)</f>
        <v>0</v>
      </c>
      <c r="D15" s="524">
        <f>SUM(D16:D18)</f>
        <v>0</v>
      </c>
      <c r="E15" s="525">
        <f t="shared" si="0"/>
        <v>0</v>
      </c>
      <c r="F15" s="494">
        <f>SUM(F16:F18)</f>
        <v>0</v>
      </c>
      <c r="G15" s="524">
        <f>SUM(G16:G18)</f>
        <v>0</v>
      </c>
      <c r="H15" s="495">
        <f t="shared" si="1"/>
        <v>0</v>
      </c>
    </row>
    <row r="16" spans="1:8" ht="15.75">
      <c r="A16" s="523">
        <v>5.0999999999999996</v>
      </c>
      <c r="B16" s="513" t="s">
        <v>534</v>
      </c>
      <c r="C16" s="491"/>
      <c r="D16" s="496"/>
      <c r="E16" s="497">
        <f t="shared" si="0"/>
        <v>0</v>
      </c>
      <c r="F16" s="492"/>
      <c r="G16" s="496"/>
      <c r="H16" s="490">
        <f t="shared" si="1"/>
        <v>0</v>
      </c>
    </row>
    <row r="17" spans="1:8" ht="15.75">
      <c r="A17" s="523">
        <v>5.2</v>
      </c>
      <c r="B17" s="513" t="s">
        <v>535</v>
      </c>
      <c r="C17" s="491"/>
      <c r="D17" s="496"/>
      <c r="E17" s="497">
        <f t="shared" si="0"/>
        <v>0</v>
      </c>
      <c r="F17" s="492"/>
      <c r="G17" s="496"/>
      <c r="H17" s="490">
        <f t="shared" si="1"/>
        <v>0</v>
      </c>
    </row>
    <row r="18" spans="1:8" ht="15.75">
      <c r="A18" s="523">
        <v>5.3</v>
      </c>
      <c r="B18" s="514" t="s">
        <v>536</v>
      </c>
      <c r="C18" s="491"/>
      <c r="D18" s="496"/>
      <c r="E18" s="497">
        <f t="shared" si="0"/>
        <v>0</v>
      </c>
      <c r="F18" s="492"/>
      <c r="G18" s="496"/>
      <c r="H18" s="490">
        <f t="shared" si="1"/>
        <v>0</v>
      </c>
    </row>
    <row r="19" spans="1:8" ht="15.75">
      <c r="A19" s="523">
        <v>6</v>
      </c>
      <c r="B19" s="510" t="s">
        <v>537</v>
      </c>
      <c r="C19" s="488">
        <f>SUM(C20:C21)</f>
        <v>246748285.06969404</v>
      </c>
      <c r="D19" s="498">
        <f>SUM(D20:D21)</f>
        <v>223425552.92342237</v>
      </c>
      <c r="E19" s="497">
        <f t="shared" si="0"/>
        <v>470173837.99311638</v>
      </c>
      <c r="F19" s="489">
        <f>SUM(F20:F21)</f>
        <v>192016368.6376045</v>
      </c>
      <c r="G19" s="498">
        <f>SUM(G20:G21)</f>
        <v>175931590.82940477</v>
      </c>
      <c r="H19" s="490">
        <f t="shared" si="1"/>
        <v>367947959.46700931</v>
      </c>
    </row>
    <row r="20" spans="1:8" ht="15.75">
      <c r="A20" s="523">
        <v>6.1</v>
      </c>
      <c r="B20" s="513" t="s">
        <v>535</v>
      </c>
      <c r="C20" s="491">
        <v>113599576.9473972</v>
      </c>
      <c r="D20" s="496">
        <v>30965948.185040031</v>
      </c>
      <c r="E20" s="497">
        <f t="shared" si="0"/>
        <v>144565525.13243723</v>
      </c>
      <c r="F20" s="492">
        <v>39022903.32658226</v>
      </c>
      <c r="G20" s="496">
        <v>8384537.7215577401</v>
      </c>
      <c r="H20" s="490">
        <f t="shared" si="1"/>
        <v>47407441.048140004</v>
      </c>
    </row>
    <row r="21" spans="1:8" ht="15.75">
      <c r="A21" s="523">
        <v>6.2</v>
      </c>
      <c r="B21" s="514" t="s">
        <v>536</v>
      </c>
      <c r="C21" s="491">
        <v>133148708.12229684</v>
      </c>
      <c r="D21" s="496">
        <v>192459604.73838234</v>
      </c>
      <c r="E21" s="497">
        <f t="shared" si="0"/>
        <v>325608312.86067915</v>
      </c>
      <c r="F21" s="492">
        <v>152993465.31102225</v>
      </c>
      <c r="G21" s="496">
        <v>167547053.10784703</v>
      </c>
      <c r="H21" s="490">
        <f t="shared" si="1"/>
        <v>320540518.41886926</v>
      </c>
    </row>
    <row r="22" spans="1:8" ht="15.75">
      <c r="A22" s="523">
        <v>7</v>
      </c>
      <c r="B22" s="508" t="s">
        <v>538</v>
      </c>
      <c r="C22" s="491"/>
      <c r="D22" s="496"/>
      <c r="E22" s="497">
        <f t="shared" si="0"/>
        <v>0</v>
      </c>
      <c r="F22" s="492"/>
      <c r="G22" s="496"/>
      <c r="H22" s="490">
        <f t="shared" si="1"/>
        <v>0</v>
      </c>
    </row>
    <row r="23" spans="1:8" ht="15.75">
      <c r="A23" s="523">
        <v>8</v>
      </c>
      <c r="B23" s="508" t="s">
        <v>539</v>
      </c>
      <c r="C23" s="491"/>
      <c r="D23" s="496"/>
      <c r="E23" s="497">
        <f t="shared" si="0"/>
        <v>0</v>
      </c>
      <c r="F23" s="492"/>
      <c r="G23" s="496"/>
      <c r="H23" s="490">
        <f t="shared" si="1"/>
        <v>0</v>
      </c>
    </row>
    <row r="24" spans="1:8" ht="15.75">
      <c r="A24" s="523">
        <v>9</v>
      </c>
      <c r="B24" s="511" t="s">
        <v>540</v>
      </c>
      <c r="C24" s="488">
        <f>SUM(C25:C26)</f>
        <v>6078828.7399999993</v>
      </c>
      <c r="D24" s="498">
        <f>SUM(D25:D26)</f>
        <v>0</v>
      </c>
      <c r="E24" s="497">
        <f t="shared" si="0"/>
        <v>6078828.7399999993</v>
      </c>
      <c r="F24" s="489">
        <f>SUM(F25:F26)</f>
        <v>6517159.959999999</v>
      </c>
      <c r="G24" s="498">
        <f>SUM(G25:G26)</f>
        <v>0</v>
      </c>
      <c r="H24" s="490">
        <f t="shared" si="1"/>
        <v>6517159.959999999</v>
      </c>
    </row>
    <row r="25" spans="1:8" ht="15.75">
      <c r="A25" s="523">
        <v>9.1</v>
      </c>
      <c r="B25" s="513" t="s">
        <v>541</v>
      </c>
      <c r="C25" s="491">
        <v>6078828.7399999993</v>
      </c>
      <c r="D25" s="496"/>
      <c r="E25" s="497">
        <f t="shared" si="0"/>
        <v>6078828.7399999993</v>
      </c>
      <c r="F25" s="492">
        <v>6517159.959999999</v>
      </c>
      <c r="G25" s="496"/>
      <c r="H25" s="490">
        <f t="shared" si="1"/>
        <v>6517159.959999999</v>
      </c>
    </row>
    <row r="26" spans="1:8" ht="15.75">
      <c r="A26" s="523">
        <v>9.1999999999999993</v>
      </c>
      <c r="B26" s="513" t="s">
        <v>542</v>
      </c>
      <c r="C26" s="491"/>
      <c r="D26" s="496"/>
      <c r="E26" s="497">
        <f t="shared" si="0"/>
        <v>0</v>
      </c>
      <c r="F26" s="492"/>
      <c r="G26" s="496"/>
      <c r="H26" s="490">
        <f t="shared" si="1"/>
        <v>0</v>
      </c>
    </row>
    <row r="27" spans="1:8" ht="15.75">
      <c r="A27" s="523">
        <v>10</v>
      </c>
      <c r="B27" s="511" t="s">
        <v>543</v>
      </c>
      <c r="C27" s="488">
        <f>SUM(C28:C29)</f>
        <v>2463590.19</v>
      </c>
      <c r="D27" s="498">
        <f>SUM(D28:D29)</f>
        <v>0</v>
      </c>
      <c r="E27" s="497">
        <f t="shared" si="0"/>
        <v>2463590.19</v>
      </c>
      <c r="F27" s="489">
        <f>SUM(F28:F29)</f>
        <v>2674939.83</v>
      </c>
      <c r="G27" s="498">
        <f>SUM(G28:G29)</f>
        <v>0</v>
      </c>
      <c r="H27" s="490">
        <f t="shared" si="1"/>
        <v>2674939.83</v>
      </c>
    </row>
    <row r="28" spans="1:8" ht="15.75">
      <c r="A28" s="523">
        <v>10.1</v>
      </c>
      <c r="B28" s="513" t="s">
        <v>544</v>
      </c>
      <c r="C28" s="491"/>
      <c r="D28" s="496"/>
      <c r="E28" s="497">
        <f t="shared" si="0"/>
        <v>0</v>
      </c>
      <c r="F28" s="492"/>
      <c r="G28" s="496"/>
      <c r="H28" s="490">
        <f t="shared" si="1"/>
        <v>0</v>
      </c>
    </row>
    <row r="29" spans="1:8" ht="15.75">
      <c r="A29" s="523">
        <v>10.199999999999999</v>
      </c>
      <c r="B29" s="513" t="s">
        <v>545</v>
      </c>
      <c r="C29" s="491">
        <v>2463590.19</v>
      </c>
      <c r="D29" s="496"/>
      <c r="E29" s="497">
        <f t="shared" si="0"/>
        <v>2463590.19</v>
      </c>
      <c r="F29" s="492">
        <v>2674939.83</v>
      </c>
      <c r="G29" s="496"/>
      <c r="H29" s="490">
        <f t="shared" si="1"/>
        <v>2674939.83</v>
      </c>
    </row>
    <row r="30" spans="1:8" ht="15.75">
      <c r="A30" s="523">
        <v>11</v>
      </c>
      <c r="B30" s="511" t="s">
        <v>546</v>
      </c>
      <c r="C30" s="488">
        <f>SUM(C31:C32)</f>
        <v>680266.4800000001</v>
      </c>
      <c r="D30" s="498">
        <f>SUM(D31:D32)</f>
        <v>0</v>
      </c>
      <c r="E30" s="497">
        <f t="shared" si="0"/>
        <v>680266.4800000001</v>
      </c>
      <c r="F30" s="489">
        <f>SUM(F31:F32)</f>
        <v>3805017.28</v>
      </c>
      <c r="G30" s="498">
        <f>SUM(G31:G32)</f>
        <v>0</v>
      </c>
      <c r="H30" s="490">
        <f t="shared" si="1"/>
        <v>3805017.28</v>
      </c>
    </row>
    <row r="31" spans="1:8" ht="15.75">
      <c r="A31" s="523">
        <v>11.1</v>
      </c>
      <c r="B31" s="513" t="s">
        <v>547</v>
      </c>
      <c r="C31" s="491">
        <v>680266.4800000001</v>
      </c>
      <c r="D31" s="496"/>
      <c r="E31" s="497">
        <f t="shared" si="0"/>
        <v>680266.4800000001</v>
      </c>
      <c r="F31" s="492">
        <v>3805017.28</v>
      </c>
      <c r="G31" s="496"/>
      <c r="H31" s="490">
        <f t="shared" si="1"/>
        <v>3805017.28</v>
      </c>
    </row>
    <row r="32" spans="1:8" ht="15.75">
      <c r="A32" s="523">
        <v>11.2</v>
      </c>
      <c r="B32" s="513" t="s">
        <v>548</v>
      </c>
      <c r="C32" s="491"/>
      <c r="D32" s="496"/>
      <c r="E32" s="497">
        <f t="shared" si="0"/>
        <v>0</v>
      </c>
      <c r="F32" s="492"/>
      <c r="G32" s="496"/>
      <c r="H32" s="490">
        <f t="shared" si="1"/>
        <v>0</v>
      </c>
    </row>
    <row r="33" spans="1:8" ht="15.75">
      <c r="A33" s="523">
        <v>13</v>
      </c>
      <c r="B33" s="511" t="s">
        <v>549</v>
      </c>
      <c r="C33" s="488">
        <v>1968276.96</v>
      </c>
      <c r="D33" s="498">
        <v>4147075.5670108353</v>
      </c>
      <c r="E33" s="497">
        <f t="shared" si="0"/>
        <v>6115352.5270108357</v>
      </c>
      <c r="F33" s="489">
        <v>3673353.71</v>
      </c>
      <c r="G33" s="498">
        <v>811692.96678600018</v>
      </c>
      <c r="H33" s="490">
        <f t="shared" si="1"/>
        <v>4485046.6767859999</v>
      </c>
    </row>
    <row r="34" spans="1:8" ht="15.75">
      <c r="A34" s="523">
        <v>13.1</v>
      </c>
      <c r="B34" s="515" t="s">
        <v>550</v>
      </c>
      <c r="C34" s="491">
        <v>366254.59</v>
      </c>
      <c r="D34" s="496"/>
      <c r="E34" s="497">
        <f t="shared" si="0"/>
        <v>366254.59</v>
      </c>
      <c r="F34" s="492">
        <v>1349093.18</v>
      </c>
      <c r="G34" s="496"/>
      <c r="H34" s="490">
        <f t="shared" si="1"/>
        <v>1349093.18</v>
      </c>
    </row>
    <row r="35" spans="1:8" ht="15.75">
      <c r="A35" s="523">
        <v>13.2</v>
      </c>
      <c r="B35" s="515" t="s">
        <v>551</v>
      </c>
      <c r="C35" s="491"/>
      <c r="D35" s="496"/>
      <c r="E35" s="497">
        <f t="shared" si="0"/>
        <v>0</v>
      </c>
      <c r="F35" s="492"/>
      <c r="G35" s="496"/>
      <c r="H35" s="490">
        <f t="shared" si="1"/>
        <v>0</v>
      </c>
    </row>
    <row r="36" spans="1:8" ht="15.75">
      <c r="A36" s="523">
        <v>14</v>
      </c>
      <c r="B36" s="511" t="s">
        <v>552</v>
      </c>
      <c r="C36" s="488">
        <f>SUM(C7,C11,C13,C14,C15,C19,C22,C23,C24,C27,C30,C33)</f>
        <v>268527086.38172114</v>
      </c>
      <c r="D36" s="498">
        <f>SUM(D7,D11,D13,D14,D15,D19,D22,D23,D24,D27,D30,D33)</f>
        <v>362688593.55688077</v>
      </c>
      <c r="E36" s="497">
        <f t="shared" si="0"/>
        <v>631215679.93860197</v>
      </c>
      <c r="F36" s="489">
        <f>SUM(F7,F11,F13,F14,F15,F19,F22,F23,F24,F27,F30,F33)</f>
        <v>225954021.28902093</v>
      </c>
      <c r="G36" s="498">
        <f>SUM(G7,G11,G13,G14,G15,G19,G22,G23,G24,G27,G30,G33)</f>
        <v>245725962.6841003</v>
      </c>
      <c r="H36" s="490">
        <f t="shared" si="1"/>
        <v>471679983.97312123</v>
      </c>
    </row>
    <row r="37" spans="1:8" ht="22.5" customHeight="1">
      <c r="A37" s="523"/>
      <c r="B37" s="516" t="s">
        <v>553</v>
      </c>
      <c r="C37" s="888"/>
      <c r="D37" s="889"/>
      <c r="E37" s="889"/>
      <c r="F37" s="889"/>
      <c r="G37" s="889"/>
      <c r="H37" s="890"/>
    </row>
    <row r="38" spans="1:8" ht="15.75">
      <c r="A38" s="523">
        <v>15</v>
      </c>
      <c r="B38" s="508" t="s">
        <v>554</v>
      </c>
      <c r="C38" s="491"/>
      <c r="D38" s="496"/>
      <c r="E38" s="497">
        <f>C38+D38</f>
        <v>0</v>
      </c>
      <c r="F38" s="492"/>
      <c r="G38" s="496"/>
      <c r="H38" s="490">
        <f>F38+G38</f>
        <v>0</v>
      </c>
    </row>
    <row r="39" spans="1:8" ht="15.75">
      <c r="A39" s="523">
        <v>15.1</v>
      </c>
      <c r="B39" s="509" t="s">
        <v>530</v>
      </c>
      <c r="C39" s="491"/>
      <c r="D39" s="496"/>
      <c r="E39" s="497">
        <f t="shared" ref="E39:E53" si="2">C39+D39</f>
        <v>0</v>
      </c>
      <c r="F39" s="492"/>
      <c r="G39" s="496"/>
      <c r="H39" s="490">
        <f t="shared" ref="H39:H53" si="3">F39+G39</f>
        <v>0</v>
      </c>
    </row>
    <row r="40" spans="1:8" ht="24" customHeight="1">
      <c r="A40" s="523">
        <v>16</v>
      </c>
      <c r="B40" s="508" t="s">
        <v>555</v>
      </c>
      <c r="C40" s="491"/>
      <c r="D40" s="496"/>
      <c r="E40" s="497">
        <f t="shared" si="2"/>
        <v>0</v>
      </c>
      <c r="F40" s="492"/>
      <c r="G40" s="496"/>
      <c r="H40" s="490">
        <f t="shared" si="3"/>
        <v>0</v>
      </c>
    </row>
    <row r="41" spans="1:8" ht="15.75">
      <c r="A41" s="523">
        <v>17</v>
      </c>
      <c r="B41" s="508" t="s">
        <v>556</v>
      </c>
      <c r="C41" s="488">
        <f>SUM(C42:C45)</f>
        <v>101287080.84679987</v>
      </c>
      <c r="D41" s="498">
        <f>SUM(D42:D45)</f>
        <v>340384563.40142626</v>
      </c>
      <c r="E41" s="497">
        <f t="shared" si="2"/>
        <v>441671644.24822611</v>
      </c>
      <c r="F41" s="489">
        <f>SUM(F42:F45)</f>
        <v>71403620.705199972</v>
      </c>
      <c r="G41" s="498">
        <f>SUM(G42:G45)</f>
        <v>243849474.18231046</v>
      </c>
      <c r="H41" s="490">
        <f t="shared" si="3"/>
        <v>315253094.88751042</v>
      </c>
    </row>
    <row r="42" spans="1:8" ht="15.75">
      <c r="A42" s="523">
        <v>17.100000000000001</v>
      </c>
      <c r="B42" s="517" t="s">
        <v>557</v>
      </c>
      <c r="C42" s="491">
        <v>101287080.84679987</v>
      </c>
      <c r="D42" s="496">
        <v>291434619.26888895</v>
      </c>
      <c r="E42" s="497">
        <f t="shared" si="2"/>
        <v>392721700.1156888</v>
      </c>
      <c r="F42" s="492">
        <v>54383826.185199969</v>
      </c>
      <c r="G42" s="496">
        <v>170517385.85834306</v>
      </c>
      <c r="H42" s="490">
        <f t="shared" si="3"/>
        <v>224901212.04354304</v>
      </c>
    </row>
    <row r="43" spans="1:8" ht="15.75">
      <c r="A43" s="523">
        <v>17.2</v>
      </c>
      <c r="B43" s="507" t="s">
        <v>558</v>
      </c>
      <c r="C43" s="491">
        <v>0</v>
      </c>
      <c r="D43" s="496">
        <v>45398252.669283353</v>
      </c>
      <c r="E43" s="497">
        <f t="shared" si="2"/>
        <v>45398252.669283353</v>
      </c>
      <c r="F43" s="492">
        <v>17019794.52</v>
      </c>
      <c r="G43" s="496">
        <v>69203768.998964399</v>
      </c>
      <c r="H43" s="490">
        <f t="shared" si="3"/>
        <v>86223563.518964395</v>
      </c>
    </row>
    <row r="44" spans="1:8" ht="15.75">
      <c r="A44" s="523">
        <v>17.3</v>
      </c>
      <c r="B44" s="517" t="s">
        <v>559</v>
      </c>
      <c r="C44" s="491"/>
      <c r="D44" s="496"/>
      <c r="E44" s="497">
        <f t="shared" si="2"/>
        <v>0</v>
      </c>
      <c r="F44" s="492"/>
      <c r="G44" s="496"/>
      <c r="H44" s="490">
        <f t="shared" si="3"/>
        <v>0</v>
      </c>
    </row>
    <row r="45" spans="1:8" ht="15.75">
      <c r="A45" s="523">
        <v>17.399999999999999</v>
      </c>
      <c r="B45" s="517" t="s">
        <v>560</v>
      </c>
      <c r="C45" s="491"/>
      <c r="D45" s="496">
        <v>3551691.4632540001</v>
      </c>
      <c r="E45" s="497">
        <f t="shared" si="2"/>
        <v>3551691.4632540001</v>
      </c>
      <c r="F45" s="492"/>
      <c r="G45" s="876">
        <v>4128319.325003</v>
      </c>
      <c r="H45" s="490">
        <f t="shared" si="3"/>
        <v>4128319.325003</v>
      </c>
    </row>
    <row r="46" spans="1:8" ht="15.75">
      <c r="A46" s="523">
        <v>18</v>
      </c>
      <c r="B46" s="518" t="s">
        <v>561</v>
      </c>
      <c r="C46" s="488">
        <v>108160.13067406423</v>
      </c>
      <c r="D46" s="498">
        <v>177765.98591951997</v>
      </c>
      <c r="E46" s="497">
        <f t="shared" si="2"/>
        <v>285926.11659358419</v>
      </c>
      <c r="F46" s="489">
        <v>144147.21958041983</v>
      </c>
      <c r="G46" s="498">
        <v>248028.24519640062</v>
      </c>
      <c r="H46" s="490">
        <f t="shared" si="3"/>
        <v>392175.46477682044</v>
      </c>
    </row>
    <row r="47" spans="1:8" ht="15.75">
      <c r="A47" s="523">
        <v>19</v>
      </c>
      <c r="B47" s="518" t="s">
        <v>562</v>
      </c>
      <c r="C47" s="488">
        <f>SUM(C48:C49)</f>
        <v>0</v>
      </c>
      <c r="D47" s="498">
        <f>SUM(D48:D49)</f>
        <v>0</v>
      </c>
      <c r="E47" s="497">
        <f t="shared" si="2"/>
        <v>0</v>
      </c>
      <c r="F47" s="489">
        <v>906494.23622952309</v>
      </c>
      <c r="G47" s="498">
        <f>SUM(G48:G49)</f>
        <v>0</v>
      </c>
      <c r="H47" s="490">
        <f t="shared" si="3"/>
        <v>906494.23622952309</v>
      </c>
    </row>
    <row r="48" spans="1:8" ht="15.75">
      <c r="A48" s="523">
        <v>19.100000000000001</v>
      </c>
      <c r="B48" s="519" t="s">
        <v>563</v>
      </c>
      <c r="C48" s="491">
        <v>0</v>
      </c>
      <c r="D48" s="496"/>
      <c r="E48" s="497">
        <f t="shared" si="2"/>
        <v>0</v>
      </c>
      <c r="F48" s="492">
        <v>906494.23622952309</v>
      </c>
      <c r="G48" s="496"/>
      <c r="H48" s="490">
        <f t="shared" si="3"/>
        <v>906494.23622952309</v>
      </c>
    </row>
    <row r="49" spans="1:8" ht="15.75">
      <c r="A49" s="523">
        <v>19.2</v>
      </c>
      <c r="B49" s="519" t="s">
        <v>564</v>
      </c>
      <c r="C49" s="491"/>
      <c r="D49" s="496"/>
      <c r="E49" s="497">
        <f t="shared" si="2"/>
        <v>0</v>
      </c>
      <c r="F49" s="492"/>
      <c r="G49" s="496"/>
      <c r="H49" s="490">
        <f t="shared" si="3"/>
        <v>0</v>
      </c>
    </row>
    <row r="50" spans="1:8" ht="15.75">
      <c r="A50" s="523">
        <v>20</v>
      </c>
      <c r="B50" s="423" t="s">
        <v>565</v>
      </c>
      <c r="C50" s="491"/>
      <c r="D50" s="496">
        <v>13797414.644574001</v>
      </c>
      <c r="E50" s="497">
        <f t="shared" si="2"/>
        <v>13797414.644574001</v>
      </c>
      <c r="F50" s="492"/>
      <c r="G50" s="496"/>
      <c r="H50" s="490">
        <f t="shared" si="3"/>
        <v>0</v>
      </c>
    </row>
    <row r="51" spans="1:8" ht="15.75">
      <c r="A51" s="523">
        <v>21</v>
      </c>
      <c r="B51" s="508" t="s">
        <v>566</v>
      </c>
      <c r="C51" s="488">
        <v>1897719.35799384</v>
      </c>
      <c r="D51" s="498">
        <v>9244937.6704679988</v>
      </c>
      <c r="E51" s="497">
        <f t="shared" si="2"/>
        <v>11142657.028461838</v>
      </c>
      <c r="F51" s="489">
        <v>2670845.3534419383</v>
      </c>
      <c r="G51" s="498">
        <v>2666739.5394249996</v>
      </c>
      <c r="H51" s="490">
        <f t="shared" si="3"/>
        <v>5337584.8928669374</v>
      </c>
    </row>
    <row r="52" spans="1:8" ht="15.75">
      <c r="A52" s="523">
        <v>21.1</v>
      </c>
      <c r="B52" s="507" t="s">
        <v>567</v>
      </c>
      <c r="C52" s="491"/>
      <c r="D52" s="496"/>
      <c r="E52" s="497">
        <f t="shared" si="2"/>
        <v>0</v>
      </c>
      <c r="F52" s="492"/>
      <c r="G52" s="496"/>
      <c r="H52" s="490">
        <f t="shared" si="3"/>
        <v>0</v>
      </c>
    </row>
    <row r="53" spans="1:8" ht="15.75">
      <c r="A53" s="523">
        <v>22</v>
      </c>
      <c r="B53" s="512" t="s">
        <v>568</v>
      </c>
      <c r="C53" s="488">
        <f>SUM(C38,C40,C41,C46,C47,C50,C51)</f>
        <v>103292960.33546777</v>
      </c>
      <c r="D53" s="498">
        <f>SUM(D38,D40,D41,D46,D47,D50,D51)</f>
        <v>363604681.70238775</v>
      </c>
      <c r="E53" s="497">
        <f t="shared" si="2"/>
        <v>466897642.03785551</v>
      </c>
      <c r="F53" s="489">
        <f>SUM(F38,F40,F41,F46,F47,F50,F51)</f>
        <v>75125107.514451861</v>
      </c>
      <c r="G53" s="498">
        <f>SUM(G38,G40,G41,G46,G47,G50,G51)</f>
        <v>246764241.96693185</v>
      </c>
      <c r="H53" s="490">
        <f t="shared" si="3"/>
        <v>321889349.48138368</v>
      </c>
    </row>
    <row r="54" spans="1:8" ht="24" customHeight="1">
      <c r="A54" s="523"/>
      <c r="B54" s="516" t="s">
        <v>569</v>
      </c>
      <c r="C54" s="888"/>
      <c r="D54" s="889"/>
      <c r="E54" s="889"/>
      <c r="F54" s="889"/>
      <c r="G54" s="889"/>
      <c r="H54" s="890"/>
    </row>
    <row r="55" spans="1:8" ht="15.75">
      <c r="A55" s="523">
        <v>23</v>
      </c>
      <c r="B55" s="423" t="s">
        <v>710</v>
      </c>
      <c r="C55" s="491">
        <v>69161600</v>
      </c>
      <c r="D55" s="496"/>
      <c r="E55" s="497">
        <f>C55+D55</f>
        <v>69161600</v>
      </c>
      <c r="F55" s="492">
        <v>69161600</v>
      </c>
      <c r="G55" s="496"/>
      <c r="H55" s="490">
        <f>F55+G55</f>
        <v>69161600</v>
      </c>
    </row>
    <row r="56" spans="1:8" ht="15.75">
      <c r="A56" s="523">
        <v>24</v>
      </c>
      <c r="B56" s="423" t="s">
        <v>571</v>
      </c>
      <c r="C56" s="491"/>
      <c r="D56" s="496"/>
      <c r="E56" s="497">
        <f t="shared" ref="E56:E69" si="4">C56+D56</f>
        <v>0</v>
      </c>
      <c r="F56" s="492"/>
      <c r="G56" s="496"/>
      <c r="H56" s="490">
        <f t="shared" ref="H56:H69" si="5">F56+G56</f>
        <v>0</v>
      </c>
    </row>
    <row r="57" spans="1:8" ht="15.75">
      <c r="A57" s="523">
        <v>25</v>
      </c>
      <c r="B57" s="518" t="s">
        <v>572</v>
      </c>
      <c r="C57" s="491"/>
      <c r="D57" s="496"/>
      <c r="E57" s="497">
        <f t="shared" si="4"/>
        <v>0</v>
      </c>
      <c r="F57" s="492"/>
      <c r="G57" s="496"/>
      <c r="H57" s="490">
        <f t="shared" si="5"/>
        <v>0</v>
      </c>
    </row>
    <row r="58" spans="1:8" ht="15.75">
      <c r="A58" s="523">
        <v>26</v>
      </c>
      <c r="B58" s="518" t="s">
        <v>573</v>
      </c>
      <c r="C58" s="491"/>
      <c r="D58" s="496"/>
      <c r="E58" s="497">
        <f t="shared" si="4"/>
        <v>0</v>
      </c>
      <c r="F58" s="492"/>
      <c r="G58" s="496"/>
      <c r="H58" s="490">
        <f t="shared" si="5"/>
        <v>0</v>
      </c>
    </row>
    <row r="59" spans="1:8" ht="15.75">
      <c r="A59" s="523">
        <v>27</v>
      </c>
      <c r="B59" s="518" t="s">
        <v>574</v>
      </c>
      <c r="C59" s="491">
        <f>SUM(C60:C61)</f>
        <v>0</v>
      </c>
      <c r="D59" s="496">
        <f>SUM(D60:D61)</f>
        <v>0</v>
      </c>
      <c r="E59" s="497">
        <f t="shared" si="4"/>
        <v>0</v>
      </c>
      <c r="F59" s="492"/>
      <c r="G59" s="496"/>
      <c r="H59" s="490">
        <f t="shared" si="5"/>
        <v>0</v>
      </c>
    </row>
    <row r="60" spans="1:8" ht="15.75">
      <c r="A60" s="523">
        <v>27.1</v>
      </c>
      <c r="B60" s="517" t="s">
        <v>575</v>
      </c>
      <c r="C60" s="491"/>
      <c r="D60" s="496"/>
      <c r="E60" s="497">
        <f t="shared" si="4"/>
        <v>0</v>
      </c>
      <c r="F60" s="492"/>
      <c r="G60" s="496"/>
      <c r="H60" s="490">
        <f t="shared" si="5"/>
        <v>0</v>
      </c>
    </row>
    <row r="61" spans="1:8" ht="15.75">
      <c r="A61" s="523">
        <v>27.2</v>
      </c>
      <c r="B61" s="517" t="s">
        <v>576</v>
      </c>
      <c r="C61" s="491"/>
      <c r="D61" s="496"/>
      <c r="E61" s="497">
        <f t="shared" si="4"/>
        <v>0</v>
      </c>
      <c r="F61" s="492"/>
      <c r="G61" s="496"/>
      <c r="H61" s="490">
        <f t="shared" si="5"/>
        <v>0</v>
      </c>
    </row>
    <row r="62" spans="1:8" ht="15.75">
      <c r="A62" s="523">
        <v>28</v>
      </c>
      <c r="B62" s="520" t="s">
        <v>577</v>
      </c>
      <c r="C62" s="491"/>
      <c r="D62" s="496"/>
      <c r="E62" s="497">
        <f t="shared" si="4"/>
        <v>0</v>
      </c>
      <c r="F62" s="492"/>
      <c r="G62" s="496"/>
      <c r="H62" s="490">
        <f t="shared" si="5"/>
        <v>0</v>
      </c>
    </row>
    <row r="63" spans="1:8" ht="15.75">
      <c r="A63" s="523">
        <v>29</v>
      </c>
      <c r="B63" s="518" t="s">
        <v>578</v>
      </c>
      <c r="C63" s="491">
        <f>SUM(C64:C66)</f>
        <v>0</v>
      </c>
      <c r="D63" s="496">
        <f>SUM(D64:D66)</f>
        <v>0</v>
      </c>
      <c r="E63" s="497">
        <f t="shared" si="4"/>
        <v>0</v>
      </c>
      <c r="F63" s="492"/>
      <c r="G63" s="496"/>
      <c r="H63" s="490">
        <f t="shared" si="5"/>
        <v>0</v>
      </c>
    </row>
    <row r="64" spans="1:8" ht="15.75">
      <c r="A64" s="523">
        <v>29.1</v>
      </c>
      <c r="B64" s="514" t="s">
        <v>579</v>
      </c>
      <c r="C64" s="491"/>
      <c r="D64" s="496"/>
      <c r="E64" s="497">
        <f t="shared" si="4"/>
        <v>0</v>
      </c>
      <c r="F64" s="492"/>
      <c r="G64" s="496"/>
      <c r="H64" s="490">
        <f t="shared" si="5"/>
        <v>0</v>
      </c>
    </row>
    <row r="65" spans="1:8" ht="24.95" customHeight="1">
      <c r="A65" s="523">
        <v>29.2</v>
      </c>
      <c r="B65" s="521" t="s">
        <v>580</v>
      </c>
      <c r="C65" s="491"/>
      <c r="D65" s="496"/>
      <c r="E65" s="497">
        <f t="shared" si="4"/>
        <v>0</v>
      </c>
      <c r="F65" s="492"/>
      <c r="G65" s="496"/>
      <c r="H65" s="490">
        <f t="shared" si="5"/>
        <v>0</v>
      </c>
    </row>
    <row r="66" spans="1:8" ht="22.5" customHeight="1">
      <c r="A66" s="523">
        <v>29.3</v>
      </c>
      <c r="B66" s="521" t="s">
        <v>581</v>
      </c>
      <c r="C66" s="491"/>
      <c r="D66" s="496"/>
      <c r="E66" s="497">
        <f t="shared" si="4"/>
        <v>0</v>
      </c>
      <c r="F66" s="492"/>
      <c r="G66" s="496"/>
      <c r="H66" s="490">
        <f t="shared" si="5"/>
        <v>0</v>
      </c>
    </row>
    <row r="67" spans="1:8" ht="15.75">
      <c r="A67" s="523">
        <v>30</v>
      </c>
      <c r="B67" s="511" t="s">
        <v>582</v>
      </c>
      <c r="C67" s="491">
        <v>95156437.900746241</v>
      </c>
      <c r="D67" s="496"/>
      <c r="E67" s="497">
        <f t="shared" si="4"/>
        <v>95156437.900746241</v>
      </c>
      <c r="F67" s="492">
        <v>80629034.491737574</v>
      </c>
      <c r="G67" s="496"/>
      <c r="H67" s="490">
        <f t="shared" si="5"/>
        <v>80629034.491737574</v>
      </c>
    </row>
    <row r="68" spans="1:8" ht="15.75">
      <c r="A68" s="523">
        <v>31</v>
      </c>
      <c r="B68" s="522" t="s">
        <v>776</v>
      </c>
      <c r="C68" s="488">
        <f>SUM(C55,C56,C57,C58,C59,C62,C63,C67)</f>
        <v>164318037.90074623</v>
      </c>
      <c r="D68" s="498">
        <f>SUM(D55,D56,D57,D58,D59,D62,D63,D67)</f>
        <v>0</v>
      </c>
      <c r="E68" s="497">
        <f t="shared" si="4"/>
        <v>164318037.90074623</v>
      </c>
      <c r="F68" s="489">
        <f>SUM(F55,F56,F57,F58,F59,F62,F63,F67)</f>
        <v>149790634.49173757</v>
      </c>
      <c r="G68" s="498">
        <f>SUM(G55,G56,G57,G58,G59,G62,G63,G67)</f>
        <v>0</v>
      </c>
      <c r="H68" s="490">
        <f t="shared" si="5"/>
        <v>149790634.49173757</v>
      </c>
    </row>
    <row r="69" spans="1:8" ht="16.5" thickBot="1">
      <c r="A69" s="526">
        <v>32</v>
      </c>
      <c r="B69" s="527" t="s">
        <v>584</v>
      </c>
      <c r="C69" s="499">
        <f>SUM(C53,C68)</f>
        <v>267610998.23621398</v>
      </c>
      <c r="D69" s="500">
        <f>SUM(D53,D68)</f>
        <v>363604681.70238775</v>
      </c>
      <c r="E69" s="501">
        <f t="shared" si="4"/>
        <v>631215679.93860173</v>
      </c>
      <c r="F69" s="502">
        <f>SUM(F53,F68)</f>
        <v>224915742.00618944</v>
      </c>
      <c r="G69" s="500">
        <f>SUM(G53,G68)</f>
        <v>246764241.96693185</v>
      </c>
      <c r="H69" s="503">
        <f t="shared" si="5"/>
        <v>471679983.97312129</v>
      </c>
    </row>
    <row r="72" spans="1:8">
      <c r="B72" s="877" t="s">
        <v>775</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80" zoomScaleNormal="80" workbookViewId="0">
      <selection activeCell="A5" sqref="A5:B6"/>
    </sheetView>
  </sheetViews>
  <sheetFormatPr defaultColWidth="9.140625" defaultRowHeight="12.75"/>
  <cols>
    <col min="1" max="1" width="11.85546875" style="297" bestFit="1" customWidth="1"/>
    <col min="2" max="2" width="54.140625" style="297" bestFit="1" customWidth="1"/>
    <col min="3" max="3" width="15.5703125" style="297" bestFit="1" customWidth="1"/>
    <col min="4" max="5" width="16.140625" style="297" customWidth="1"/>
    <col min="6" max="6" width="16.140625" style="364" customWidth="1"/>
    <col min="7" max="7" width="25.140625" style="364" customWidth="1"/>
    <col min="8" max="8" width="16.140625" style="297" customWidth="1"/>
    <col min="9" max="11" width="16.140625" style="364" customWidth="1"/>
    <col min="12" max="12" width="26.140625" style="364" customWidth="1"/>
    <col min="13" max="16384" width="9.140625" style="297"/>
  </cols>
  <sheetData>
    <row r="1" spans="1:12" ht="13.5">
      <c r="A1" s="269" t="s">
        <v>30</v>
      </c>
      <c r="B1" s="445" t="str">
        <f>'Info '!C2</f>
        <v>JSC Isbank Georgia</v>
      </c>
      <c r="F1" s="297"/>
      <c r="G1" s="297"/>
      <c r="I1" s="297"/>
      <c r="J1" s="297"/>
      <c r="K1" s="297"/>
      <c r="L1" s="297"/>
    </row>
    <row r="2" spans="1:12" ht="13.5">
      <c r="A2" s="270" t="s">
        <v>31</v>
      </c>
      <c r="B2" s="446">
        <f>'1. key ratios '!B2</f>
        <v>46112</v>
      </c>
      <c r="F2" s="297"/>
      <c r="G2" s="297"/>
      <c r="I2" s="297"/>
      <c r="J2" s="297"/>
      <c r="K2" s="297"/>
      <c r="L2" s="297"/>
    </row>
    <row r="3" spans="1:12">
      <c r="A3" s="271" t="s">
        <v>466</v>
      </c>
      <c r="F3" s="297"/>
      <c r="G3" s="297"/>
      <c r="I3" s="297"/>
      <c r="J3" s="297"/>
      <c r="K3" s="297"/>
      <c r="L3" s="297"/>
    </row>
    <row r="4" spans="1:12">
      <c r="F4" s="297"/>
      <c r="G4" s="297"/>
      <c r="I4" s="297"/>
      <c r="J4" s="297"/>
      <c r="K4" s="297"/>
      <c r="L4" s="297"/>
    </row>
    <row r="5" spans="1:12" ht="37.5" customHeight="1">
      <c r="A5" s="977" t="s">
        <v>483</v>
      </c>
      <c r="B5" s="978"/>
      <c r="C5" s="1012" t="s">
        <v>467</v>
      </c>
      <c r="D5" s="1013"/>
      <c r="E5" s="1013"/>
      <c r="F5" s="1013"/>
      <c r="G5" s="1013"/>
      <c r="H5" s="1014" t="s">
        <v>627</v>
      </c>
      <c r="I5" s="1015"/>
      <c r="J5" s="1015"/>
      <c r="K5" s="1015"/>
      <c r="L5" s="1016"/>
    </row>
    <row r="6" spans="1:12" ht="39.6" customHeight="1">
      <c r="A6" s="979"/>
      <c r="B6" s="973"/>
      <c r="C6" s="273"/>
      <c r="D6" s="295" t="s">
        <v>648</v>
      </c>
      <c r="E6" s="295" t="s">
        <v>647</v>
      </c>
      <c r="F6" s="295" t="s">
        <v>646</v>
      </c>
      <c r="G6" s="295" t="s">
        <v>645</v>
      </c>
      <c r="H6" s="367"/>
      <c r="I6" s="295" t="s">
        <v>648</v>
      </c>
      <c r="J6" s="295" t="s">
        <v>647</v>
      </c>
      <c r="K6" s="295" t="s">
        <v>646</v>
      </c>
      <c r="L6" s="295" t="s">
        <v>645</v>
      </c>
    </row>
    <row r="7" spans="1:12">
      <c r="A7" s="291">
        <v>1</v>
      </c>
      <c r="B7" s="303" t="s">
        <v>486</v>
      </c>
      <c r="C7" s="862">
        <v>281530.03888000001</v>
      </c>
      <c r="D7" s="862">
        <v>242865.76985400004</v>
      </c>
      <c r="E7" s="862">
        <v>26727.669026000003</v>
      </c>
      <c r="F7" s="862">
        <v>11936.599999999999</v>
      </c>
      <c r="G7" s="862">
        <v>0</v>
      </c>
      <c r="H7" s="862">
        <v>14100.526235377702</v>
      </c>
      <c r="I7" s="862">
        <v>1791.6935907002246</v>
      </c>
      <c r="J7" s="862">
        <v>372.23264467747856</v>
      </c>
      <c r="K7" s="862">
        <v>11936.599999999999</v>
      </c>
      <c r="L7" s="862">
        <v>0</v>
      </c>
    </row>
    <row r="8" spans="1:12">
      <c r="A8" s="291">
        <v>2</v>
      </c>
      <c r="B8" s="303" t="s">
        <v>399</v>
      </c>
      <c r="C8" s="862">
        <v>60972340.536450006</v>
      </c>
      <c r="D8" s="829">
        <v>60972340.536450006</v>
      </c>
      <c r="E8" s="829">
        <v>0</v>
      </c>
      <c r="F8" s="863">
        <v>0</v>
      </c>
      <c r="G8" s="863">
        <v>0</v>
      </c>
      <c r="H8" s="829">
        <v>193699.75031831602</v>
      </c>
      <c r="I8" s="863">
        <v>193699.75031831602</v>
      </c>
      <c r="J8" s="863">
        <v>0</v>
      </c>
      <c r="K8" s="863">
        <v>0</v>
      </c>
      <c r="L8" s="862">
        <v>0</v>
      </c>
    </row>
    <row r="9" spans="1:12">
      <c r="A9" s="291">
        <v>3</v>
      </c>
      <c r="B9" s="303" t="s">
        <v>400</v>
      </c>
      <c r="C9" s="862">
        <v>0</v>
      </c>
      <c r="D9" s="829">
        <v>0</v>
      </c>
      <c r="E9" s="829">
        <v>0</v>
      </c>
      <c r="F9" s="864">
        <v>0</v>
      </c>
      <c r="G9" s="864">
        <v>0</v>
      </c>
      <c r="H9" s="829">
        <v>0</v>
      </c>
      <c r="I9" s="864">
        <v>0</v>
      </c>
      <c r="J9" s="864">
        <v>0</v>
      </c>
      <c r="K9" s="864">
        <v>0</v>
      </c>
      <c r="L9" s="862">
        <v>0</v>
      </c>
    </row>
    <row r="10" spans="1:12" ht="25.5">
      <c r="A10" s="291">
        <v>4</v>
      </c>
      <c r="B10" s="303" t="s">
        <v>487</v>
      </c>
      <c r="C10" s="862">
        <v>13896133.879657999</v>
      </c>
      <c r="D10" s="829">
        <v>13639893.679657999</v>
      </c>
      <c r="E10" s="829">
        <v>256240.2</v>
      </c>
      <c r="F10" s="864">
        <v>0</v>
      </c>
      <c r="G10" s="864">
        <v>0</v>
      </c>
      <c r="H10" s="829">
        <v>40948.263462978226</v>
      </c>
      <c r="I10" s="864">
        <v>40947.943651609421</v>
      </c>
      <c r="J10" s="864">
        <v>0.319811368806797</v>
      </c>
      <c r="K10" s="864">
        <v>0</v>
      </c>
      <c r="L10" s="862">
        <v>0</v>
      </c>
    </row>
    <row r="11" spans="1:12">
      <c r="A11" s="291">
        <v>5</v>
      </c>
      <c r="B11" s="303" t="s">
        <v>401</v>
      </c>
      <c r="C11" s="862">
        <v>0</v>
      </c>
      <c r="D11" s="829">
        <v>0</v>
      </c>
      <c r="E11" s="829">
        <v>0</v>
      </c>
      <c r="F11" s="864">
        <v>0</v>
      </c>
      <c r="G11" s="864">
        <v>0</v>
      </c>
      <c r="H11" s="829">
        <v>0</v>
      </c>
      <c r="I11" s="864">
        <v>0</v>
      </c>
      <c r="J11" s="864">
        <v>0</v>
      </c>
      <c r="K11" s="864">
        <v>0</v>
      </c>
      <c r="L11" s="862">
        <v>0</v>
      </c>
    </row>
    <row r="12" spans="1:12">
      <c r="A12" s="291">
        <v>6</v>
      </c>
      <c r="B12" s="303" t="s">
        <v>402</v>
      </c>
      <c r="C12" s="862">
        <v>2171606.0472959997</v>
      </c>
      <c r="D12" s="829">
        <v>2025730.4973200001</v>
      </c>
      <c r="E12" s="829">
        <v>0</v>
      </c>
      <c r="F12" s="864">
        <v>145875.54997600001</v>
      </c>
      <c r="G12" s="864">
        <v>0</v>
      </c>
      <c r="H12" s="829">
        <v>12167.221047320898</v>
      </c>
      <c r="I12" s="864">
        <v>1462.1910473159835</v>
      </c>
      <c r="J12" s="864">
        <v>0</v>
      </c>
      <c r="K12" s="864">
        <v>10705.030000004914</v>
      </c>
      <c r="L12" s="862">
        <v>0</v>
      </c>
    </row>
    <row r="13" spans="1:12">
      <c r="A13" s="291">
        <v>7</v>
      </c>
      <c r="B13" s="303" t="s">
        <v>403</v>
      </c>
      <c r="C13" s="862">
        <v>65465639.546646006</v>
      </c>
      <c r="D13" s="829">
        <v>65465639.546646006</v>
      </c>
      <c r="E13" s="829">
        <v>0</v>
      </c>
      <c r="F13" s="864">
        <v>0</v>
      </c>
      <c r="G13" s="864">
        <v>0</v>
      </c>
      <c r="H13" s="829">
        <v>168455.99080665526</v>
      </c>
      <c r="I13" s="864">
        <v>168455.99080665526</v>
      </c>
      <c r="J13" s="864">
        <v>0</v>
      </c>
      <c r="K13" s="864">
        <v>0</v>
      </c>
      <c r="L13" s="862">
        <v>0</v>
      </c>
    </row>
    <row r="14" spans="1:12">
      <c r="A14" s="291">
        <v>8</v>
      </c>
      <c r="B14" s="303" t="s">
        <v>404</v>
      </c>
      <c r="C14" s="862">
        <v>1054152.064122</v>
      </c>
      <c r="D14" s="829">
        <v>1054152.064122</v>
      </c>
      <c r="E14" s="829">
        <v>0</v>
      </c>
      <c r="F14" s="864">
        <v>0</v>
      </c>
      <c r="G14" s="864">
        <v>0</v>
      </c>
      <c r="H14" s="829">
        <v>5472.005529754093</v>
      </c>
      <c r="I14" s="864">
        <v>5472.005529754093</v>
      </c>
      <c r="J14" s="864">
        <v>0</v>
      </c>
      <c r="K14" s="864">
        <v>0</v>
      </c>
      <c r="L14" s="862">
        <v>0</v>
      </c>
    </row>
    <row r="15" spans="1:12">
      <c r="A15" s="291">
        <v>9</v>
      </c>
      <c r="B15" s="303" t="s">
        <v>405</v>
      </c>
      <c r="C15" s="862">
        <v>0</v>
      </c>
      <c r="D15" s="829">
        <v>0</v>
      </c>
      <c r="E15" s="829">
        <v>0</v>
      </c>
      <c r="F15" s="864">
        <v>0</v>
      </c>
      <c r="G15" s="864">
        <v>0</v>
      </c>
      <c r="H15" s="829">
        <v>0</v>
      </c>
      <c r="I15" s="864">
        <v>0</v>
      </c>
      <c r="J15" s="864">
        <v>0</v>
      </c>
      <c r="K15" s="864">
        <v>0</v>
      </c>
      <c r="L15" s="862">
        <v>0</v>
      </c>
    </row>
    <row r="16" spans="1:12">
      <c r="A16" s="291">
        <v>10</v>
      </c>
      <c r="B16" s="303" t="s">
        <v>406</v>
      </c>
      <c r="C16" s="862">
        <v>13558287.660036001</v>
      </c>
      <c r="D16" s="829">
        <v>13067901.970492002</v>
      </c>
      <c r="E16" s="829">
        <v>0</v>
      </c>
      <c r="F16" s="864">
        <v>490385.68954400008</v>
      </c>
      <c r="G16" s="864">
        <v>0</v>
      </c>
      <c r="H16" s="829">
        <v>575315.20275723503</v>
      </c>
      <c r="I16" s="864">
        <v>84929.513213234954</v>
      </c>
      <c r="J16" s="864">
        <v>0</v>
      </c>
      <c r="K16" s="864">
        <v>490385.68954400008</v>
      </c>
      <c r="L16" s="862">
        <v>0</v>
      </c>
    </row>
    <row r="17" spans="1:12">
      <c r="A17" s="291">
        <v>11</v>
      </c>
      <c r="B17" s="303" t="s">
        <v>407</v>
      </c>
      <c r="C17" s="862">
        <v>18200433.23</v>
      </c>
      <c r="D17" s="829">
        <v>18183102.66</v>
      </c>
      <c r="E17" s="829">
        <v>0</v>
      </c>
      <c r="F17" s="864">
        <v>17330.57</v>
      </c>
      <c r="G17" s="864">
        <v>0</v>
      </c>
      <c r="H17" s="829">
        <v>43105.947780185918</v>
      </c>
      <c r="I17" s="864">
        <v>25775.377780185911</v>
      </c>
      <c r="J17" s="864">
        <v>0</v>
      </c>
      <c r="K17" s="864">
        <v>17330.57</v>
      </c>
      <c r="L17" s="862">
        <v>0</v>
      </c>
    </row>
    <row r="18" spans="1:12">
      <c r="A18" s="291">
        <v>12</v>
      </c>
      <c r="B18" s="303" t="s">
        <v>408</v>
      </c>
      <c r="C18" s="862">
        <v>10688616.115898002</v>
      </c>
      <c r="D18" s="829">
        <v>10670775.756504001</v>
      </c>
      <c r="E18" s="829">
        <v>0</v>
      </c>
      <c r="F18" s="864">
        <v>17840.359393999999</v>
      </c>
      <c r="G18" s="864">
        <v>0</v>
      </c>
      <c r="H18" s="829">
        <v>37598.478464690437</v>
      </c>
      <c r="I18" s="864">
        <v>19758.119070690438</v>
      </c>
      <c r="J18" s="864">
        <v>0</v>
      </c>
      <c r="K18" s="864">
        <v>17840.359393999999</v>
      </c>
      <c r="L18" s="862">
        <v>0</v>
      </c>
    </row>
    <row r="19" spans="1:12">
      <c r="A19" s="291">
        <v>13</v>
      </c>
      <c r="B19" s="303" t="s">
        <v>409</v>
      </c>
      <c r="C19" s="862">
        <v>474304.11</v>
      </c>
      <c r="D19" s="829">
        <v>446560.08</v>
      </c>
      <c r="E19" s="829">
        <v>0</v>
      </c>
      <c r="F19" s="864">
        <v>27744.03</v>
      </c>
      <c r="G19" s="864">
        <v>0</v>
      </c>
      <c r="H19" s="829">
        <v>22767.404054191171</v>
      </c>
      <c r="I19" s="864">
        <v>715.7989301911681</v>
      </c>
      <c r="J19" s="864">
        <v>0</v>
      </c>
      <c r="K19" s="864">
        <v>22051.605123999998</v>
      </c>
      <c r="L19" s="862">
        <v>0</v>
      </c>
    </row>
    <row r="20" spans="1:12">
      <c r="A20" s="291">
        <v>14</v>
      </c>
      <c r="B20" s="303" t="s">
        <v>410</v>
      </c>
      <c r="C20" s="862">
        <v>957140.51517400006</v>
      </c>
      <c r="D20" s="829">
        <v>833005.20134000015</v>
      </c>
      <c r="E20" s="829">
        <v>0</v>
      </c>
      <c r="F20" s="864">
        <v>124135.31383400002</v>
      </c>
      <c r="G20" s="864">
        <v>0</v>
      </c>
      <c r="H20" s="829">
        <v>124135.68434208263</v>
      </c>
      <c r="I20" s="864">
        <v>0.37050808262945645</v>
      </c>
      <c r="J20" s="864">
        <v>0</v>
      </c>
      <c r="K20" s="864">
        <v>124135.31383400002</v>
      </c>
      <c r="L20" s="862">
        <v>0</v>
      </c>
    </row>
    <row r="21" spans="1:12">
      <c r="A21" s="291">
        <v>15</v>
      </c>
      <c r="B21" s="303" t="s">
        <v>411</v>
      </c>
      <c r="C21" s="862">
        <v>10012054.800000001</v>
      </c>
      <c r="D21" s="829">
        <v>10012054.800000001</v>
      </c>
      <c r="E21" s="829">
        <v>0</v>
      </c>
      <c r="F21" s="864">
        <v>0</v>
      </c>
      <c r="G21" s="864">
        <v>0</v>
      </c>
      <c r="H21" s="829">
        <v>52823.368789469474</v>
      </c>
      <c r="I21" s="864">
        <v>52823.368789469474</v>
      </c>
      <c r="J21" s="864">
        <v>0</v>
      </c>
      <c r="K21" s="864">
        <v>0</v>
      </c>
      <c r="L21" s="862">
        <v>0</v>
      </c>
    </row>
    <row r="22" spans="1:12">
      <c r="A22" s="291">
        <v>16</v>
      </c>
      <c r="B22" s="303" t="s">
        <v>412</v>
      </c>
      <c r="C22" s="862">
        <v>0</v>
      </c>
      <c r="D22" s="829">
        <v>0</v>
      </c>
      <c r="E22" s="829">
        <v>0</v>
      </c>
      <c r="F22" s="864">
        <v>0</v>
      </c>
      <c r="G22" s="864">
        <v>0</v>
      </c>
      <c r="H22" s="829">
        <v>0</v>
      </c>
      <c r="I22" s="864">
        <v>0</v>
      </c>
      <c r="J22" s="864">
        <v>0</v>
      </c>
      <c r="K22" s="864">
        <v>0</v>
      </c>
      <c r="L22" s="862">
        <v>0</v>
      </c>
    </row>
    <row r="23" spans="1:12">
      <c r="A23" s="291">
        <v>17</v>
      </c>
      <c r="B23" s="303" t="s">
        <v>490</v>
      </c>
      <c r="C23" s="862">
        <v>0</v>
      </c>
      <c r="D23" s="829">
        <v>0</v>
      </c>
      <c r="E23" s="829">
        <v>0</v>
      </c>
      <c r="F23" s="864">
        <v>0</v>
      </c>
      <c r="G23" s="864">
        <v>0</v>
      </c>
      <c r="H23" s="829">
        <v>0</v>
      </c>
      <c r="I23" s="864">
        <v>0</v>
      </c>
      <c r="J23" s="864">
        <v>0</v>
      </c>
      <c r="K23" s="864">
        <v>0</v>
      </c>
      <c r="L23" s="862">
        <v>0</v>
      </c>
    </row>
    <row r="24" spans="1:12">
      <c r="A24" s="291">
        <v>18</v>
      </c>
      <c r="B24" s="303" t="s">
        <v>413</v>
      </c>
      <c r="C24" s="862">
        <v>59204249.788963996</v>
      </c>
      <c r="D24" s="829">
        <v>59204249.788963996</v>
      </c>
      <c r="E24" s="829">
        <v>0</v>
      </c>
      <c r="F24" s="864">
        <v>0</v>
      </c>
      <c r="G24" s="864">
        <v>0</v>
      </c>
      <c r="H24" s="829">
        <v>341838.33741833235</v>
      </c>
      <c r="I24" s="864">
        <v>341838.33741833235</v>
      </c>
      <c r="J24" s="864">
        <v>0</v>
      </c>
      <c r="K24" s="864">
        <v>0</v>
      </c>
      <c r="L24" s="862">
        <v>0</v>
      </c>
    </row>
    <row r="25" spans="1:12">
      <c r="A25" s="291">
        <v>19</v>
      </c>
      <c r="B25" s="303" t="s">
        <v>414</v>
      </c>
      <c r="C25" s="862">
        <v>29021981.659306001</v>
      </c>
      <c r="D25" s="829">
        <v>29021981.659306001</v>
      </c>
      <c r="E25" s="829">
        <v>0</v>
      </c>
      <c r="F25" s="864">
        <v>0</v>
      </c>
      <c r="G25" s="864">
        <v>0</v>
      </c>
      <c r="H25" s="829">
        <v>166057.45693223385</v>
      </c>
      <c r="I25" s="864">
        <v>166057.45693223385</v>
      </c>
      <c r="J25" s="864">
        <v>0</v>
      </c>
      <c r="K25" s="864">
        <v>0</v>
      </c>
      <c r="L25" s="862">
        <v>0</v>
      </c>
    </row>
    <row r="26" spans="1:12">
      <c r="A26" s="291">
        <v>20</v>
      </c>
      <c r="B26" s="303" t="s">
        <v>489</v>
      </c>
      <c r="C26" s="862">
        <v>139608.72</v>
      </c>
      <c r="D26" s="829">
        <v>94081.459999999992</v>
      </c>
      <c r="E26" s="829">
        <v>0</v>
      </c>
      <c r="F26" s="864">
        <v>45527.26</v>
      </c>
      <c r="G26" s="864">
        <v>0</v>
      </c>
      <c r="H26" s="829">
        <v>45626.489363246466</v>
      </c>
      <c r="I26" s="864">
        <v>99.229363246463436</v>
      </c>
      <c r="J26" s="864">
        <v>0</v>
      </c>
      <c r="K26" s="864">
        <v>45527.260000000009</v>
      </c>
      <c r="L26" s="862">
        <v>0</v>
      </c>
    </row>
    <row r="27" spans="1:12">
      <c r="A27" s="291">
        <v>21</v>
      </c>
      <c r="B27" s="303" t="s">
        <v>415</v>
      </c>
      <c r="C27" s="862">
        <v>22994817.584336001</v>
      </c>
      <c r="D27" s="829">
        <v>22994817.584336001</v>
      </c>
      <c r="E27" s="829">
        <v>0</v>
      </c>
      <c r="F27" s="864">
        <v>0</v>
      </c>
      <c r="G27" s="864">
        <v>0</v>
      </c>
      <c r="H27" s="829">
        <v>128220.15612552591</v>
      </c>
      <c r="I27" s="864">
        <v>128220.15612552591</v>
      </c>
      <c r="J27" s="864">
        <v>0</v>
      </c>
      <c r="K27" s="864">
        <v>0</v>
      </c>
      <c r="L27" s="862">
        <v>0</v>
      </c>
    </row>
    <row r="28" spans="1:12">
      <c r="A28" s="291">
        <v>22</v>
      </c>
      <c r="B28" s="303" t="s">
        <v>416</v>
      </c>
      <c r="C28" s="862">
        <v>0</v>
      </c>
      <c r="D28" s="829">
        <v>0</v>
      </c>
      <c r="E28" s="829">
        <v>0</v>
      </c>
      <c r="F28" s="864">
        <v>0</v>
      </c>
      <c r="G28" s="864">
        <v>0</v>
      </c>
      <c r="H28" s="829">
        <v>0</v>
      </c>
      <c r="I28" s="864">
        <v>0</v>
      </c>
      <c r="J28" s="864">
        <v>0</v>
      </c>
      <c r="K28" s="864">
        <v>0</v>
      </c>
      <c r="L28" s="862">
        <v>0</v>
      </c>
    </row>
    <row r="29" spans="1:12">
      <c r="A29" s="291">
        <v>23</v>
      </c>
      <c r="B29" s="303" t="s">
        <v>417</v>
      </c>
      <c r="C29" s="862">
        <v>15913572.976693997</v>
      </c>
      <c r="D29" s="829">
        <v>15337806.696693998</v>
      </c>
      <c r="E29" s="829">
        <v>506706.01999999996</v>
      </c>
      <c r="F29" s="864">
        <v>69060.259999999995</v>
      </c>
      <c r="G29" s="864">
        <v>0</v>
      </c>
      <c r="H29" s="829">
        <v>137238.14512907102</v>
      </c>
      <c r="I29" s="864">
        <v>38709.185099034134</v>
      </c>
      <c r="J29" s="864">
        <v>29468.700030036915</v>
      </c>
      <c r="K29" s="864">
        <v>69060.259999999995</v>
      </c>
      <c r="L29" s="862">
        <v>0</v>
      </c>
    </row>
    <row r="30" spans="1:12">
      <c r="A30" s="291">
        <v>24</v>
      </c>
      <c r="B30" s="303" t="s">
        <v>488</v>
      </c>
      <c r="C30" s="862">
        <v>2699800.3239760003</v>
      </c>
      <c r="D30" s="829">
        <v>2699800.3239760003</v>
      </c>
      <c r="E30" s="829">
        <v>0</v>
      </c>
      <c r="F30" s="864">
        <v>0</v>
      </c>
      <c r="G30" s="864">
        <v>0</v>
      </c>
      <c r="H30" s="829">
        <v>6630.0482001657174</v>
      </c>
      <c r="I30" s="864">
        <v>6630.0482001657174</v>
      </c>
      <c r="J30" s="864">
        <v>0</v>
      </c>
      <c r="K30" s="864">
        <v>0</v>
      </c>
      <c r="L30" s="862">
        <v>0</v>
      </c>
    </row>
    <row r="31" spans="1:12">
      <c r="A31" s="291">
        <v>25</v>
      </c>
      <c r="B31" s="303" t="s">
        <v>418</v>
      </c>
      <c r="C31" s="862">
        <v>86375.472297999993</v>
      </c>
      <c r="D31" s="829">
        <v>0</v>
      </c>
      <c r="E31" s="829">
        <v>18243.739999999998</v>
      </c>
      <c r="F31" s="864">
        <v>68131.732298000003</v>
      </c>
      <c r="G31" s="864">
        <v>0</v>
      </c>
      <c r="H31" s="829">
        <v>68131.732298002302</v>
      </c>
      <c r="I31" s="864">
        <v>0</v>
      </c>
      <c r="J31" s="864">
        <v>2.30908948407583E-9</v>
      </c>
      <c r="K31" s="864">
        <v>68131.732298000003</v>
      </c>
      <c r="L31" s="862">
        <v>0</v>
      </c>
    </row>
    <row r="32" spans="1:12">
      <c r="A32" s="291">
        <v>26</v>
      </c>
      <c r="B32" s="303" t="s">
        <v>485</v>
      </c>
      <c r="C32" s="862">
        <v>0</v>
      </c>
      <c r="D32" s="829">
        <v>0</v>
      </c>
      <c r="E32" s="829">
        <v>0</v>
      </c>
      <c r="F32" s="864">
        <v>0</v>
      </c>
      <c r="G32" s="864">
        <v>0</v>
      </c>
      <c r="H32" s="829">
        <v>0</v>
      </c>
      <c r="I32" s="864">
        <v>0</v>
      </c>
      <c r="J32" s="864">
        <v>0</v>
      </c>
      <c r="K32" s="864">
        <v>0</v>
      </c>
      <c r="L32" s="862">
        <v>0</v>
      </c>
    </row>
    <row r="33" spans="1:12">
      <c r="A33" s="291">
        <v>27</v>
      </c>
      <c r="B33" s="366" t="s">
        <v>64</v>
      </c>
      <c r="C33" s="865">
        <f>SUM(C7:C32)</f>
        <v>327792645.06973404</v>
      </c>
      <c r="D33" s="865">
        <f t="shared" ref="D33:L33" si="0">SUM(D7:D32)</f>
        <v>325966760.07566196</v>
      </c>
      <c r="E33" s="865">
        <f t="shared" si="0"/>
        <v>807917.62902599992</v>
      </c>
      <c r="F33" s="865">
        <f t="shared" si="0"/>
        <v>1017967.3650460002</v>
      </c>
      <c r="G33" s="865">
        <f t="shared" si="0"/>
        <v>0</v>
      </c>
      <c r="H33" s="865">
        <f t="shared" si="0"/>
        <v>2184332.2090548342</v>
      </c>
      <c r="I33" s="865">
        <f t="shared" si="0"/>
        <v>1277386.5363747438</v>
      </c>
      <c r="J33" s="865">
        <f t="shared" si="0"/>
        <v>29841.252486085508</v>
      </c>
      <c r="K33" s="865">
        <f t="shared" si="0"/>
        <v>877104.42019400501</v>
      </c>
      <c r="L33" s="865">
        <f t="shared" si="0"/>
        <v>0</v>
      </c>
    </row>
    <row r="34" spans="1:12">
      <c r="A34" s="317"/>
      <c r="B34" s="317"/>
      <c r="C34" s="317"/>
      <c r="D34" s="317"/>
      <c r="E34" s="317"/>
      <c r="H34" s="317"/>
    </row>
    <row r="35" spans="1:12">
      <c r="A35" s="317"/>
      <c r="B35" s="365"/>
      <c r="C35" s="365"/>
      <c r="D35" s="317"/>
      <c r="E35" s="317"/>
      <c r="H35" s="317"/>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A5" sqref="A5:B5"/>
    </sheetView>
  </sheetViews>
  <sheetFormatPr defaultColWidth="8.85546875" defaultRowHeight="12"/>
  <cols>
    <col min="1" max="1" width="11.85546875" style="368" bestFit="1" customWidth="1"/>
    <col min="2" max="2" width="68.85546875" style="368" customWidth="1"/>
    <col min="3" max="3" width="21" style="368" bestFit="1" customWidth="1"/>
    <col min="4" max="4" width="19.7109375" style="368" customWidth="1"/>
    <col min="5" max="5" width="20.7109375" style="368" customWidth="1"/>
    <col min="6" max="6" width="17" style="368" customWidth="1"/>
    <col min="7" max="7" width="26.140625" style="368" customWidth="1"/>
    <col min="8" max="11" width="28.140625" style="368" customWidth="1"/>
    <col min="12" max="16384" width="8.85546875" style="368"/>
  </cols>
  <sheetData>
    <row r="1" spans="1:11" s="297" customFormat="1" ht="13.5">
      <c r="A1" s="269" t="s">
        <v>30</v>
      </c>
      <c r="B1" s="445" t="str">
        <f>'Info '!C2</f>
        <v>JSC Isbank Georgia</v>
      </c>
    </row>
    <row r="2" spans="1:11" s="297" customFormat="1" ht="13.5">
      <c r="A2" s="270" t="s">
        <v>31</v>
      </c>
      <c r="B2" s="446">
        <f>'1. key ratios '!B2</f>
        <v>46112</v>
      </c>
    </row>
    <row r="3" spans="1:11" s="297" customFormat="1" ht="12.75">
      <c r="A3" s="271" t="s">
        <v>468</v>
      </c>
    </row>
    <row r="4" spans="1:11">
      <c r="C4" s="371" t="s">
        <v>662</v>
      </c>
      <c r="D4" s="371" t="s">
        <v>661</v>
      </c>
      <c r="E4" s="371" t="s">
        <v>660</v>
      </c>
      <c r="F4" s="371" t="s">
        <v>659</v>
      </c>
      <c r="G4" s="371" t="s">
        <v>658</v>
      </c>
      <c r="H4" s="371" t="s">
        <v>657</v>
      </c>
      <c r="I4" s="371" t="s">
        <v>656</v>
      </c>
      <c r="J4" s="371" t="s">
        <v>655</v>
      </c>
      <c r="K4" s="371" t="s">
        <v>654</v>
      </c>
    </row>
    <row r="5" spans="1:11" ht="104.1" customHeight="1">
      <c r="A5" s="1017" t="s">
        <v>653</v>
      </c>
      <c r="B5" s="1018"/>
      <c r="C5" s="370" t="s">
        <v>469</v>
      </c>
      <c r="D5" s="370" t="s">
        <v>470</v>
      </c>
      <c r="E5" s="370" t="s">
        <v>471</v>
      </c>
      <c r="F5" s="370" t="s">
        <v>472</v>
      </c>
      <c r="G5" s="370" t="s">
        <v>473</v>
      </c>
      <c r="H5" s="370" t="s">
        <v>474</v>
      </c>
      <c r="I5" s="370" t="s">
        <v>475</v>
      </c>
      <c r="J5" s="370" t="s">
        <v>476</v>
      </c>
      <c r="K5" s="370" t="s">
        <v>477</v>
      </c>
    </row>
    <row r="6" spans="1:11" ht="12.75">
      <c r="A6" s="290">
        <v>1</v>
      </c>
      <c r="B6" s="290" t="s">
        <v>437</v>
      </c>
      <c r="C6" s="836">
        <v>19841202.540000003</v>
      </c>
      <c r="D6" s="836">
        <v>0</v>
      </c>
      <c r="E6" s="836">
        <v>0</v>
      </c>
      <c r="F6" s="836">
        <v>0</v>
      </c>
      <c r="G6" s="836">
        <v>97965811.245606005</v>
      </c>
      <c r="H6" s="836">
        <v>0</v>
      </c>
      <c r="I6" s="836">
        <v>20956911.847909093</v>
      </c>
      <c r="J6" s="836">
        <v>114484334.90410486</v>
      </c>
      <c r="K6" s="836">
        <v>74544384.532113954</v>
      </c>
    </row>
    <row r="7" spans="1:11" ht="12.75">
      <c r="A7" s="290">
        <v>2</v>
      </c>
      <c r="B7" s="291" t="s">
        <v>478</v>
      </c>
      <c r="C7" s="836">
        <v>0</v>
      </c>
      <c r="D7" s="836">
        <v>0</v>
      </c>
      <c r="E7" s="836">
        <v>0</v>
      </c>
      <c r="F7" s="836">
        <v>0</v>
      </c>
      <c r="G7" s="836">
        <v>0</v>
      </c>
      <c r="H7" s="836">
        <v>0</v>
      </c>
      <c r="I7" s="836">
        <v>0</v>
      </c>
      <c r="J7" s="836">
        <v>0</v>
      </c>
      <c r="K7" s="836">
        <v>94852727.935582608</v>
      </c>
    </row>
    <row r="8" spans="1:11" ht="12.75">
      <c r="A8" s="290">
        <v>3</v>
      </c>
      <c r="B8" s="291" t="s">
        <v>445</v>
      </c>
      <c r="C8" s="836">
        <v>1899862.3106</v>
      </c>
      <c r="D8" s="836"/>
      <c r="E8" s="836">
        <v>0</v>
      </c>
      <c r="F8" s="836">
        <v>0</v>
      </c>
      <c r="G8" s="836">
        <v>2648431.4000000004</v>
      </c>
      <c r="H8" s="836">
        <v>0</v>
      </c>
      <c r="I8" s="836">
        <v>98888.6</v>
      </c>
      <c r="J8" s="836">
        <v>2517597.9596290435</v>
      </c>
      <c r="K8" s="836">
        <v>112846373.73255293</v>
      </c>
    </row>
    <row r="9" spans="1:11" ht="12.75">
      <c r="A9" s="290">
        <v>4</v>
      </c>
      <c r="B9" s="318" t="s">
        <v>479</v>
      </c>
      <c r="C9" s="866">
        <v>0</v>
      </c>
      <c r="D9" s="866"/>
      <c r="E9" s="866">
        <v>0</v>
      </c>
      <c r="F9" s="866">
        <v>0</v>
      </c>
      <c r="G9" s="866">
        <v>189364.98227400001</v>
      </c>
      <c r="H9" s="866">
        <v>0</v>
      </c>
      <c r="I9" s="866">
        <v>0</v>
      </c>
      <c r="J9" s="866">
        <v>420802.55893000006</v>
      </c>
      <c r="K9" s="866">
        <v>407799.82384200004</v>
      </c>
    </row>
    <row r="10" spans="1:11" ht="12.75">
      <c r="A10" s="290">
        <v>5</v>
      </c>
      <c r="B10" s="307" t="s">
        <v>480</v>
      </c>
      <c r="C10" s="866"/>
      <c r="D10" s="866"/>
      <c r="E10" s="866"/>
      <c r="F10" s="866"/>
      <c r="G10" s="866"/>
      <c r="H10" s="866"/>
      <c r="I10" s="866"/>
      <c r="J10" s="866"/>
      <c r="K10" s="866"/>
    </row>
    <row r="11" spans="1:11" ht="12.75">
      <c r="A11" s="290">
        <v>6</v>
      </c>
      <c r="B11" s="307" t="s">
        <v>481</v>
      </c>
      <c r="C11" s="866"/>
      <c r="D11" s="866"/>
      <c r="E11" s="866"/>
      <c r="F11" s="866"/>
      <c r="G11" s="866"/>
      <c r="H11" s="866"/>
      <c r="I11" s="866"/>
      <c r="J11" s="866"/>
      <c r="K11" s="866"/>
    </row>
    <row r="13" spans="1:11" ht="15">
      <c r="B13" s="36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A5" sqref="A5:B6"/>
    </sheetView>
  </sheetViews>
  <sheetFormatPr defaultColWidth="8.85546875" defaultRowHeight="15"/>
  <cols>
    <col min="1" max="1" width="10" style="372" bestFit="1" customWidth="1"/>
    <col min="2" max="2" width="71.85546875" style="372" customWidth="1"/>
    <col min="3" max="3" width="10.5703125" style="372" bestFit="1" customWidth="1"/>
    <col min="4" max="7" width="15.5703125" style="372" customWidth="1"/>
    <col min="8" max="8" width="10.5703125" style="372" bestFit="1" customWidth="1"/>
    <col min="9" max="12" width="17.140625" style="372" customWidth="1"/>
    <col min="13" max="13" width="10.5703125" style="372" bestFit="1" customWidth="1"/>
    <col min="14" max="17" width="16.140625" style="372" customWidth="1"/>
    <col min="18" max="18" width="12.140625" style="372" bestFit="1" customWidth="1"/>
    <col min="19" max="19" width="46.85546875" style="372" bestFit="1" customWidth="1"/>
    <col min="20" max="20" width="43.42578125" style="372" bestFit="1" customWidth="1"/>
    <col min="21" max="21" width="45.85546875" style="372" bestFit="1" customWidth="1"/>
    <col min="22" max="22" width="43.42578125" style="372" bestFit="1" customWidth="1"/>
    <col min="23" max="16384" width="8.85546875" style="372"/>
  </cols>
  <sheetData>
    <row r="1" spans="1:22">
      <c r="A1" s="269" t="s">
        <v>30</v>
      </c>
      <c r="B1" s="445" t="str">
        <f>'Info '!C2</f>
        <v>JSC Isbank Georgia</v>
      </c>
    </row>
    <row r="2" spans="1:22">
      <c r="A2" s="270" t="s">
        <v>31</v>
      </c>
      <c r="B2" s="446">
        <f>'1. key ratios '!B2</f>
        <v>46112</v>
      </c>
    </row>
    <row r="3" spans="1:22">
      <c r="A3" s="271" t="s">
        <v>496</v>
      </c>
      <c r="B3" s="297"/>
    </row>
    <row r="4" spans="1:22">
      <c r="A4" s="271"/>
      <c r="B4" s="297"/>
    </row>
    <row r="5" spans="1:22" ht="24" customHeight="1">
      <c r="A5" s="1019" t="s">
        <v>497</v>
      </c>
      <c r="B5" s="1020"/>
      <c r="C5" s="1024" t="s">
        <v>663</v>
      </c>
      <c r="D5" s="1024"/>
      <c r="E5" s="1024"/>
      <c r="F5" s="1024"/>
      <c r="G5" s="1024"/>
      <c r="H5" s="1024" t="s">
        <v>515</v>
      </c>
      <c r="I5" s="1024"/>
      <c r="J5" s="1024"/>
      <c r="K5" s="1024"/>
      <c r="L5" s="1024"/>
      <c r="M5" s="1024" t="s">
        <v>627</v>
      </c>
      <c r="N5" s="1024"/>
      <c r="O5" s="1024"/>
      <c r="P5" s="1024"/>
      <c r="Q5" s="1024"/>
      <c r="R5" s="1023" t="s">
        <v>498</v>
      </c>
      <c r="S5" s="1023" t="s">
        <v>512</v>
      </c>
      <c r="T5" s="1023" t="s">
        <v>513</v>
      </c>
      <c r="U5" s="1023" t="s">
        <v>672</v>
      </c>
      <c r="V5" s="1023" t="s">
        <v>673</v>
      </c>
    </row>
    <row r="6" spans="1:22" ht="36" customHeight="1">
      <c r="A6" s="1021"/>
      <c r="B6" s="1022"/>
      <c r="C6" s="382"/>
      <c r="D6" s="295" t="s">
        <v>648</v>
      </c>
      <c r="E6" s="295" t="s">
        <v>647</v>
      </c>
      <c r="F6" s="295" t="s">
        <v>646</v>
      </c>
      <c r="G6" s="295" t="s">
        <v>645</v>
      </c>
      <c r="H6" s="382"/>
      <c r="I6" s="295" t="s">
        <v>648</v>
      </c>
      <c r="J6" s="295" t="s">
        <v>647</v>
      </c>
      <c r="K6" s="295" t="s">
        <v>646</v>
      </c>
      <c r="L6" s="295" t="s">
        <v>645</v>
      </c>
      <c r="M6" s="382"/>
      <c r="N6" s="295" t="s">
        <v>648</v>
      </c>
      <c r="O6" s="295" t="s">
        <v>647</v>
      </c>
      <c r="P6" s="295" t="s">
        <v>646</v>
      </c>
      <c r="Q6" s="295" t="s">
        <v>645</v>
      </c>
      <c r="R6" s="1023"/>
      <c r="S6" s="1023"/>
      <c r="T6" s="1023"/>
      <c r="U6" s="1023"/>
      <c r="V6" s="1023"/>
    </row>
    <row r="7" spans="1:22">
      <c r="A7" s="380">
        <v>1</v>
      </c>
      <c r="B7" s="381" t="s">
        <v>506</v>
      </c>
      <c r="C7" s="867">
        <v>380018.107556</v>
      </c>
      <c r="D7" s="867">
        <v>380018.107556</v>
      </c>
      <c r="E7" s="867">
        <v>0</v>
      </c>
      <c r="F7" s="867">
        <v>0</v>
      </c>
      <c r="G7" s="867">
        <v>0</v>
      </c>
      <c r="H7" s="867">
        <v>382903.07666999998</v>
      </c>
      <c r="I7" s="867">
        <v>382903.07666999998</v>
      </c>
      <c r="J7" s="867">
        <v>0</v>
      </c>
      <c r="K7" s="867">
        <v>0</v>
      </c>
      <c r="L7" s="867">
        <v>0</v>
      </c>
      <c r="M7" s="867">
        <v>3568.1400917176143</v>
      </c>
      <c r="N7" s="867">
        <v>3568.1400917176143</v>
      </c>
      <c r="O7" s="867">
        <v>0</v>
      </c>
      <c r="P7" s="867">
        <v>0</v>
      </c>
      <c r="Q7" s="867">
        <v>0</v>
      </c>
      <c r="R7" s="867">
        <v>2</v>
      </c>
      <c r="S7" s="868"/>
      <c r="T7" s="868"/>
      <c r="U7" s="868">
        <v>0.10680599875915205</v>
      </c>
      <c r="V7" s="867">
        <v>60.758051364521222</v>
      </c>
    </row>
    <row r="8" spans="1:22">
      <c r="A8" s="380">
        <v>2</v>
      </c>
      <c r="B8" s="379" t="s">
        <v>505</v>
      </c>
      <c r="C8" s="867">
        <v>2619238.5769500006</v>
      </c>
      <c r="D8" s="867">
        <v>2469895.3100640001</v>
      </c>
      <c r="E8" s="867">
        <v>43954.792015999999</v>
      </c>
      <c r="F8" s="867">
        <v>105388.47487000003</v>
      </c>
      <c r="G8" s="867">
        <v>0</v>
      </c>
      <c r="H8" s="867">
        <v>2868545.7935020006</v>
      </c>
      <c r="I8" s="867">
        <v>2493193.9306419999</v>
      </c>
      <c r="J8" s="867">
        <v>44971.409026000001</v>
      </c>
      <c r="K8" s="867">
        <v>330380.45383399999</v>
      </c>
      <c r="L8" s="867">
        <v>0</v>
      </c>
      <c r="M8" s="867">
        <v>334292.81910132465</v>
      </c>
      <c r="N8" s="867">
        <v>9232.5574986448464</v>
      </c>
      <c r="O8" s="867">
        <v>372.23264467978765</v>
      </c>
      <c r="P8" s="867">
        <v>324688.02895800001</v>
      </c>
      <c r="Q8" s="867">
        <v>0</v>
      </c>
      <c r="R8" s="867">
        <v>72</v>
      </c>
      <c r="S8" s="868">
        <v>0.12130538995951441</v>
      </c>
      <c r="T8" s="868">
        <v>0.13071793068071533</v>
      </c>
      <c r="U8" s="868">
        <v>0.12151808958425553</v>
      </c>
      <c r="V8" s="867">
        <v>31.210981587764888</v>
      </c>
    </row>
    <row r="9" spans="1:22">
      <c r="A9" s="380">
        <v>3</v>
      </c>
      <c r="B9" s="379" t="s">
        <v>504</v>
      </c>
      <c r="C9" s="867">
        <v>0</v>
      </c>
      <c r="D9" s="867">
        <v>0</v>
      </c>
      <c r="E9" s="867">
        <v>0</v>
      </c>
      <c r="F9" s="867">
        <v>0</v>
      </c>
      <c r="G9" s="867">
        <v>0</v>
      </c>
      <c r="H9" s="867">
        <v>0</v>
      </c>
      <c r="I9" s="867">
        <v>0</v>
      </c>
      <c r="J9" s="867">
        <v>0</v>
      </c>
      <c r="K9" s="867">
        <v>0</v>
      </c>
      <c r="L9" s="867">
        <v>0</v>
      </c>
      <c r="M9" s="867">
        <v>0</v>
      </c>
      <c r="N9" s="867">
        <v>0</v>
      </c>
      <c r="O9" s="867">
        <v>0</v>
      </c>
      <c r="P9" s="867">
        <v>0</v>
      </c>
      <c r="Q9" s="867">
        <v>0</v>
      </c>
      <c r="R9" s="867"/>
      <c r="S9" s="868"/>
      <c r="T9" s="868"/>
      <c r="U9" s="868"/>
      <c r="V9" s="867"/>
    </row>
    <row r="10" spans="1:22">
      <c r="A10" s="380">
        <v>4</v>
      </c>
      <c r="B10" s="379" t="s">
        <v>503</v>
      </c>
      <c r="C10" s="867">
        <v>0</v>
      </c>
      <c r="D10" s="867">
        <v>0</v>
      </c>
      <c r="E10" s="867">
        <v>0</v>
      </c>
      <c r="F10" s="867">
        <v>0</v>
      </c>
      <c r="G10" s="867">
        <v>0</v>
      </c>
      <c r="H10" s="867">
        <v>0</v>
      </c>
      <c r="I10" s="867">
        <v>0</v>
      </c>
      <c r="J10" s="867">
        <v>0</v>
      </c>
      <c r="K10" s="867">
        <v>0</v>
      </c>
      <c r="L10" s="867">
        <v>0</v>
      </c>
      <c r="M10" s="867">
        <v>0</v>
      </c>
      <c r="N10" s="867">
        <v>0</v>
      </c>
      <c r="O10" s="867">
        <v>0</v>
      </c>
      <c r="P10" s="867">
        <v>0</v>
      </c>
      <c r="Q10" s="867">
        <v>0</v>
      </c>
      <c r="R10" s="867"/>
      <c r="S10" s="868"/>
      <c r="T10" s="868"/>
      <c r="U10" s="868"/>
      <c r="V10" s="867"/>
    </row>
    <row r="11" spans="1:22">
      <c r="A11" s="380">
        <v>5</v>
      </c>
      <c r="B11" s="379" t="s">
        <v>502</v>
      </c>
      <c r="C11" s="867">
        <v>0</v>
      </c>
      <c r="D11" s="867">
        <v>0</v>
      </c>
      <c r="E11" s="867">
        <v>0</v>
      </c>
      <c r="F11" s="867">
        <v>0</v>
      </c>
      <c r="G11" s="867">
        <v>0</v>
      </c>
      <c r="H11" s="867">
        <v>0</v>
      </c>
      <c r="I11" s="867">
        <v>0</v>
      </c>
      <c r="J11" s="867">
        <v>0</v>
      </c>
      <c r="K11" s="867">
        <v>0</v>
      </c>
      <c r="L11" s="867">
        <v>0</v>
      </c>
      <c r="M11" s="867">
        <v>0</v>
      </c>
      <c r="N11" s="867">
        <v>0</v>
      </c>
      <c r="O11" s="867">
        <v>0</v>
      </c>
      <c r="P11" s="867">
        <v>0</v>
      </c>
      <c r="Q11" s="867">
        <v>0</v>
      </c>
      <c r="R11" s="867">
        <v>0</v>
      </c>
      <c r="S11" s="868"/>
      <c r="T11" s="868"/>
      <c r="U11" s="868"/>
      <c r="V11" s="867"/>
    </row>
    <row r="12" spans="1:22">
      <c r="A12" s="380">
        <v>6</v>
      </c>
      <c r="B12" s="379" t="s">
        <v>501</v>
      </c>
      <c r="C12" s="867">
        <v>0</v>
      </c>
      <c r="D12" s="867">
        <v>0</v>
      </c>
      <c r="E12" s="867">
        <v>0</v>
      </c>
      <c r="F12" s="867">
        <v>0</v>
      </c>
      <c r="G12" s="867">
        <v>0</v>
      </c>
      <c r="H12" s="867">
        <v>0</v>
      </c>
      <c r="I12" s="867">
        <v>0</v>
      </c>
      <c r="J12" s="867">
        <v>0</v>
      </c>
      <c r="K12" s="867">
        <v>0</v>
      </c>
      <c r="L12" s="867">
        <v>0</v>
      </c>
      <c r="M12" s="867">
        <v>0</v>
      </c>
      <c r="N12" s="867">
        <v>0</v>
      </c>
      <c r="O12" s="867">
        <v>0</v>
      </c>
      <c r="P12" s="867">
        <v>0</v>
      </c>
      <c r="Q12" s="867">
        <v>0</v>
      </c>
      <c r="R12" s="867"/>
      <c r="S12" s="868"/>
      <c r="T12" s="868"/>
      <c r="U12" s="868"/>
      <c r="V12" s="867"/>
    </row>
    <row r="13" spans="1:22">
      <c r="A13" s="380">
        <v>7</v>
      </c>
      <c r="B13" s="379" t="s">
        <v>500</v>
      </c>
      <c r="C13" s="869">
        <f>SUM(C14:C16)</f>
        <v>2216976.5811159997</v>
      </c>
      <c r="D13" s="869">
        <f t="shared" ref="D13:R13" si="0">SUM(D14:D16)</f>
        <v>1908122.1688179998</v>
      </c>
      <c r="E13" s="869">
        <f t="shared" si="0"/>
        <v>254659.95</v>
      </c>
      <c r="F13" s="869">
        <f t="shared" si="0"/>
        <v>54194.462297999999</v>
      </c>
      <c r="G13" s="869">
        <f t="shared" si="0"/>
        <v>0</v>
      </c>
      <c r="H13" s="869">
        <f t="shared" si="0"/>
        <v>2229807.4500879999</v>
      </c>
      <c r="I13" s="869">
        <f t="shared" si="0"/>
        <v>1919372.78779</v>
      </c>
      <c r="J13" s="869">
        <f t="shared" si="0"/>
        <v>256240.2</v>
      </c>
      <c r="K13" s="869">
        <f t="shared" si="0"/>
        <v>54194.462297999999</v>
      </c>
      <c r="L13" s="869">
        <f t="shared" si="0"/>
        <v>0</v>
      </c>
      <c r="M13" s="869">
        <f t="shared" si="0"/>
        <v>61590.783492274328</v>
      </c>
      <c r="N13" s="869">
        <f t="shared" si="0"/>
        <v>7396.0013829055242</v>
      </c>
      <c r="O13" s="869">
        <f t="shared" si="0"/>
        <v>0.319811368806797</v>
      </c>
      <c r="P13" s="869">
        <f t="shared" si="0"/>
        <v>54194.462297999999</v>
      </c>
      <c r="Q13" s="869">
        <f t="shared" si="0"/>
        <v>0</v>
      </c>
      <c r="R13" s="869">
        <f t="shared" si="0"/>
        <v>15</v>
      </c>
      <c r="S13" s="868"/>
      <c r="T13" s="868"/>
      <c r="U13" s="868">
        <v>0.11421973024166979</v>
      </c>
      <c r="V13" s="867">
        <v>57.801201342529694</v>
      </c>
    </row>
    <row r="14" spans="1:22">
      <c r="A14" s="374">
        <v>7.1</v>
      </c>
      <c r="B14" s="373" t="s">
        <v>509</v>
      </c>
      <c r="C14" s="867">
        <v>2074588.7188179998</v>
      </c>
      <c r="D14" s="867">
        <v>1819928.7688179999</v>
      </c>
      <c r="E14" s="867">
        <v>254659.95</v>
      </c>
      <c r="F14" s="867">
        <v>0</v>
      </c>
      <c r="G14" s="867">
        <v>0</v>
      </c>
      <c r="H14" s="867">
        <v>2086543.7077899999</v>
      </c>
      <c r="I14" s="867">
        <v>1830303.5077899999</v>
      </c>
      <c r="J14" s="867">
        <v>256240.2</v>
      </c>
      <c r="K14" s="867">
        <v>0</v>
      </c>
      <c r="L14" s="867">
        <v>0</v>
      </c>
      <c r="M14" s="867">
        <v>7396.2335276995245</v>
      </c>
      <c r="N14" s="867">
        <v>7395.9137163307178</v>
      </c>
      <c r="O14" s="867">
        <v>0.319811368806797</v>
      </c>
      <c r="P14" s="867">
        <v>0</v>
      </c>
      <c r="Q14" s="867">
        <v>0</v>
      </c>
      <c r="R14" s="867">
        <v>13</v>
      </c>
      <c r="S14" s="868"/>
      <c r="T14" s="868"/>
      <c r="U14" s="868">
        <v>0.11387167926420866</v>
      </c>
      <c r="V14" s="867">
        <v>59.287862113612213</v>
      </c>
    </row>
    <row r="15" spans="1:22">
      <c r="A15" s="374">
        <v>7.2</v>
      </c>
      <c r="B15" s="373" t="s">
        <v>511</v>
      </c>
      <c r="C15" s="867">
        <v>142387.86229799999</v>
      </c>
      <c r="D15" s="867">
        <v>88193.4</v>
      </c>
      <c r="E15" s="867">
        <v>0</v>
      </c>
      <c r="F15" s="867">
        <v>54194.462297999999</v>
      </c>
      <c r="G15" s="867">
        <v>0</v>
      </c>
      <c r="H15" s="867">
        <v>143263.742298</v>
      </c>
      <c r="I15" s="867">
        <v>89069.28</v>
      </c>
      <c r="J15" s="867">
        <v>0</v>
      </c>
      <c r="K15" s="867">
        <v>54194.462297999999</v>
      </c>
      <c r="L15" s="867">
        <v>0</v>
      </c>
      <c r="M15" s="867">
        <v>54194.549964574806</v>
      </c>
      <c r="N15" s="867">
        <v>8.7666574806411532E-2</v>
      </c>
      <c r="O15" s="867">
        <v>0</v>
      </c>
      <c r="P15" s="867">
        <v>54194.462297999999</v>
      </c>
      <c r="Q15" s="867">
        <v>0</v>
      </c>
      <c r="R15" s="867">
        <v>2</v>
      </c>
      <c r="S15" s="868"/>
      <c r="T15" s="868"/>
      <c r="U15" s="868">
        <v>0.11929082703152981</v>
      </c>
      <c r="V15" s="867">
        <v>36.140579330084378</v>
      </c>
    </row>
    <row r="16" spans="1:22">
      <c r="A16" s="374">
        <v>7.3</v>
      </c>
      <c r="B16" s="373" t="s">
        <v>508</v>
      </c>
      <c r="C16" s="867">
        <v>0</v>
      </c>
      <c r="D16" s="867">
        <v>0</v>
      </c>
      <c r="E16" s="867">
        <v>0</v>
      </c>
      <c r="F16" s="867">
        <v>0</v>
      </c>
      <c r="G16" s="867">
        <v>0</v>
      </c>
      <c r="H16" s="867">
        <v>0</v>
      </c>
      <c r="I16" s="867">
        <v>0</v>
      </c>
      <c r="J16" s="867">
        <v>0</v>
      </c>
      <c r="K16" s="867">
        <v>0</v>
      </c>
      <c r="L16" s="867">
        <v>0</v>
      </c>
      <c r="M16" s="867">
        <v>0</v>
      </c>
      <c r="N16" s="867">
        <v>0</v>
      </c>
      <c r="O16" s="867">
        <v>0</v>
      </c>
      <c r="P16" s="867">
        <v>0</v>
      </c>
      <c r="Q16" s="867">
        <v>0</v>
      </c>
      <c r="R16" s="867"/>
      <c r="S16" s="868"/>
      <c r="T16" s="868"/>
      <c r="U16" s="868"/>
      <c r="V16" s="867"/>
    </row>
    <row r="17" spans="1:22">
      <c r="A17" s="380">
        <v>8</v>
      </c>
      <c r="B17" s="379" t="s">
        <v>507</v>
      </c>
      <c r="C17" s="867">
        <v>0</v>
      </c>
      <c r="D17" s="867">
        <v>0</v>
      </c>
      <c r="E17" s="867">
        <v>0</v>
      </c>
      <c r="F17" s="867">
        <v>0</v>
      </c>
      <c r="G17" s="867">
        <v>0</v>
      </c>
      <c r="H17" s="867">
        <v>0</v>
      </c>
      <c r="I17" s="867">
        <v>0</v>
      </c>
      <c r="J17" s="867">
        <v>0</v>
      </c>
      <c r="K17" s="867">
        <v>0</v>
      </c>
      <c r="L17" s="867">
        <v>0</v>
      </c>
      <c r="M17" s="867">
        <v>0</v>
      </c>
      <c r="N17" s="867">
        <v>0</v>
      </c>
      <c r="O17" s="867">
        <v>0</v>
      </c>
      <c r="P17" s="867">
        <v>0</v>
      </c>
      <c r="Q17" s="867">
        <v>0</v>
      </c>
      <c r="R17" s="867"/>
      <c r="S17" s="868"/>
      <c r="T17" s="868"/>
      <c r="U17" s="868"/>
      <c r="V17" s="867"/>
    </row>
    <row r="18" spans="1:22">
      <c r="A18" s="378">
        <v>9</v>
      </c>
      <c r="B18" s="377" t="s">
        <v>499</v>
      </c>
      <c r="C18" s="870">
        <v>0</v>
      </c>
      <c r="D18" s="870">
        <v>0</v>
      </c>
      <c r="E18" s="870">
        <v>0</v>
      </c>
      <c r="F18" s="870">
        <v>0</v>
      </c>
      <c r="G18" s="870">
        <v>0</v>
      </c>
      <c r="H18" s="870">
        <v>0</v>
      </c>
      <c r="I18" s="870">
        <v>0</v>
      </c>
      <c r="J18" s="870">
        <v>0</v>
      </c>
      <c r="K18" s="870">
        <v>0</v>
      </c>
      <c r="L18" s="870">
        <v>0</v>
      </c>
      <c r="M18" s="870">
        <v>0</v>
      </c>
      <c r="N18" s="870">
        <v>0</v>
      </c>
      <c r="O18" s="870">
        <v>0</v>
      </c>
      <c r="P18" s="870">
        <v>0</v>
      </c>
      <c r="Q18" s="870">
        <v>0</v>
      </c>
      <c r="R18" s="870"/>
      <c r="S18" s="871"/>
      <c r="T18" s="871"/>
      <c r="U18" s="871"/>
      <c r="V18" s="870"/>
    </row>
    <row r="19" spans="1:22">
      <c r="A19" s="376">
        <v>10</v>
      </c>
      <c r="B19" s="375" t="s">
        <v>510</v>
      </c>
      <c r="C19" s="869">
        <f>SUM(C7:C13)</f>
        <v>5216233.2656220002</v>
      </c>
      <c r="D19" s="869">
        <f t="shared" ref="D19:R19" si="1">SUM(D7:D13)</f>
        <v>4758035.5864380002</v>
      </c>
      <c r="E19" s="869">
        <f>SUM(E7:E13)</f>
        <v>298614.74201600003</v>
      </c>
      <c r="F19" s="869">
        <f t="shared" si="1"/>
        <v>159582.93716800003</v>
      </c>
      <c r="G19" s="869">
        <f t="shared" si="1"/>
        <v>0</v>
      </c>
      <c r="H19" s="869">
        <f t="shared" si="1"/>
        <v>5481256.3202600004</v>
      </c>
      <c r="I19" s="869">
        <f t="shared" si="1"/>
        <v>4795469.7951020002</v>
      </c>
      <c r="J19" s="869">
        <f>SUM(J7:J13)</f>
        <v>301211.60902600002</v>
      </c>
      <c r="K19" s="869">
        <f t="shared" si="1"/>
        <v>384574.91613199998</v>
      </c>
      <c r="L19" s="869">
        <f t="shared" si="1"/>
        <v>0</v>
      </c>
      <c r="M19" s="869">
        <f t="shared" si="1"/>
        <v>399451.7426853166</v>
      </c>
      <c r="N19" s="869">
        <f t="shared" si="1"/>
        <v>20196.698973267987</v>
      </c>
      <c r="O19" s="869">
        <v>0</v>
      </c>
      <c r="P19" s="869">
        <f t="shared" si="1"/>
        <v>378882.49125600001</v>
      </c>
      <c r="Q19" s="869">
        <f t="shared" si="1"/>
        <v>0</v>
      </c>
      <c r="R19" s="869">
        <f t="shared" si="1"/>
        <v>89</v>
      </c>
      <c r="S19" s="868">
        <v>0.12130532864444038</v>
      </c>
      <c r="T19" s="868">
        <v>0.13071785931817215</v>
      </c>
      <c r="U19" s="868">
        <v>0.11734435893457115</v>
      </c>
      <c r="V19" s="867">
        <v>44.664811669702573</v>
      </c>
    </row>
    <row r="20" spans="1:22" ht="25.5">
      <c r="A20" s="374">
        <v>10.1</v>
      </c>
      <c r="B20" s="373" t="s">
        <v>514</v>
      </c>
      <c r="C20" s="872"/>
      <c r="D20" s="872"/>
      <c r="E20" s="872"/>
      <c r="F20" s="872"/>
      <c r="G20" s="872"/>
      <c r="H20" s="872"/>
      <c r="I20" s="872"/>
      <c r="J20" s="872"/>
      <c r="K20" s="872"/>
      <c r="L20" s="872"/>
      <c r="M20" s="872"/>
      <c r="N20" s="872"/>
      <c r="O20" s="872"/>
      <c r="P20" s="872"/>
      <c r="Q20" s="872"/>
      <c r="R20" s="872"/>
      <c r="S20" s="868"/>
      <c r="T20" s="868"/>
      <c r="U20" s="868"/>
      <c r="V20" s="872"/>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showGridLines="0" zoomScaleNormal="100" workbookViewId="0">
      <selection activeCell="B4" sqref="B4:B5"/>
    </sheetView>
  </sheetViews>
  <sheetFormatPr defaultRowHeight="15"/>
  <cols>
    <col min="2" max="2" width="66.5703125" customWidth="1"/>
    <col min="3" max="3" width="10.85546875" bestFit="1" customWidth="1"/>
    <col min="4" max="5" width="11.5703125" bestFit="1" customWidth="1"/>
    <col min="6" max="6" width="13.7109375" customWidth="1"/>
    <col min="7" max="7" width="12.85546875" customWidth="1"/>
    <col min="8" max="8" width="11.5703125" bestFit="1" customWidth="1"/>
  </cols>
  <sheetData>
    <row r="1" spans="1:8" s="5" customFormat="1" ht="14.25">
      <c r="A1" s="2" t="s">
        <v>30</v>
      </c>
      <c r="B1" s="445" t="str">
        <f>'Info '!C2</f>
        <v>JSC Isbank Georgia</v>
      </c>
      <c r="C1" s="3"/>
      <c r="D1" s="4"/>
      <c r="E1" s="4"/>
      <c r="F1" s="4"/>
      <c r="G1" s="4"/>
    </row>
    <row r="2" spans="1:8" s="5" customFormat="1" ht="14.25">
      <c r="A2" s="2" t="s">
        <v>31</v>
      </c>
      <c r="B2" s="446">
        <f>'1. key ratios '!B2</f>
        <v>46112</v>
      </c>
      <c r="C2" s="6"/>
      <c r="D2" s="7"/>
      <c r="E2" s="7"/>
      <c r="F2" s="7"/>
      <c r="G2" s="7"/>
      <c r="H2" s="8"/>
    </row>
    <row r="3" spans="1:8" ht="15.75" thickBot="1"/>
    <row r="4" spans="1:8">
      <c r="A4" s="900" t="s">
        <v>6</v>
      </c>
      <c r="B4" s="902" t="s">
        <v>585</v>
      </c>
      <c r="C4" s="904" t="s">
        <v>522</v>
      </c>
      <c r="D4" s="895"/>
      <c r="E4" s="895"/>
      <c r="F4" s="895" t="s">
        <v>523</v>
      </c>
      <c r="G4" s="895"/>
      <c r="H4" s="896"/>
    </row>
    <row r="5" spans="1:8" ht="15.6" customHeight="1" thickBot="1">
      <c r="A5" s="901"/>
      <c r="B5" s="903"/>
      <c r="C5" s="554" t="s">
        <v>32</v>
      </c>
      <c r="D5" s="555" t="s">
        <v>33</v>
      </c>
      <c r="E5" s="555" t="s">
        <v>34</v>
      </c>
      <c r="F5" s="555" t="s">
        <v>32</v>
      </c>
      <c r="G5" s="555" t="s">
        <v>33</v>
      </c>
      <c r="H5" s="556" t="s">
        <v>34</v>
      </c>
    </row>
    <row r="6" spans="1:8" ht="15.75" thickTop="1">
      <c r="A6" s="549">
        <v>1</v>
      </c>
      <c r="B6" s="550" t="s">
        <v>586</v>
      </c>
      <c r="C6" s="551">
        <f>SUM(C7:C12)</f>
        <v>6577293.5508941915</v>
      </c>
      <c r="D6" s="551">
        <f>SUM(D7:D12)</f>
        <v>4920425.9894050639</v>
      </c>
      <c r="E6" s="552">
        <f>C6+D6</f>
        <v>11497719.540299255</v>
      </c>
      <c r="F6" s="551">
        <f>SUM(F7:F12)</f>
        <v>5704038.997378042</v>
      </c>
      <c r="G6" s="551">
        <f>SUM(G7:G12)</f>
        <v>4336790.7228328381</v>
      </c>
      <c r="H6" s="553">
        <f>F6+G6</f>
        <v>10040829.72021088</v>
      </c>
    </row>
    <row r="7" spans="1:8">
      <c r="A7" s="504">
        <v>1.1000000000000001</v>
      </c>
      <c r="B7" s="533" t="s">
        <v>529</v>
      </c>
      <c r="C7" s="544"/>
      <c r="D7" s="544"/>
      <c r="E7" s="543">
        <f t="shared" ref="E7:E45" si="0">C7+D7</f>
        <v>0</v>
      </c>
      <c r="F7" s="544"/>
      <c r="G7" s="544"/>
      <c r="H7" s="545">
        <f t="shared" ref="H7:H45" si="1">F7+G7</f>
        <v>0</v>
      </c>
    </row>
    <row r="8" spans="1:8">
      <c r="A8" s="504">
        <v>1.2</v>
      </c>
      <c r="B8" s="533" t="s">
        <v>531</v>
      </c>
      <c r="C8" s="544"/>
      <c r="D8" s="544"/>
      <c r="E8" s="543">
        <f t="shared" si="0"/>
        <v>0</v>
      </c>
      <c r="F8" s="544"/>
      <c r="G8" s="544"/>
      <c r="H8" s="545">
        <f t="shared" si="1"/>
        <v>0</v>
      </c>
    </row>
    <row r="9" spans="1:8" ht="21.6" customHeight="1">
      <c r="A9" s="504">
        <v>1.3</v>
      </c>
      <c r="B9" s="533" t="s">
        <v>587</v>
      </c>
      <c r="C9" s="544"/>
      <c r="D9" s="544"/>
      <c r="E9" s="543">
        <f t="shared" si="0"/>
        <v>0</v>
      </c>
      <c r="F9" s="544"/>
      <c r="G9" s="544"/>
      <c r="H9" s="545">
        <f t="shared" si="1"/>
        <v>0</v>
      </c>
    </row>
    <row r="10" spans="1:8">
      <c r="A10" s="504">
        <v>1.4</v>
      </c>
      <c r="B10" s="533" t="s">
        <v>533</v>
      </c>
      <c r="C10" s="544"/>
      <c r="D10" s="544"/>
      <c r="E10" s="543">
        <f t="shared" si="0"/>
        <v>0</v>
      </c>
      <c r="F10" s="544"/>
      <c r="G10" s="544"/>
      <c r="H10" s="545">
        <f t="shared" si="1"/>
        <v>0</v>
      </c>
    </row>
    <row r="11" spans="1:8">
      <c r="A11" s="504">
        <v>1.5</v>
      </c>
      <c r="B11" s="533" t="s">
        <v>537</v>
      </c>
      <c r="C11" s="544">
        <v>6577293.5508941915</v>
      </c>
      <c r="D11" s="544">
        <v>4920425.9894050639</v>
      </c>
      <c r="E11" s="543">
        <f t="shared" si="0"/>
        <v>11497719.540299255</v>
      </c>
      <c r="F11" s="544">
        <v>5704038.997378042</v>
      </c>
      <c r="G11" s="544">
        <v>4336790.7228328381</v>
      </c>
      <c r="H11" s="545">
        <f t="shared" si="1"/>
        <v>10040829.72021088</v>
      </c>
    </row>
    <row r="12" spans="1:8">
      <c r="A12" s="504">
        <v>1.6</v>
      </c>
      <c r="B12" s="533" t="s">
        <v>419</v>
      </c>
      <c r="C12" s="544"/>
      <c r="D12" s="544"/>
      <c r="E12" s="543">
        <f t="shared" si="0"/>
        <v>0</v>
      </c>
      <c r="F12" s="544"/>
      <c r="G12" s="544"/>
      <c r="H12" s="545">
        <f t="shared" si="1"/>
        <v>0</v>
      </c>
    </row>
    <row r="13" spans="1:8">
      <c r="A13" s="504">
        <v>2</v>
      </c>
      <c r="B13" s="532" t="s">
        <v>588</v>
      </c>
      <c r="C13" s="542">
        <f>SUM(C14:C17)</f>
        <v>-1951397.2926190472</v>
      </c>
      <c r="D13" s="542">
        <f>SUM(D14:D17)</f>
        <v>-3382901.9026872562</v>
      </c>
      <c r="E13" s="543">
        <f t="shared" si="0"/>
        <v>-5334299.195306303</v>
      </c>
      <c r="F13" s="542">
        <f>SUM(F14:F17)</f>
        <v>-1313376.4160369865</v>
      </c>
      <c r="G13" s="542">
        <f>SUM(G14:G17)</f>
        <v>-3095730.2650784571</v>
      </c>
      <c r="H13" s="545">
        <f t="shared" si="1"/>
        <v>-4409106.6811154438</v>
      </c>
    </row>
    <row r="14" spans="1:8">
      <c r="A14" s="504">
        <v>2.1</v>
      </c>
      <c r="B14" s="533" t="s">
        <v>589</v>
      </c>
      <c r="C14" s="544"/>
      <c r="D14" s="544"/>
      <c r="E14" s="543">
        <f t="shared" si="0"/>
        <v>0</v>
      </c>
      <c r="F14" s="544"/>
      <c r="G14" s="544"/>
      <c r="H14" s="545">
        <f t="shared" si="1"/>
        <v>0</v>
      </c>
    </row>
    <row r="15" spans="1:8" ht="24.6" customHeight="1">
      <c r="A15" s="504">
        <v>2.2000000000000002</v>
      </c>
      <c r="B15" s="533" t="s">
        <v>590</v>
      </c>
      <c r="C15" s="544"/>
      <c r="D15" s="544"/>
      <c r="E15" s="543">
        <f t="shared" si="0"/>
        <v>0</v>
      </c>
      <c r="F15" s="544"/>
      <c r="G15" s="544"/>
      <c r="H15" s="545">
        <f t="shared" si="1"/>
        <v>0</v>
      </c>
    </row>
    <row r="16" spans="1:8" ht="20.45" customHeight="1">
      <c r="A16" s="504">
        <v>2.2999999999999998</v>
      </c>
      <c r="B16" s="533" t="s">
        <v>591</v>
      </c>
      <c r="C16" s="544">
        <v>-1951397.2926190472</v>
      </c>
      <c r="D16" s="544">
        <v>-3382901.9026872562</v>
      </c>
      <c r="E16" s="543">
        <f t="shared" si="0"/>
        <v>-5334299.195306303</v>
      </c>
      <c r="F16" s="544">
        <v>-1313376.4160369865</v>
      </c>
      <c r="G16" s="544">
        <v>-3095730.2650784571</v>
      </c>
      <c r="H16" s="545">
        <f>F16+G16</f>
        <v>-4409106.6811154438</v>
      </c>
    </row>
    <row r="17" spans="1:8">
      <c r="A17" s="504">
        <v>2.4</v>
      </c>
      <c r="B17" s="533" t="s">
        <v>592</v>
      </c>
      <c r="C17" s="544"/>
      <c r="D17" s="544"/>
      <c r="E17" s="543">
        <f t="shared" si="0"/>
        <v>0</v>
      </c>
      <c r="F17" s="544"/>
      <c r="G17" s="544"/>
      <c r="H17" s="545">
        <f t="shared" si="1"/>
        <v>0</v>
      </c>
    </row>
    <row r="18" spans="1:8">
      <c r="A18" s="504">
        <v>3</v>
      </c>
      <c r="B18" s="532" t="s">
        <v>593</v>
      </c>
      <c r="C18" s="544"/>
      <c r="D18" s="544"/>
      <c r="E18" s="543">
        <f t="shared" si="0"/>
        <v>0</v>
      </c>
      <c r="F18" s="544"/>
      <c r="G18" s="544"/>
      <c r="H18" s="545">
        <f t="shared" si="1"/>
        <v>0</v>
      </c>
    </row>
    <row r="19" spans="1:8">
      <c r="A19" s="504">
        <v>4</v>
      </c>
      <c r="B19" s="532" t="s">
        <v>594</v>
      </c>
      <c r="C19" s="544">
        <v>546372.02999999991</v>
      </c>
      <c r="D19" s="544">
        <v>329689.22591900005</v>
      </c>
      <c r="E19" s="543">
        <f t="shared" si="0"/>
        <v>876061.2559189999</v>
      </c>
      <c r="F19" s="544">
        <v>548760.9800000008</v>
      </c>
      <c r="G19" s="544">
        <v>351339.51957199955</v>
      </c>
      <c r="H19" s="545">
        <f t="shared" si="1"/>
        <v>900100.49957200035</v>
      </c>
    </row>
    <row r="20" spans="1:8">
      <c r="A20" s="504">
        <v>5</v>
      </c>
      <c r="B20" s="532" t="s">
        <v>595</v>
      </c>
      <c r="C20" s="544">
        <v>-64622.439999999995</v>
      </c>
      <c r="D20" s="544">
        <v>-36948.531200000005</v>
      </c>
      <c r="E20" s="543">
        <f t="shared" si="0"/>
        <v>-101570.9712</v>
      </c>
      <c r="F20" s="544">
        <v>-45720.930000000015</v>
      </c>
      <c r="G20" s="544">
        <v>-81098.01430000001</v>
      </c>
      <c r="H20" s="545">
        <f t="shared" si="1"/>
        <v>-126818.94430000003</v>
      </c>
    </row>
    <row r="21" spans="1:8" ht="24" customHeight="1">
      <c r="A21" s="504">
        <v>6</v>
      </c>
      <c r="B21" s="532" t="s">
        <v>596</v>
      </c>
      <c r="C21" s="544"/>
      <c r="D21" s="544"/>
      <c r="E21" s="543">
        <f t="shared" si="0"/>
        <v>0</v>
      </c>
      <c r="F21" s="544"/>
      <c r="G21" s="544"/>
      <c r="H21" s="545">
        <f t="shared" si="1"/>
        <v>0</v>
      </c>
    </row>
    <row r="22" spans="1:8" ht="18.600000000000001" customHeight="1">
      <c r="A22" s="504">
        <v>7</v>
      </c>
      <c r="B22" s="532" t="s">
        <v>597</v>
      </c>
      <c r="C22" s="544"/>
      <c r="D22" s="544"/>
      <c r="E22" s="543">
        <f t="shared" si="0"/>
        <v>0</v>
      </c>
      <c r="F22" s="544"/>
      <c r="G22" s="544"/>
      <c r="H22" s="545">
        <f t="shared" si="1"/>
        <v>0</v>
      </c>
    </row>
    <row r="23" spans="1:8" ht="25.5" customHeight="1">
      <c r="A23" s="504">
        <v>8</v>
      </c>
      <c r="B23" s="534" t="s">
        <v>598</v>
      </c>
      <c r="C23" s="544"/>
      <c r="D23" s="544"/>
      <c r="E23" s="543">
        <f t="shared" si="0"/>
        <v>0</v>
      </c>
      <c r="F23" s="544"/>
      <c r="G23" s="544"/>
      <c r="H23" s="545">
        <f t="shared" si="1"/>
        <v>0</v>
      </c>
    </row>
    <row r="24" spans="1:8" ht="34.5" customHeight="1">
      <c r="A24" s="504">
        <v>9</v>
      </c>
      <c r="B24" s="534" t="s">
        <v>599</v>
      </c>
      <c r="C24" s="544"/>
      <c r="D24" s="544"/>
      <c r="E24" s="543">
        <f t="shared" si="0"/>
        <v>0</v>
      </c>
      <c r="F24" s="544"/>
      <c r="G24" s="544"/>
      <c r="H24" s="545">
        <f t="shared" si="1"/>
        <v>0</v>
      </c>
    </row>
    <row r="25" spans="1:8">
      <c r="A25" s="504">
        <v>10</v>
      </c>
      <c r="B25" s="532" t="s">
        <v>600</v>
      </c>
      <c r="C25" s="544">
        <v>137910.35999999999</v>
      </c>
      <c r="D25" s="544"/>
      <c r="E25" s="543">
        <f t="shared" si="0"/>
        <v>137910.35999999999</v>
      </c>
      <c r="F25" s="544">
        <v>324454.13000000024</v>
      </c>
      <c r="G25" s="544"/>
      <c r="H25" s="545">
        <f t="shared" si="1"/>
        <v>324454.13000000024</v>
      </c>
    </row>
    <row r="26" spans="1:8">
      <c r="A26" s="504">
        <v>11</v>
      </c>
      <c r="B26" s="535" t="s">
        <v>601</v>
      </c>
      <c r="C26" s="544"/>
      <c r="D26" s="544"/>
      <c r="E26" s="543">
        <f t="shared" si="0"/>
        <v>0</v>
      </c>
      <c r="F26" s="544"/>
      <c r="G26" s="544"/>
      <c r="H26" s="545">
        <f t="shared" si="1"/>
        <v>0</v>
      </c>
    </row>
    <row r="27" spans="1:8">
      <c r="A27" s="504">
        <v>12</v>
      </c>
      <c r="B27" s="532" t="s">
        <v>602</v>
      </c>
      <c r="C27" s="544"/>
      <c r="D27" s="544"/>
      <c r="E27" s="543">
        <f t="shared" si="0"/>
        <v>0</v>
      </c>
      <c r="F27" s="544"/>
      <c r="G27" s="544"/>
      <c r="H27" s="545">
        <f t="shared" si="1"/>
        <v>0</v>
      </c>
    </row>
    <row r="28" spans="1:8">
      <c r="A28" s="504">
        <v>13</v>
      </c>
      <c r="B28" s="532" t="s">
        <v>603</v>
      </c>
      <c r="C28" s="544"/>
      <c r="D28" s="544"/>
      <c r="E28" s="543">
        <f t="shared" si="0"/>
        <v>0</v>
      </c>
      <c r="F28" s="544"/>
      <c r="G28" s="544"/>
      <c r="H28" s="545">
        <f t="shared" si="1"/>
        <v>0</v>
      </c>
    </row>
    <row r="29" spans="1:8">
      <c r="A29" s="504">
        <v>14</v>
      </c>
      <c r="B29" s="532" t="s">
        <v>604</v>
      </c>
      <c r="C29" s="542">
        <f>SUM(C30:C31)</f>
        <v>-1249504.3525510202</v>
      </c>
      <c r="D29" s="542">
        <f>SUM(D30:D31)</f>
        <v>-459944.41642106744</v>
      </c>
      <c r="E29" s="543">
        <f t="shared" si="0"/>
        <v>-1709448.7689720877</v>
      </c>
      <c r="F29" s="542">
        <f>SUM(F30:F31)</f>
        <v>-1233567.1167346938</v>
      </c>
      <c r="G29" s="542">
        <f>SUM(G30:G31)</f>
        <v>-485218.34806416661</v>
      </c>
      <c r="H29" s="545">
        <f t="shared" si="1"/>
        <v>-1718785.4647988603</v>
      </c>
    </row>
    <row r="30" spans="1:8">
      <c r="A30" s="504">
        <v>14.1</v>
      </c>
      <c r="B30" s="536" t="s">
        <v>605</v>
      </c>
      <c r="C30" s="544">
        <v>-841896.08255102031</v>
      </c>
      <c r="D30" s="544">
        <v>-429286.48432106746</v>
      </c>
      <c r="E30" s="543">
        <f t="shared" si="0"/>
        <v>-1271182.5668720878</v>
      </c>
      <c r="F30" s="544">
        <v>-831723.27673469391</v>
      </c>
      <c r="G30" s="544">
        <v>-468548.14006416663</v>
      </c>
      <c r="H30" s="545">
        <f t="shared" si="1"/>
        <v>-1300271.4167988605</v>
      </c>
    </row>
    <row r="31" spans="1:8">
      <c r="A31" s="504">
        <v>14.2</v>
      </c>
      <c r="B31" s="536" t="s">
        <v>606</v>
      </c>
      <c r="C31" s="544">
        <v>-407608.2699999999</v>
      </c>
      <c r="D31" s="544">
        <v>-30657.932099999991</v>
      </c>
      <c r="E31" s="543">
        <f t="shared" si="0"/>
        <v>-438266.20209999988</v>
      </c>
      <c r="F31" s="544">
        <v>-401843.83999999997</v>
      </c>
      <c r="G31" s="544">
        <v>-16670.207999999999</v>
      </c>
      <c r="H31" s="545">
        <f t="shared" si="1"/>
        <v>-418514.04799999995</v>
      </c>
    </row>
    <row r="32" spans="1:8">
      <c r="A32" s="504">
        <v>15</v>
      </c>
      <c r="B32" s="532" t="s">
        <v>607</v>
      </c>
      <c r="C32" s="544">
        <v>-324077.33999999997</v>
      </c>
      <c r="D32" s="544"/>
      <c r="E32" s="543">
        <f t="shared" si="0"/>
        <v>-324077.33999999997</v>
      </c>
      <c r="F32" s="544">
        <v>-319032.38999999978</v>
      </c>
      <c r="G32" s="544">
        <v>0</v>
      </c>
      <c r="H32" s="545">
        <f t="shared" si="1"/>
        <v>-319032.38999999978</v>
      </c>
    </row>
    <row r="33" spans="1:8" ht="22.5" customHeight="1">
      <c r="A33" s="504">
        <v>16</v>
      </c>
      <c r="B33" s="537" t="s">
        <v>608</v>
      </c>
      <c r="C33" s="544"/>
      <c r="D33" s="544"/>
      <c r="E33" s="543">
        <f t="shared" si="0"/>
        <v>0</v>
      </c>
      <c r="F33" s="544"/>
      <c r="G33" s="544"/>
      <c r="H33" s="545">
        <f t="shared" si="1"/>
        <v>0</v>
      </c>
    </row>
    <row r="34" spans="1:8">
      <c r="A34" s="504">
        <v>17</v>
      </c>
      <c r="B34" s="532" t="s">
        <v>609</v>
      </c>
      <c r="C34" s="542">
        <f>SUM(C35:C36)</f>
        <v>37375.596754486236</v>
      </c>
      <c r="D34" s="542">
        <f>SUM(D35:D36)</f>
        <v>38771.616659690371</v>
      </c>
      <c r="E34" s="543">
        <f t="shared" si="0"/>
        <v>76147.2134141766</v>
      </c>
      <c r="F34" s="542">
        <f>SUM(F35:F36)</f>
        <v>-34263.396854656217</v>
      </c>
      <c r="G34" s="542">
        <f>SUM(G35:G36)</f>
        <v>48562.685171438854</v>
      </c>
      <c r="H34" s="545">
        <f t="shared" si="1"/>
        <v>14299.288316782637</v>
      </c>
    </row>
    <row r="35" spans="1:8">
      <c r="A35" s="504">
        <v>17.100000000000001</v>
      </c>
      <c r="B35" s="536" t="s">
        <v>610</v>
      </c>
      <c r="C35" s="544">
        <v>9890.1047706094978</v>
      </c>
      <c r="D35" s="544">
        <v>-23579.322331102136</v>
      </c>
      <c r="E35" s="543">
        <f t="shared" si="0"/>
        <v>-13689.217560492638</v>
      </c>
      <c r="F35" s="544">
        <v>6718.1299621043818</v>
      </c>
      <c r="G35" s="544">
        <v>15279.572572756844</v>
      </c>
      <c r="H35" s="545">
        <f t="shared" si="1"/>
        <v>21997.702534861226</v>
      </c>
    </row>
    <row r="36" spans="1:8">
      <c r="A36" s="504">
        <v>17.2</v>
      </c>
      <c r="B36" s="536" t="s">
        <v>611</v>
      </c>
      <c r="C36" s="544">
        <v>27485.491983876735</v>
      </c>
      <c r="D36" s="544">
        <v>62350.938990792507</v>
      </c>
      <c r="E36" s="543">
        <f t="shared" si="0"/>
        <v>89836.430974669245</v>
      </c>
      <c r="F36" s="544">
        <v>-40981.526816760597</v>
      </c>
      <c r="G36" s="544">
        <v>33283.112598682012</v>
      </c>
      <c r="H36" s="545">
        <f t="shared" si="1"/>
        <v>-7698.4142180785857</v>
      </c>
    </row>
    <row r="37" spans="1:8" ht="41.45" customHeight="1">
      <c r="A37" s="504">
        <v>18</v>
      </c>
      <c r="B37" s="538" t="s">
        <v>612</v>
      </c>
      <c r="C37" s="542">
        <f>SUM(C38:C39)</f>
        <v>-211557.95929305116</v>
      </c>
      <c r="D37" s="542">
        <f>SUM(D38:D39)</f>
        <v>-7166.7778662558849</v>
      </c>
      <c r="E37" s="543">
        <f t="shared" si="0"/>
        <v>-218724.73715930706</v>
      </c>
      <c r="F37" s="542">
        <f>SUM(F38:F39)</f>
        <v>505.88946729844247</v>
      </c>
      <c r="G37" s="542">
        <f>SUM(G38:G39)</f>
        <v>-35107.500923383464</v>
      </c>
      <c r="H37" s="545">
        <f t="shared" si="1"/>
        <v>-34601.611456085026</v>
      </c>
    </row>
    <row r="38" spans="1:8">
      <c r="A38" s="504">
        <v>18.100000000000001</v>
      </c>
      <c r="B38" s="539" t="s">
        <v>613</v>
      </c>
      <c r="C38" s="544"/>
      <c r="D38" s="544"/>
      <c r="E38" s="543">
        <f t="shared" si="0"/>
        <v>0</v>
      </c>
      <c r="F38" s="544"/>
      <c r="G38" s="544"/>
      <c r="H38" s="545">
        <f t="shared" si="1"/>
        <v>0</v>
      </c>
    </row>
    <row r="39" spans="1:8">
      <c r="A39" s="504">
        <v>18.2</v>
      </c>
      <c r="B39" s="539" t="s">
        <v>614</v>
      </c>
      <c r="C39" s="544">
        <v>-211557.95929305116</v>
      </c>
      <c r="D39" s="544">
        <v>-7166.7778662558849</v>
      </c>
      <c r="E39" s="543">
        <f t="shared" si="0"/>
        <v>-218724.73715930706</v>
      </c>
      <c r="F39" s="544">
        <v>505.88946729844247</v>
      </c>
      <c r="G39" s="544">
        <v>-35107.500923383464</v>
      </c>
      <c r="H39" s="545">
        <f t="shared" si="1"/>
        <v>-34601.611456085026</v>
      </c>
    </row>
    <row r="40" spans="1:8" ht="24.6" customHeight="1">
      <c r="A40" s="504">
        <v>19</v>
      </c>
      <c r="B40" s="538" t="s">
        <v>615</v>
      </c>
      <c r="C40" s="544"/>
      <c r="D40" s="544"/>
      <c r="E40" s="543">
        <f t="shared" si="0"/>
        <v>0</v>
      </c>
      <c r="F40" s="544"/>
      <c r="G40" s="544"/>
      <c r="H40" s="545">
        <f t="shared" si="1"/>
        <v>0</v>
      </c>
    </row>
    <row r="41" spans="1:8" ht="17.45" customHeight="1">
      <c r="A41" s="504">
        <v>20</v>
      </c>
      <c r="B41" s="538" t="s">
        <v>616</v>
      </c>
      <c r="C41" s="544"/>
      <c r="D41" s="544"/>
      <c r="E41" s="543">
        <f t="shared" si="0"/>
        <v>0</v>
      </c>
      <c r="F41" s="544"/>
      <c r="G41" s="544"/>
      <c r="H41" s="545">
        <f t="shared" si="1"/>
        <v>0</v>
      </c>
    </row>
    <row r="42" spans="1:8" ht="26.45" customHeight="1">
      <c r="A42" s="504">
        <v>21</v>
      </c>
      <c r="B42" s="538" t="s">
        <v>617</v>
      </c>
      <c r="C42" s="544"/>
      <c r="D42" s="544"/>
      <c r="E42" s="543">
        <f t="shared" si="0"/>
        <v>0</v>
      </c>
      <c r="F42" s="544"/>
      <c r="G42" s="544"/>
      <c r="H42" s="545">
        <f t="shared" si="1"/>
        <v>0</v>
      </c>
    </row>
    <row r="43" spans="1:8">
      <c r="A43" s="504">
        <v>22</v>
      </c>
      <c r="B43" s="540" t="s">
        <v>618</v>
      </c>
      <c r="C43" s="542">
        <f>SUM(C6,C13,C18,C19,C20,C21,C22,C23,C24,C25,C26,C27,C28,C29,C32,C33,C34,C37,C40,C41,C42)</f>
        <v>3497792.153185559</v>
      </c>
      <c r="D43" s="542">
        <f>SUM(D6,D13,D18,D19,D20,D21,D22,D23,D24,D25,D26,D27,D28,D29,D32,D33,D34,D37,D40,D41,D42)</f>
        <v>1401925.2038091747</v>
      </c>
      <c r="E43" s="543">
        <f t="shared" si="0"/>
        <v>4899717.3569947332</v>
      </c>
      <c r="F43" s="542">
        <f>SUM(F6,F13,F18,F19,F20,F21,F22,F23,F24,F25,F26,F27,F28,F29,F32,F33,F34,F37,F40,F41,F42)</f>
        <v>3631799.7472190047</v>
      </c>
      <c r="G43" s="542">
        <f>SUM(G6,G13,G18,G19,G20,G21,G22,G23,G24,G25,G26,G27,G28,G29,G32,G33,G34,G37,G40,G41,G42)</f>
        <v>1039538.7992102695</v>
      </c>
      <c r="H43" s="545">
        <f t="shared" si="1"/>
        <v>4671338.5464292746</v>
      </c>
    </row>
    <row r="44" spans="1:8">
      <c r="A44" s="504">
        <v>23</v>
      </c>
      <c r="B44" s="540" t="s">
        <v>619</v>
      </c>
      <c r="C44" s="544">
        <v>-882899.76117549604</v>
      </c>
      <c r="D44" s="544"/>
      <c r="E44" s="543">
        <f t="shared" si="0"/>
        <v>-882899.76117549604</v>
      </c>
      <c r="F44" s="544">
        <v>-906494.23622952309</v>
      </c>
      <c r="G44" s="544"/>
      <c r="H44" s="545">
        <f t="shared" si="1"/>
        <v>-906494.23622952309</v>
      </c>
    </row>
    <row r="45" spans="1:8" ht="15.75" thickBot="1">
      <c r="A45" s="505">
        <v>24</v>
      </c>
      <c r="B45" s="541" t="s">
        <v>620</v>
      </c>
      <c r="C45" s="546">
        <f>C43+C44</f>
        <v>2614892.3920100629</v>
      </c>
      <c r="D45" s="546">
        <f>D43+D44</f>
        <v>1401925.2038091747</v>
      </c>
      <c r="E45" s="547">
        <f t="shared" si="0"/>
        <v>4016817.5958192376</v>
      </c>
      <c r="F45" s="546">
        <f>F43+F44</f>
        <v>2725305.5109894816</v>
      </c>
      <c r="G45" s="546">
        <f>G43+G44</f>
        <v>1039538.7992102695</v>
      </c>
      <c r="H45" s="548">
        <f t="shared" si="1"/>
        <v>3764844.3101997511</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showGridLines="0" zoomScaleNormal="100" workbookViewId="0">
      <selection activeCell="B4" sqref="B4:B5"/>
    </sheetView>
  </sheetViews>
  <sheetFormatPr defaultColWidth="8.85546875" defaultRowHeight="15"/>
  <cols>
    <col min="1" max="1" width="8.85546875" style="420"/>
    <col min="2" max="2" width="85.5703125" style="417" bestFit="1" customWidth="1"/>
    <col min="3" max="8" width="15.42578125" style="417" customWidth="1"/>
    <col min="9" max="16384" width="8.85546875" style="417"/>
  </cols>
  <sheetData>
    <row r="1" spans="1:8">
      <c r="A1" s="182" t="s">
        <v>30</v>
      </c>
      <c r="B1" s="445" t="str">
        <f>'Info '!C2</f>
        <v>JSC Isbank Georgia</v>
      </c>
      <c r="C1" s="416"/>
    </row>
    <row r="2" spans="1:8">
      <c r="A2" s="182" t="s">
        <v>31</v>
      </c>
      <c r="B2" s="446">
        <f>'1. key ratios '!B2</f>
        <v>46112</v>
      </c>
      <c r="C2" s="418"/>
      <c r="D2" s="419"/>
      <c r="E2" s="419"/>
      <c r="F2" s="419"/>
      <c r="G2" s="419"/>
      <c r="H2" s="419"/>
    </row>
    <row r="3" spans="1:8" ht="15.75" thickBot="1">
      <c r="A3" s="417"/>
    </row>
    <row r="4" spans="1:8">
      <c r="A4" s="905" t="s">
        <v>6</v>
      </c>
      <c r="B4" s="907" t="s">
        <v>94</v>
      </c>
      <c r="C4" s="909" t="s">
        <v>522</v>
      </c>
      <c r="D4" s="909"/>
      <c r="E4" s="909"/>
      <c r="F4" s="909" t="s">
        <v>523</v>
      </c>
      <c r="G4" s="909"/>
      <c r="H4" s="910"/>
    </row>
    <row r="5" spans="1:8" ht="15.75" thickBot="1">
      <c r="A5" s="906"/>
      <c r="B5" s="908"/>
      <c r="C5" s="555" t="s">
        <v>32</v>
      </c>
      <c r="D5" s="555" t="s">
        <v>33</v>
      </c>
      <c r="E5" s="555" t="s">
        <v>34</v>
      </c>
      <c r="F5" s="555" t="s">
        <v>32</v>
      </c>
      <c r="G5" s="555" t="s">
        <v>33</v>
      </c>
      <c r="H5" s="556" t="s">
        <v>34</v>
      </c>
    </row>
    <row r="6" spans="1:8" ht="15.75" thickTop="1">
      <c r="A6" s="579">
        <v>1</v>
      </c>
      <c r="B6" s="580" t="s">
        <v>621</v>
      </c>
      <c r="C6" s="581"/>
      <c r="D6" s="582"/>
      <c r="E6" s="583">
        <f t="shared" ref="E6:E43" si="0">C6+D6</f>
        <v>0</v>
      </c>
      <c r="F6" s="582"/>
      <c r="G6" s="582"/>
      <c r="H6" s="584">
        <f t="shared" ref="H6:H43" si="1">F6+G6</f>
        <v>0</v>
      </c>
    </row>
    <row r="7" spans="1:8">
      <c r="A7" s="569">
        <v>2</v>
      </c>
      <c r="B7" s="570" t="s">
        <v>183</v>
      </c>
      <c r="C7" s="559"/>
      <c r="D7" s="560"/>
      <c r="E7" s="561">
        <f t="shared" si="0"/>
        <v>0</v>
      </c>
      <c r="F7" s="560"/>
      <c r="G7" s="560"/>
      <c r="H7" s="562">
        <f t="shared" si="1"/>
        <v>0</v>
      </c>
    </row>
    <row r="8" spans="1:8">
      <c r="A8" s="569">
        <v>3</v>
      </c>
      <c r="B8" s="570" t="s">
        <v>193</v>
      </c>
      <c r="C8" s="563">
        <f>C9+C10</f>
        <v>183284483.5</v>
      </c>
      <c r="D8" s="564">
        <f>D9+D10</f>
        <v>161462614.21343601</v>
      </c>
      <c r="E8" s="561">
        <f t="shared" si="0"/>
        <v>344747097.71343601</v>
      </c>
      <c r="F8" s="564">
        <f>F9+F10</f>
        <v>195271785.50832763</v>
      </c>
      <c r="G8" s="564">
        <f>G9+G10</f>
        <v>176559084.98353797</v>
      </c>
      <c r="H8" s="562">
        <f t="shared" si="1"/>
        <v>371830870.49186563</v>
      </c>
    </row>
    <row r="9" spans="1:8">
      <c r="A9" s="569">
        <v>3.1</v>
      </c>
      <c r="B9" s="571" t="s">
        <v>184</v>
      </c>
      <c r="C9" s="559">
        <v>115358014.84</v>
      </c>
      <c r="D9" s="560">
        <v>124159072.51515999</v>
      </c>
      <c r="E9" s="561">
        <f t="shared" si="0"/>
        <v>239517087.35516</v>
      </c>
      <c r="F9" s="560">
        <v>118355454.27832764</v>
      </c>
      <c r="G9" s="560">
        <v>122582005.81761998</v>
      </c>
      <c r="H9" s="562">
        <f t="shared" si="1"/>
        <v>240937460.09594762</v>
      </c>
    </row>
    <row r="10" spans="1:8">
      <c r="A10" s="569">
        <v>3.2</v>
      </c>
      <c r="B10" s="571" t="s">
        <v>180</v>
      </c>
      <c r="C10" s="559">
        <v>67926468.659999996</v>
      </c>
      <c r="D10" s="560">
        <v>37303541.698276006</v>
      </c>
      <c r="E10" s="561">
        <f t="shared" si="0"/>
        <v>105230010.35827601</v>
      </c>
      <c r="F10" s="560">
        <v>76916331.229999989</v>
      </c>
      <c r="G10" s="560">
        <v>53977079.165918</v>
      </c>
      <c r="H10" s="562">
        <f t="shared" si="1"/>
        <v>130893410.39591798</v>
      </c>
    </row>
    <row r="11" spans="1:8">
      <c r="A11" s="569">
        <v>4</v>
      </c>
      <c r="B11" s="570" t="s">
        <v>182</v>
      </c>
      <c r="C11" s="563">
        <f>C12+C13</f>
        <v>0</v>
      </c>
      <c r="D11" s="564">
        <f>D12+D13</f>
        <v>0</v>
      </c>
      <c r="E11" s="561">
        <f t="shared" si="0"/>
        <v>0</v>
      </c>
      <c r="F11" s="564">
        <f>F12+F13</f>
        <v>21151000</v>
      </c>
      <c r="G11" s="564">
        <f>G12+G13</f>
        <v>0</v>
      </c>
      <c r="H11" s="562">
        <f t="shared" si="1"/>
        <v>21151000</v>
      </c>
    </row>
    <row r="12" spans="1:8">
      <c r="A12" s="569">
        <v>4.0999999999999996</v>
      </c>
      <c r="B12" s="571" t="s">
        <v>166</v>
      </c>
      <c r="C12" s="559">
        <v>0</v>
      </c>
      <c r="D12" s="560"/>
      <c r="E12" s="561">
        <f t="shared" si="0"/>
        <v>0</v>
      </c>
      <c r="F12" s="560">
        <v>21151000</v>
      </c>
      <c r="G12" s="560"/>
      <c r="H12" s="562">
        <f t="shared" si="1"/>
        <v>21151000</v>
      </c>
    </row>
    <row r="13" spans="1:8">
      <c r="A13" s="569">
        <v>4.2</v>
      </c>
      <c r="B13" s="571" t="s">
        <v>167</v>
      </c>
      <c r="C13" s="559"/>
      <c r="D13" s="560"/>
      <c r="E13" s="561">
        <f t="shared" si="0"/>
        <v>0</v>
      </c>
      <c r="F13" s="560"/>
      <c r="G13" s="560"/>
      <c r="H13" s="562">
        <f t="shared" si="1"/>
        <v>0</v>
      </c>
    </row>
    <row r="14" spans="1:8">
      <c r="A14" s="569">
        <v>5</v>
      </c>
      <c r="B14" s="570" t="s">
        <v>192</v>
      </c>
      <c r="C14" s="563">
        <f>C15+C16+C17+C23+C24+C25+C26</f>
        <v>16150013.07</v>
      </c>
      <c r="D14" s="564">
        <f>D15+D16+D17+D23+D24+D25+D26</f>
        <v>263309981.78200647</v>
      </c>
      <c r="E14" s="561">
        <f t="shared" si="0"/>
        <v>279459994.85200649</v>
      </c>
      <c r="F14" s="564">
        <f>F15+F16+F17+F23+F24+F25+F26</f>
        <v>6824323.0000000009</v>
      </c>
      <c r="G14" s="564">
        <f>G15+G16+G17+G23+G24+G25+G26</f>
        <v>301015647.29973096</v>
      </c>
      <c r="H14" s="562">
        <f t="shared" si="1"/>
        <v>307839970.29973096</v>
      </c>
    </row>
    <row r="15" spans="1:8">
      <c r="A15" s="569">
        <v>5.0999999999999996</v>
      </c>
      <c r="B15" s="572" t="s">
        <v>170</v>
      </c>
      <c r="C15" s="559">
        <v>16150013.07</v>
      </c>
      <c r="D15" s="560">
        <v>15273345.910599999</v>
      </c>
      <c r="E15" s="561">
        <f t="shared" si="0"/>
        <v>31423358.980599999</v>
      </c>
      <c r="F15" s="560">
        <v>6824323.0000000009</v>
      </c>
      <c r="G15" s="560">
        <v>11074091.562649904</v>
      </c>
      <c r="H15" s="562">
        <f t="shared" si="1"/>
        <v>17898414.562649906</v>
      </c>
    </row>
    <row r="16" spans="1:8">
      <c r="A16" s="569">
        <v>5.2</v>
      </c>
      <c r="B16" s="572" t="s">
        <v>169</v>
      </c>
      <c r="C16" s="559"/>
      <c r="D16" s="560"/>
      <c r="E16" s="561">
        <f t="shared" si="0"/>
        <v>0</v>
      </c>
      <c r="F16" s="560"/>
      <c r="G16" s="560"/>
      <c r="H16" s="562">
        <f t="shared" si="1"/>
        <v>0</v>
      </c>
    </row>
    <row r="17" spans="1:8">
      <c r="A17" s="569">
        <v>5.3</v>
      </c>
      <c r="B17" s="572" t="s">
        <v>168</v>
      </c>
      <c r="C17" s="563">
        <f>C18+C19+C20+C21+C22</f>
        <v>0</v>
      </c>
      <c r="D17" s="564">
        <f>D18+D19+D20+D21+D22</f>
        <v>213180901.27023709</v>
      </c>
      <c r="E17" s="561">
        <f t="shared" si="0"/>
        <v>213180901.27023709</v>
      </c>
      <c r="F17" s="563">
        <f>F18+F19+F20+F21+F22</f>
        <v>0</v>
      </c>
      <c r="G17" s="564">
        <f>G18+G19+G20+G21+G22</f>
        <v>268634240.93573314</v>
      </c>
      <c r="H17" s="562">
        <f t="shared" si="1"/>
        <v>268634240.93573314</v>
      </c>
    </row>
    <row r="18" spans="1:8">
      <c r="A18" s="569" t="s">
        <v>15</v>
      </c>
      <c r="B18" s="573" t="s">
        <v>36</v>
      </c>
      <c r="C18" s="559"/>
      <c r="D18" s="560">
        <v>19743552.897878516</v>
      </c>
      <c r="E18" s="561">
        <f t="shared" si="0"/>
        <v>19743552.897878516</v>
      </c>
      <c r="F18" s="560"/>
      <c r="G18" s="560">
        <v>26242878.997011777</v>
      </c>
      <c r="H18" s="562">
        <f t="shared" si="1"/>
        <v>26242878.997011777</v>
      </c>
    </row>
    <row r="19" spans="1:8">
      <c r="A19" s="569" t="s">
        <v>16</v>
      </c>
      <c r="B19" s="573" t="s">
        <v>37</v>
      </c>
      <c r="C19" s="559"/>
      <c r="D19" s="560">
        <v>121753284.42027779</v>
      </c>
      <c r="E19" s="561">
        <f t="shared" si="0"/>
        <v>121753284.42027779</v>
      </c>
      <c r="F19" s="560"/>
      <c r="G19" s="560">
        <v>162479993.6882174</v>
      </c>
      <c r="H19" s="562">
        <f t="shared" si="1"/>
        <v>162479993.6882174</v>
      </c>
    </row>
    <row r="20" spans="1:8">
      <c r="A20" s="569" t="s">
        <v>17</v>
      </c>
      <c r="B20" s="573" t="s">
        <v>38</v>
      </c>
      <c r="C20" s="559"/>
      <c r="D20" s="560">
        <v>120779.55100528379</v>
      </c>
      <c r="E20" s="561">
        <f t="shared" si="0"/>
        <v>120779.55100528379</v>
      </c>
      <c r="F20" s="560"/>
      <c r="G20" s="560">
        <v>161180.54456143992</v>
      </c>
      <c r="H20" s="562">
        <f t="shared" si="1"/>
        <v>161180.54456143992</v>
      </c>
    </row>
    <row r="21" spans="1:8">
      <c r="A21" s="569" t="s">
        <v>18</v>
      </c>
      <c r="B21" s="573" t="s">
        <v>39</v>
      </c>
      <c r="C21" s="559"/>
      <c r="D21" s="560">
        <v>71563284.401075497</v>
      </c>
      <c r="E21" s="561">
        <f t="shared" si="0"/>
        <v>71563284.401075497</v>
      </c>
      <c r="F21" s="560"/>
      <c r="G21" s="560">
        <v>79750187.705942497</v>
      </c>
      <c r="H21" s="562">
        <f t="shared" si="1"/>
        <v>79750187.705942497</v>
      </c>
    </row>
    <row r="22" spans="1:8">
      <c r="A22" s="569" t="s">
        <v>19</v>
      </c>
      <c r="B22" s="573" t="s">
        <v>40</v>
      </c>
      <c r="C22" s="559"/>
      <c r="D22" s="560">
        <v>0</v>
      </c>
      <c r="E22" s="561">
        <f t="shared" si="0"/>
        <v>0</v>
      </c>
      <c r="F22" s="560"/>
      <c r="G22" s="560">
        <v>0</v>
      </c>
      <c r="H22" s="562">
        <f t="shared" si="1"/>
        <v>0</v>
      </c>
    </row>
    <row r="23" spans="1:8">
      <c r="A23" s="569">
        <v>5.4</v>
      </c>
      <c r="B23" s="572" t="s">
        <v>171</v>
      </c>
      <c r="C23" s="559"/>
      <c r="D23" s="560">
        <v>751688.2</v>
      </c>
      <c r="E23" s="561">
        <f t="shared" si="0"/>
        <v>751688.2</v>
      </c>
      <c r="F23" s="560"/>
      <c r="G23" s="560">
        <v>15821330.219159702</v>
      </c>
      <c r="H23" s="562">
        <f t="shared" si="1"/>
        <v>15821330.219159702</v>
      </c>
    </row>
    <row r="24" spans="1:8">
      <c r="A24" s="569">
        <v>5.5</v>
      </c>
      <c r="B24" s="572" t="s">
        <v>172</v>
      </c>
      <c r="C24" s="559"/>
      <c r="D24" s="560">
        <v>0</v>
      </c>
      <c r="E24" s="561">
        <f t="shared" si="0"/>
        <v>0</v>
      </c>
      <c r="F24" s="560"/>
      <c r="G24" s="560">
        <v>0</v>
      </c>
      <c r="H24" s="562">
        <f t="shared" si="1"/>
        <v>0</v>
      </c>
    </row>
    <row r="25" spans="1:8">
      <c r="A25" s="569">
        <v>5.6</v>
      </c>
      <c r="B25" s="572" t="s">
        <v>173</v>
      </c>
      <c r="C25" s="559"/>
      <c r="D25" s="560">
        <v>0</v>
      </c>
      <c r="E25" s="561">
        <f t="shared" si="0"/>
        <v>0</v>
      </c>
      <c r="F25" s="560"/>
      <c r="G25" s="560">
        <v>0</v>
      </c>
      <c r="H25" s="562">
        <f t="shared" si="1"/>
        <v>0</v>
      </c>
    </row>
    <row r="26" spans="1:8">
      <c r="A26" s="569">
        <v>5.7</v>
      </c>
      <c r="B26" s="572" t="s">
        <v>40</v>
      </c>
      <c r="C26" s="559"/>
      <c r="D26" s="560">
        <v>34104046.401169389</v>
      </c>
      <c r="E26" s="561">
        <f t="shared" si="0"/>
        <v>34104046.401169389</v>
      </c>
      <c r="F26" s="560"/>
      <c r="G26" s="560">
        <v>5485984.5821882021</v>
      </c>
      <c r="H26" s="562">
        <f t="shared" si="1"/>
        <v>5485984.5821882021</v>
      </c>
    </row>
    <row r="27" spans="1:8">
      <c r="A27" s="569">
        <v>6</v>
      </c>
      <c r="B27" s="574" t="s">
        <v>622</v>
      </c>
      <c r="C27" s="559"/>
      <c r="D27" s="560"/>
      <c r="E27" s="561">
        <f t="shared" si="0"/>
        <v>0</v>
      </c>
      <c r="F27" s="560">
        <v>0</v>
      </c>
      <c r="G27" s="560">
        <v>0</v>
      </c>
      <c r="H27" s="562">
        <f t="shared" si="1"/>
        <v>0</v>
      </c>
    </row>
    <row r="28" spans="1:8">
      <c r="A28" s="569">
        <v>7</v>
      </c>
      <c r="B28" s="574" t="s">
        <v>623</v>
      </c>
      <c r="C28" s="559">
        <v>70025363.659999996</v>
      </c>
      <c r="D28" s="560">
        <v>49985790.342781991</v>
      </c>
      <c r="E28" s="561">
        <f t="shared" si="0"/>
        <v>120011154.00278199</v>
      </c>
      <c r="F28" s="560">
        <v>78948300.829999998</v>
      </c>
      <c r="G28" s="560">
        <v>71294110.900114998</v>
      </c>
      <c r="H28" s="562">
        <f t="shared" si="1"/>
        <v>150242411.730115</v>
      </c>
    </row>
    <row r="29" spans="1:8">
      <c r="A29" s="569">
        <v>8</v>
      </c>
      <c r="B29" s="574" t="s">
        <v>181</v>
      </c>
      <c r="C29" s="559"/>
      <c r="D29" s="560"/>
      <c r="E29" s="561">
        <f t="shared" si="0"/>
        <v>0</v>
      </c>
      <c r="F29" s="560">
        <v>0</v>
      </c>
      <c r="G29" s="560">
        <v>0</v>
      </c>
      <c r="H29" s="562">
        <f t="shared" si="1"/>
        <v>0</v>
      </c>
    </row>
    <row r="30" spans="1:8">
      <c r="A30" s="569">
        <v>9</v>
      </c>
      <c r="B30" s="575" t="s">
        <v>198</v>
      </c>
      <c r="C30" s="559">
        <f>C31+C32+C33+C34+C35+C36+C37</f>
        <v>0</v>
      </c>
      <c r="D30" s="560">
        <f>D31+D32+D33+D34+D35+D36+D37</f>
        <v>0</v>
      </c>
      <c r="E30" s="561">
        <f t="shared" si="0"/>
        <v>0</v>
      </c>
      <c r="F30" s="560">
        <f>F31+F32+F33+F34+F35+F36+F37</f>
        <v>0</v>
      </c>
      <c r="G30" s="560">
        <f>G31+G32+G33+G34+G35+G36+G37</f>
        <v>0</v>
      </c>
      <c r="H30" s="562">
        <f t="shared" si="1"/>
        <v>0</v>
      </c>
    </row>
    <row r="31" spans="1:8">
      <c r="A31" s="569">
        <v>9.1</v>
      </c>
      <c r="B31" s="576" t="s">
        <v>188</v>
      </c>
      <c r="C31" s="559"/>
      <c r="D31" s="560"/>
      <c r="E31" s="561">
        <f t="shared" si="0"/>
        <v>0</v>
      </c>
      <c r="F31" s="560"/>
      <c r="G31" s="560"/>
      <c r="H31" s="562">
        <f t="shared" si="1"/>
        <v>0</v>
      </c>
    </row>
    <row r="32" spans="1:8">
      <c r="A32" s="569">
        <v>9.1999999999999993</v>
      </c>
      <c r="B32" s="576" t="s">
        <v>189</v>
      </c>
      <c r="C32" s="559"/>
      <c r="D32" s="560"/>
      <c r="E32" s="561">
        <f t="shared" si="0"/>
        <v>0</v>
      </c>
      <c r="F32" s="560"/>
      <c r="G32" s="560"/>
      <c r="H32" s="562">
        <f t="shared" si="1"/>
        <v>0</v>
      </c>
    </row>
    <row r="33" spans="1:8">
      <c r="A33" s="569">
        <v>9.3000000000000007</v>
      </c>
      <c r="B33" s="576" t="s">
        <v>185</v>
      </c>
      <c r="C33" s="559"/>
      <c r="D33" s="560"/>
      <c r="E33" s="561">
        <f t="shared" si="0"/>
        <v>0</v>
      </c>
      <c r="F33" s="560"/>
      <c r="G33" s="560"/>
      <c r="H33" s="562">
        <f t="shared" si="1"/>
        <v>0</v>
      </c>
    </row>
    <row r="34" spans="1:8">
      <c r="A34" s="569">
        <v>9.4</v>
      </c>
      <c r="B34" s="576" t="s">
        <v>186</v>
      </c>
      <c r="C34" s="559"/>
      <c r="D34" s="560"/>
      <c r="E34" s="561">
        <f t="shared" si="0"/>
        <v>0</v>
      </c>
      <c r="F34" s="560"/>
      <c r="G34" s="560"/>
      <c r="H34" s="562">
        <f t="shared" si="1"/>
        <v>0</v>
      </c>
    </row>
    <row r="35" spans="1:8">
      <c r="A35" s="569">
        <v>9.5</v>
      </c>
      <c r="B35" s="576" t="s">
        <v>187</v>
      </c>
      <c r="C35" s="559"/>
      <c r="D35" s="560"/>
      <c r="E35" s="561">
        <f t="shared" si="0"/>
        <v>0</v>
      </c>
      <c r="F35" s="560"/>
      <c r="G35" s="560"/>
      <c r="H35" s="562">
        <f t="shared" si="1"/>
        <v>0</v>
      </c>
    </row>
    <row r="36" spans="1:8">
      <c r="A36" s="569">
        <v>9.6</v>
      </c>
      <c r="B36" s="576" t="s">
        <v>190</v>
      </c>
      <c r="C36" s="559"/>
      <c r="D36" s="560"/>
      <c r="E36" s="561">
        <f t="shared" si="0"/>
        <v>0</v>
      </c>
      <c r="F36" s="560"/>
      <c r="G36" s="560"/>
      <c r="H36" s="562">
        <f t="shared" si="1"/>
        <v>0</v>
      </c>
    </row>
    <row r="37" spans="1:8">
      <c r="A37" s="569">
        <v>9.6999999999999993</v>
      </c>
      <c r="B37" s="576" t="s">
        <v>191</v>
      </c>
      <c r="C37" s="559"/>
      <c r="D37" s="560"/>
      <c r="E37" s="561">
        <f t="shared" si="0"/>
        <v>0</v>
      </c>
      <c r="F37" s="560"/>
      <c r="G37" s="560"/>
      <c r="H37" s="562">
        <f t="shared" si="1"/>
        <v>0</v>
      </c>
    </row>
    <row r="38" spans="1:8">
      <c r="A38" s="569">
        <v>10</v>
      </c>
      <c r="B38" s="570" t="s">
        <v>194</v>
      </c>
      <c r="C38" s="559">
        <f>C41+C42</f>
        <v>0</v>
      </c>
      <c r="D38" s="560">
        <f>D41+D42</f>
        <v>0</v>
      </c>
      <c r="E38" s="561">
        <f t="shared" si="0"/>
        <v>0</v>
      </c>
      <c r="F38" s="560">
        <f>F41+F42</f>
        <v>0</v>
      </c>
      <c r="G38" s="560">
        <f>G41+G42</f>
        <v>0</v>
      </c>
      <c r="H38" s="562">
        <f t="shared" si="1"/>
        <v>0</v>
      </c>
    </row>
    <row r="39" spans="1:8">
      <c r="A39" s="569">
        <v>10.1</v>
      </c>
      <c r="B39" s="576" t="s">
        <v>195</v>
      </c>
      <c r="C39" s="559"/>
      <c r="D39" s="560"/>
      <c r="E39" s="561">
        <f t="shared" si="0"/>
        <v>0</v>
      </c>
      <c r="F39" s="560"/>
      <c r="G39" s="560"/>
      <c r="H39" s="562">
        <f t="shared" si="1"/>
        <v>0</v>
      </c>
    </row>
    <row r="40" spans="1:8">
      <c r="A40" s="569">
        <v>10.199999999999999</v>
      </c>
      <c r="B40" s="576" t="s">
        <v>196</v>
      </c>
      <c r="C40" s="559"/>
      <c r="D40" s="560"/>
      <c r="E40" s="561">
        <f t="shared" si="0"/>
        <v>0</v>
      </c>
      <c r="F40" s="560"/>
      <c r="G40" s="560"/>
      <c r="H40" s="562">
        <f t="shared" si="1"/>
        <v>0</v>
      </c>
    </row>
    <row r="41" spans="1:8">
      <c r="A41" s="569">
        <v>10.3</v>
      </c>
      <c r="B41" s="576" t="s">
        <v>199</v>
      </c>
      <c r="C41" s="559"/>
      <c r="D41" s="560"/>
      <c r="E41" s="561">
        <f t="shared" si="0"/>
        <v>0</v>
      </c>
      <c r="F41" s="560"/>
      <c r="G41" s="560"/>
      <c r="H41" s="562">
        <f t="shared" si="1"/>
        <v>0</v>
      </c>
    </row>
    <row r="42" spans="1:8" ht="25.5">
      <c r="A42" s="569">
        <v>10.4</v>
      </c>
      <c r="B42" s="576" t="s">
        <v>200</v>
      </c>
      <c r="C42" s="559"/>
      <c r="D42" s="560"/>
      <c r="E42" s="561">
        <f t="shared" si="0"/>
        <v>0</v>
      </c>
      <c r="F42" s="560"/>
      <c r="G42" s="560"/>
      <c r="H42" s="562">
        <f t="shared" si="1"/>
        <v>0</v>
      </c>
    </row>
    <row r="43" spans="1:8" ht="15.75" thickBot="1">
      <c r="A43" s="577">
        <v>11</v>
      </c>
      <c r="B43" s="578" t="s">
        <v>197</v>
      </c>
      <c r="C43" s="565"/>
      <c r="D43" s="566"/>
      <c r="E43" s="567">
        <f t="shared" si="0"/>
        <v>0</v>
      </c>
      <c r="F43" s="566"/>
      <c r="G43" s="566"/>
      <c r="H43" s="568">
        <f t="shared" si="1"/>
        <v>0</v>
      </c>
    </row>
    <row r="44" spans="1:8">
      <c r="C44" s="276"/>
      <c r="D44" s="276"/>
      <c r="E44" s="276"/>
      <c r="F44" s="276"/>
      <c r="G44" s="276"/>
      <c r="H44" s="276"/>
    </row>
    <row r="45" spans="1:8">
      <c r="C45" s="276"/>
      <c r="D45" s="276"/>
      <c r="E45" s="276"/>
      <c r="F45" s="276"/>
      <c r="G45" s="276"/>
      <c r="H45" s="276"/>
    </row>
    <row r="46" spans="1:8">
      <c r="C46" s="276"/>
      <c r="D46" s="276"/>
      <c r="E46" s="276"/>
      <c r="F46" s="276"/>
      <c r="G46" s="276"/>
      <c r="H46" s="276"/>
    </row>
    <row r="47" spans="1:8">
      <c r="C47" s="276"/>
      <c r="D47" s="276"/>
      <c r="E47" s="276"/>
      <c r="F47" s="276"/>
      <c r="G47" s="276"/>
      <c r="H47" s="276"/>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9.5703125" style="4" bestFit="1" customWidth="1"/>
    <col min="2" max="2" width="93.5703125" style="4" customWidth="1"/>
    <col min="3" max="4" width="11.7109375" style="4" bestFit="1" customWidth="1"/>
    <col min="5" max="7" width="11.7109375" style="17" bestFit="1" customWidth="1"/>
    <col min="8" max="11" width="9.85546875" style="17" customWidth="1"/>
    <col min="12" max="16384" width="9.140625" style="17"/>
  </cols>
  <sheetData>
    <row r="1" spans="1:8">
      <c r="A1" s="2" t="s">
        <v>30</v>
      </c>
      <c r="B1" s="445" t="str">
        <f>'Info '!C2</f>
        <v>JSC Isbank Georgia</v>
      </c>
      <c r="C1" s="3"/>
    </row>
    <row r="2" spans="1:8">
      <c r="A2" s="2" t="s">
        <v>31</v>
      </c>
      <c r="B2" s="446">
        <f>'1. key ratios '!B2</f>
        <v>46112</v>
      </c>
      <c r="C2" s="6"/>
      <c r="D2" s="7"/>
      <c r="E2" s="19"/>
      <c r="F2" s="19"/>
      <c r="G2" s="19"/>
      <c r="H2" s="19"/>
    </row>
    <row r="3" spans="1:8">
      <c r="A3" s="2"/>
      <c r="B3" s="3"/>
      <c r="C3" s="6"/>
      <c r="D3" s="7"/>
      <c r="E3" s="19"/>
      <c r="F3" s="19"/>
      <c r="G3" s="19"/>
      <c r="H3" s="19"/>
    </row>
    <row r="4" spans="1:8" ht="15" customHeight="1" thickBot="1">
      <c r="A4" s="7" t="s">
        <v>96</v>
      </c>
      <c r="B4" s="83" t="s">
        <v>174</v>
      </c>
      <c r="C4" s="20" t="s">
        <v>35</v>
      </c>
    </row>
    <row r="5" spans="1:8" ht="15" customHeight="1">
      <c r="A5" s="124" t="s">
        <v>6</v>
      </c>
      <c r="B5" s="125"/>
      <c r="C5" s="597" t="str">
        <f>INT((MONTH($B$2))/3)&amp;"Q"&amp;"-"&amp;YEAR($B$2)</f>
        <v>1Q-2026</v>
      </c>
      <c r="D5" s="597" t="str">
        <f>IF(INT(MONTH($B$2))=3, "4"&amp;"Q"&amp;"-"&amp;YEAR($B$2)-1, IF(INT(MONTH($B$2))=6, "1"&amp;"Q"&amp;"-"&amp;YEAR($B$2), IF(INT(MONTH($B$2))=9, "2"&amp;"Q"&amp;"-"&amp;YEAR($B$2),IF(INT(MONTH($B$2))=12, "3"&amp;"Q"&amp;"-"&amp;YEAR($B$2), 0))))</f>
        <v>4Q-2025</v>
      </c>
      <c r="E5" s="597" t="str">
        <f>IF(INT(MONTH($B$2))=3, "3"&amp;"Q"&amp;"-"&amp;YEAR($B$2)-1, IF(INT(MONTH($B$2))=6, "4"&amp;"Q"&amp;"-"&amp;YEAR($B$2)-1, IF(INT(MONTH($B$2))=9, "1"&amp;"Q"&amp;"-"&amp;YEAR($B$2),IF(INT(MONTH($B$2))=12, "2"&amp;"Q"&amp;"-"&amp;YEAR($B$2), 0))))</f>
        <v>3Q-2025</v>
      </c>
      <c r="F5" s="597" t="str">
        <f>IF(INT(MONTH($B$2))=3, "2"&amp;"Q"&amp;"-"&amp;YEAR($B$2)-1, IF(INT(MONTH($B$2))=6, "3"&amp;"Q"&amp;"-"&amp;YEAR($B$2)-1, IF(INT(MONTH($B$2))=9, "4"&amp;"Q"&amp;"-"&amp;YEAR($B$2)-1,IF(INT(MONTH($B$2))=12, "1"&amp;"Q"&amp;"-"&amp;YEAR($B$2), 0))))</f>
        <v>2Q-2025</v>
      </c>
      <c r="G5" s="598" t="str">
        <f>IF(INT(MONTH($B$2))=3, "1"&amp;"Q"&amp;"-"&amp;YEAR($B$2)-1, IF(INT(MONTH($B$2))=6, "2"&amp;"Q"&amp;"-"&amp;YEAR($B$2)-1, IF(INT(MONTH($B$2))=9, "3"&amp;"Q"&amp;"-"&amp;YEAR($B$2)-1,IF(INT(MONTH($B$2))=12, "4"&amp;"Q"&amp;"-"&amp;YEAR($B$2)-1, 0))))</f>
        <v>1Q-2025</v>
      </c>
    </row>
    <row r="6" spans="1:8" ht="15" customHeight="1">
      <c r="A6" s="21">
        <v>1</v>
      </c>
      <c r="B6" s="196" t="s">
        <v>178</v>
      </c>
      <c r="C6" s="585">
        <f>C7+C9+C10</f>
        <v>558475197.79142725</v>
      </c>
      <c r="D6" s="586">
        <f>D7+D9+D10</f>
        <v>556651805.38489139</v>
      </c>
      <c r="E6" s="586">
        <f t="shared" ref="E6:G6" si="0">E7+E9+E10</f>
        <v>495180422.13931096</v>
      </c>
      <c r="F6" s="586">
        <f t="shared" si="0"/>
        <v>505917951.13855386</v>
      </c>
      <c r="G6" s="587">
        <f t="shared" si="0"/>
        <v>495692457.84769219</v>
      </c>
    </row>
    <row r="7" spans="1:8" ht="15" customHeight="1">
      <c r="A7" s="21">
        <v>1.1000000000000001</v>
      </c>
      <c r="B7" s="196" t="s">
        <v>745</v>
      </c>
      <c r="C7" s="588">
        <v>512803982.70008361</v>
      </c>
      <c r="D7" s="589">
        <v>504657306.25702816</v>
      </c>
      <c r="E7" s="589">
        <v>438159784.73657387</v>
      </c>
      <c r="F7" s="589">
        <v>444921989.91934627</v>
      </c>
      <c r="G7" s="590">
        <v>431850751.88500565</v>
      </c>
    </row>
    <row r="8" spans="1:8">
      <c r="A8" s="21" t="s">
        <v>14</v>
      </c>
      <c r="B8" s="196" t="s">
        <v>95</v>
      </c>
      <c r="C8" s="588"/>
      <c r="D8" s="589"/>
      <c r="E8" s="589"/>
      <c r="F8" s="589"/>
      <c r="G8" s="590"/>
    </row>
    <row r="9" spans="1:8" ht="15" customHeight="1">
      <c r="A9" s="21">
        <v>1.2</v>
      </c>
      <c r="B9" s="197" t="s">
        <v>94</v>
      </c>
      <c r="C9" s="588">
        <v>45671215.091343656</v>
      </c>
      <c r="D9" s="589">
        <v>51994499.127863191</v>
      </c>
      <c r="E9" s="589">
        <v>57020637.402737074</v>
      </c>
      <c r="F9" s="589">
        <v>60995961.219207585</v>
      </c>
      <c r="G9" s="590">
        <v>63841705.962686554</v>
      </c>
    </row>
    <row r="10" spans="1:8" ht="15" customHeight="1">
      <c r="A10" s="21">
        <v>1.3</v>
      </c>
      <c r="B10" s="196" t="s">
        <v>28</v>
      </c>
      <c r="C10" s="591"/>
      <c r="D10" s="589"/>
      <c r="E10" s="592"/>
      <c r="F10" s="589"/>
      <c r="G10" s="593"/>
    </row>
    <row r="11" spans="1:8" ht="15" customHeight="1">
      <c r="A11" s="21">
        <v>2</v>
      </c>
      <c r="B11" s="196" t="s">
        <v>175</v>
      </c>
      <c r="C11" s="588">
        <v>873386.73822640453</v>
      </c>
      <c r="D11" s="589">
        <v>2763060.409011994</v>
      </c>
      <c r="E11" s="589">
        <v>1563936.2768800729</v>
      </c>
      <c r="F11" s="589">
        <v>1695701.399041055</v>
      </c>
      <c r="G11" s="590">
        <v>9404774.7338500712</v>
      </c>
    </row>
    <row r="12" spans="1:8" ht="15" customHeight="1">
      <c r="A12" s="21">
        <v>3</v>
      </c>
      <c r="B12" s="196" t="s">
        <v>176</v>
      </c>
      <c r="C12" s="591">
        <v>55694820.363404706</v>
      </c>
      <c r="D12" s="589">
        <v>55694820.363404706</v>
      </c>
      <c r="E12" s="592">
        <v>53560166.794155389</v>
      </c>
      <c r="F12" s="589">
        <v>53560166.794155389</v>
      </c>
      <c r="G12" s="593">
        <v>53560166.794155389</v>
      </c>
    </row>
    <row r="13" spans="1:8" ht="15" customHeight="1" thickBot="1">
      <c r="A13" s="23">
        <v>4</v>
      </c>
      <c r="B13" s="24" t="s">
        <v>177</v>
      </c>
      <c r="C13" s="594">
        <f>C6+C11+C12</f>
        <v>615043404.89305842</v>
      </c>
      <c r="D13" s="595">
        <f>D6+D11+D12</f>
        <v>615109686.1573081</v>
      </c>
      <c r="E13" s="595">
        <f t="shared" ref="E13:G13" si="1">E6+E11+E12</f>
        <v>550304525.21034646</v>
      </c>
      <c r="F13" s="595">
        <f t="shared" si="1"/>
        <v>561173819.33175027</v>
      </c>
      <c r="G13" s="596">
        <f t="shared" si="1"/>
        <v>558657399.37569761</v>
      </c>
    </row>
    <row r="14" spans="1:8">
      <c r="B14" s="27"/>
    </row>
    <row r="15" spans="1:8">
      <c r="B15" s="28"/>
    </row>
    <row r="16" spans="1:8">
      <c r="B16" s="28"/>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4.25"/>
  <cols>
    <col min="1" max="1" width="9.5703125" style="4" bestFit="1" customWidth="1"/>
    <col min="2" max="2" width="65.5703125" style="4" customWidth="1"/>
    <col min="3" max="3" width="27.5703125" style="4" customWidth="1"/>
    <col min="4" max="16384" width="9.140625" style="5"/>
  </cols>
  <sheetData>
    <row r="1" spans="1:8">
      <c r="A1" s="2" t="s">
        <v>30</v>
      </c>
      <c r="B1" s="445" t="str">
        <f>'Info '!C2</f>
        <v>JSC Isbank Georgia</v>
      </c>
    </row>
    <row r="2" spans="1:8">
      <c r="A2" s="2" t="s">
        <v>31</v>
      </c>
      <c r="B2" s="446">
        <f>'1. key ratios '!B2</f>
        <v>46112</v>
      </c>
    </row>
    <row r="4" spans="1:8" ht="27.95" customHeight="1" thickBot="1">
      <c r="A4" s="29" t="s">
        <v>41</v>
      </c>
      <c r="B4" s="30" t="s">
        <v>151</v>
      </c>
      <c r="C4" s="31"/>
    </row>
    <row r="5" spans="1:8">
      <c r="A5" s="32"/>
      <c r="B5" s="225" t="s">
        <v>42</v>
      </c>
      <c r="C5" s="226" t="s">
        <v>335</v>
      </c>
    </row>
    <row r="6" spans="1:8">
      <c r="A6" s="33">
        <v>1</v>
      </c>
      <c r="B6" s="34" t="s">
        <v>753</v>
      </c>
      <c r="C6" s="35" t="s">
        <v>755</v>
      </c>
    </row>
    <row r="7" spans="1:8">
      <c r="A7" s="33">
        <v>2</v>
      </c>
      <c r="B7" s="34" t="s">
        <v>772</v>
      </c>
      <c r="C7" s="35" t="s">
        <v>756</v>
      </c>
    </row>
    <row r="8" spans="1:8">
      <c r="A8" s="33">
        <v>3</v>
      </c>
      <c r="B8" s="34" t="s">
        <v>757</v>
      </c>
      <c r="C8" s="35" t="s">
        <v>756</v>
      </c>
    </row>
    <row r="9" spans="1:8">
      <c r="A9" s="33">
        <v>4</v>
      </c>
      <c r="B9" s="34" t="s">
        <v>778</v>
      </c>
      <c r="C9" s="35" t="s">
        <v>756</v>
      </c>
    </row>
    <row r="10" spans="1:8">
      <c r="A10" s="33">
        <v>5</v>
      </c>
      <c r="B10" s="34" t="s">
        <v>758</v>
      </c>
      <c r="C10" s="35" t="s">
        <v>759</v>
      </c>
    </row>
    <row r="11" spans="1:8">
      <c r="A11" s="33">
        <v>6</v>
      </c>
      <c r="B11" s="34" t="s">
        <v>760</v>
      </c>
      <c r="C11" s="35" t="s">
        <v>759</v>
      </c>
    </row>
    <row r="12" spans="1:8">
      <c r="A12" s="33">
        <v>7</v>
      </c>
      <c r="B12" s="34"/>
      <c r="C12" s="35"/>
      <c r="H12" s="36"/>
    </row>
    <row r="13" spans="1:8">
      <c r="A13" s="33">
        <v>8</v>
      </c>
      <c r="B13" s="34"/>
      <c r="C13" s="35"/>
    </row>
    <row r="14" spans="1:8">
      <c r="A14" s="33">
        <v>9</v>
      </c>
      <c r="B14" s="34"/>
      <c r="C14" s="35"/>
    </row>
    <row r="15" spans="1:8">
      <c r="A15" s="33">
        <v>10</v>
      </c>
      <c r="B15" s="34"/>
      <c r="C15" s="35"/>
    </row>
    <row r="16" spans="1:8">
      <c r="A16" s="33"/>
      <c r="B16" s="227"/>
      <c r="C16" s="228"/>
    </row>
    <row r="17" spans="1:3" ht="25.5">
      <c r="A17" s="33"/>
      <c r="B17" s="229" t="s">
        <v>43</v>
      </c>
      <c r="C17" s="230" t="s">
        <v>336</v>
      </c>
    </row>
    <row r="18" spans="1:3">
      <c r="A18" s="33">
        <v>1</v>
      </c>
      <c r="B18" s="34" t="s">
        <v>777</v>
      </c>
      <c r="C18" s="37" t="s">
        <v>761</v>
      </c>
    </row>
    <row r="19" spans="1:3">
      <c r="A19" s="33">
        <v>2</v>
      </c>
      <c r="B19" s="34" t="s">
        <v>762</v>
      </c>
      <c r="C19" s="37" t="s">
        <v>763</v>
      </c>
    </row>
    <row r="20" spans="1:3">
      <c r="A20" s="33">
        <v>3</v>
      </c>
      <c r="B20" s="34" t="s">
        <v>764</v>
      </c>
      <c r="C20" s="37" t="s">
        <v>763</v>
      </c>
    </row>
    <row r="21" spans="1:3">
      <c r="A21" s="33">
        <v>4</v>
      </c>
      <c r="B21" s="34" t="s">
        <v>765</v>
      </c>
      <c r="C21" s="37" t="s">
        <v>766</v>
      </c>
    </row>
    <row r="22" spans="1:3">
      <c r="A22" s="33">
        <v>5</v>
      </c>
      <c r="B22" s="34" t="s">
        <v>767</v>
      </c>
      <c r="C22" s="37" t="s">
        <v>768</v>
      </c>
    </row>
    <row r="23" spans="1:3">
      <c r="A23" s="33">
        <v>6</v>
      </c>
      <c r="B23" s="34"/>
      <c r="C23" s="37"/>
    </row>
    <row r="24" spans="1:3">
      <c r="A24" s="33">
        <v>7</v>
      </c>
      <c r="B24" s="34"/>
      <c r="C24" s="37"/>
    </row>
    <row r="25" spans="1:3">
      <c r="A25" s="33">
        <v>8</v>
      </c>
      <c r="B25" s="34"/>
      <c r="C25" s="37"/>
    </row>
    <row r="26" spans="1:3">
      <c r="A26" s="33">
        <v>9</v>
      </c>
      <c r="B26" s="34"/>
      <c r="C26" s="37"/>
    </row>
    <row r="27" spans="1:3" ht="15.75" customHeight="1">
      <c r="A27" s="33">
        <v>10</v>
      </c>
      <c r="B27" s="34"/>
      <c r="C27" s="38"/>
    </row>
    <row r="28" spans="1:3" ht="15.75" customHeight="1">
      <c r="A28" s="33"/>
      <c r="B28" s="34"/>
      <c r="C28" s="38"/>
    </row>
    <row r="29" spans="1:3" ht="30" customHeight="1">
      <c r="A29" s="33"/>
      <c r="B29" s="911" t="s">
        <v>44</v>
      </c>
      <c r="C29" s="912"/>
    </row>
    <row r="30" spans="1:3">
      <c r="A30" s="33">
        <v>1</v>
      </c>
      <c r="B30" s="34" t="s">
        <v>769</v>
      </c>
      <c r="C30" s="599">
        <v>1</v>
      </c>
    </row>
    <row r="31" spans="1:3" ht="15.75" customHeight="1">
      <c r="A31" s="33"/>
      <c r="B31" s="34"/>
      <c r="C31" s="35"/>
    </row>
    <row r="32" spans="1:3" ht="29.25" customHeight="1">
      <c r="A32" s="33"/>
      <c r="B32" s="911" t="s">
        <v>45</v>
      </c>
      <c r="C32" s="912"/>
    </row>
    <row r="33" spans="1:3">
      <c r="A33" s="33">
        <v>1</v>
      </c>
      <c r="B33" s="34" t="s">
        <v>770</v>
      </c>
      <c r="C33" s="600">
        <v>0.3866</v>
      </c>
    </row>
    <row r="34" spans="1:3" ht="15" thickBot="1">
      <c r="A34" s="39">
        <v>2</v>
      </c>
      <c r="B34" s="40" t="s">
        <v>771</v>
      </c>
      <c r="C34" s="601">
        <v>0.28089999999999998</v>
      </c>
    </row>
  </sheetData>
  <mergeCells count="2">
    <mergeCell ref="B32:C32"/>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4" sqref="B4:E4"/>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55" t="s">
        <v>30</v>
      </c>
      <c r="B1" s="445" t="str">
        <f>'Info '!C2</f>
        <v>JSC Isbank Georgia</v>
      </c>
      <c r="C1" s="49"/>
      <c r="D1" s="49"/>
      <c r="E1" s="49"/>
      <c r="F1" s="15"/>
    </row>
    <row r="2" spans="1:7" s="41" customFormat="1" ht="15.75" customHeight="1">
      <c r="A2" s="155" t="s">
        <v>31</v>
      </c>
      <c r="B2" s="446">
        <f>'1. key ratios '!B2</f>
        <v>46112</v>
      </c>
    </row>
    <row r="3" spans="1:7" s="41" customFormat="1" ht="15.75" customHeight="1">
      <c r="A3" s="155"/>
    </row>
    <row r="4" spans="1:7" s="41" customFormat="1" ht="15.75" customHeight="1" thickBot="1">
      <c r="A4" s="156" t="s">
        <v>99</v>
      </c>
      <c r="B4" s="917" t="s">
        <v>212</v>
      </c>
      <c r="C4" s="918"/>
      <c r="D4" s="918"/>
      <c r="E4" s="918"/>
    </row>
    <row r="5" spans="1:7" s="43" customFormat="1" ht="17.45" customHeight="1">
      <c r="A5" s="602"/>
      <c r="B5" s="603"/>
      <c r="C5" s="604" t="s">
        <v>0</v>
      </c>
      <c r="D5" s="604" t="s">
        <v>1</v>
      </c>
      <c r="E5" s="605" t="s">
        <v>2</v>
      </c>
    </row>
    <row r="6" spans="1:7" s="15" customFormat="1" ht="14.45" customHeight="1">
      <c r="A6" s="606"/>
      <c r="B6" s="913" t="s">
        <v>219</v>
      </c>
      <c r="C6" s="913" t="s">
        <v>624</v>
      </c>
      <c r="D6" s="915" t="s">
        <v>98</v>
      </c>
      <c r="E6" s="916"/>
      <c r="G6" s="5"/>
    </row>
    <row r="7" spans="1:7" s="15" customFormat="1" ht="99.6" customHeight="1">
      <c r="A7" s="606"/>
      <c r="B7" s="914"/>
      <c r="C7" s="913"/>
      <c r="D7" s="607" t="s">
        <v>97</v>
      </c>
      <c r="E7" s="608" t="s">
        <v>220</v>
      </c>
      <c r="G7" s="5"/>
    </row>
    <row r="8" spans="1:7" ht="21">
      <c r="A8" s="609">
        <v>1</v>
      </c>
      <c r="B8" s="610" t="s">
        <v>525</v>
      </c>
      <c r="C8" s="616">
        <f>SUM(C9:C11)</f>
        <v>145703804.00847465</v>
      </c>
      <c r="D8" s="617">
        <f>SUM(D9:D11)</f>
        <v>0</v>
      </c>
      <c r="E8" s="618">
        <f>SUM(E9:E11)</f>
        <v>145703804.00847465</v>
      </c>
      <c r="F8" s="15"/>
    </row>
    <row r="9" spans="1:7" ht="15">
      <c r="A9" s="609">
        <v>1.1000000000000001</v>
      </c>
      <c r="B9" s="611" t="s">
        <v>526</v>
      </c>
      <c r="C9" s="617">
        <f>'2. SOFP'!E8</f>
        <v>1457524.672</v>
      </c>
      <c r="D9" s="617"/>
      <c r="E9" s="619">
        <f t="shared" ref="E9:E15" si="0">C9-D9</f>
        <v>1457524.672</v>
      </c>
      <c r="F9" s="15"/>
    </row>
    <row r="10" spans="1:7" ht="15">
      <c r="A10" s="609">
        <v>1.2</v>
      </c>
      <c r="B10" s="611" t="s">
        <v>527</v>
      </c>
      <c r="C10" s="617">
        <f>'2. SOFP'!E9</f>
        <v>73077911.824082464</v>
      </c>
      <c r="D10" s="617"/>
      <c r="E10" s="619">
        <f t="shared" si="0"/>
        <v>73077911.824082464</v>
      </c>
      <c r="F10" s="15"/>
    </row>
    <row r="11" spans="1:7" ht="15">
      <c r="A11" s="609">
        <v>1.3</v>
      </c>
      <c r="B11" s="611" t="s">
        <v>528</v>
      </c>
      <c r="C11" s="617">
        <f>'2. SOFP'!E10</f>
        <v>71168367.512392193</v>
      </c>
      <c r="D11" s="617"/>
      <c r="E11" s="619">
        <f t="shared" si="0"/>
        <v>71168367.512392193</v>
      </c>
      <c r="F11" s="15"/>
    </row>
    <row r="12" spans="1:7" ht="15">
      <c r="A12" s="609">
        <v>2</v>
      </c>
      <c r="B12" s="622" t="s">
        <v>529</v>
      </c>
      <c r="C12" s="616">
        <f>'2. SOFP'!E11</f>
        <v>0</v>
      </c>
      <c r="D12" s="617"/>
      <c r="E12" s="619">
        <f t="shared" si="0"/>
        <v>0</v>
      </c>
      <c r="F12" s="15"/>
    </row>
    <row r="13" spans="1:7" ht="15">
      <c r="A13" s="609">
        <v>2.1</v>
      </c>
      <c r="B13" s="612" t="s">
        <v>530</v>
      </c>
      <c r="C13" s="617">
        <f>'2. SOFP'!E12</f>
        <v>0</v>
      </c>
      <c r="D13" s="617"/>
      <c r="E13" s="619">
        <f t="shared" si="0"/>
        <v>0</v>
      </c>
      <c r="F13" s="15"/>
    </row>
    <row r="14" spans="1:7" ht="21">
      <c r="A14" s="609">
        <v>3</v>
      </c>
      <c r="B14" s="623" t="s">
        <v>531</v>
      </c>
      <c r="C14" s="616">
        <f>'2. SOFP'!E13</f>
        <v>0</v>
      </c>
      <c r="D14" s="617"/>
      <c r="E14" s="619">
        <f t="shared" si="0"/>
        <v>0</v>
      </c>
      <c r="F14" s="15"/>
    </row>
    <row r="15" spans="1:7" ht="21">
      <c r="A15" s="609">
        <v>4</v>
      </c>
      <c r="B15" s="530" t="s">
        <v>532</v>
      </c>
      <c r="C15" s="616">
        <f>'2. SOFP'!E14</f>
        <v>0</v>
      </c>
      <c r="D15" s="617"/>
      <c r="E15" s="619">
        <f t="shared" si="0"/>
        <v>0</v>
      </c>
      <c r="F15" s="15"/>
    </row>
    <row r="16" spans="1:7" ht="21">
      <c r="A16" s="609">
        <v>5</v>
      </c>
      <c r="B16" s="531" t="s">
        <v>533</v>
      </c>
      <c r="C16" s="616">
        <f>SUM(C17:C19)</f>
        <v>0</v>
      </c>
      <c r="D16" s="617">
        <f>SUM(D17:D19)</f>
        <v>0</v>
      </c>
      <c r="E16" s="618">
        <f>SUM(E17:E19)</f>
        <v>0</v>
      </c>
      <c r="F16" s="15"/>
    </row>
    <row r="17" spans="1:6" ht="15">
      <c r="A17" s="609">
        <v>5.0999999999999996</v>
      </c>
      <c r="B17" s="529" t="s">
        <v>534</v>
      </c>
      <c r="C17" s="617">
        <f>'2. SOFP'!E16</f>
        <v>0</v>
      </c>
      <c r="D17" s="617"/>
      <c r="E17" s="619">
        <f t="shared" ref="E17:E19" si="1">C17-D17</f>
        <v>0</v>
      </c>
      <c r="F17" s="15"/>
    </row>
    <row r="18" spans="1:6" ht="15">
      <c r="A18" s="609">
        <v>5.2</v>
      </c>
      <c r="B18" s="529" t="s">
        <v>535</v>
      </c>
      <c r="C18" s="617">
        <f>'2. SOFP'!E17</f>
        <v>0</v>
      </c>
      <c r="D18" s="617"/>
      <c r="E18" s="619">
        <f t="shared" si="1"/>
        <v>0</v>
      </c>
      <c r="F18" s="15"/>
    </row>
    <row r="19" spans="1:6" ht="15">
      <c r="A19" s="609">
        <v>5.3</v>
      </c>
      <c r="B19" s="624" t="s">
        <v>536</v>
      </c>
      <c r="C19" s="617">
        <f>'2. SOFP'!E18</f>
        <v>0</v>
      </c>
      <c r="D19" s="617"/>
      <c r="E19" s="619">
        <f t="shared" si="1"/>
        <v>0</v>
      </c>
      <c r="F19" s="15"/>
    </row>
    <row r="20" spans="1:6" ht="15">
      <c r="A20" s="609">
        <v>6</v>
      </c>
      <c r="B20" s="623" t="s">
        <v>537</v>
      </c>
      <c r="C20" s="616">
        <f>SUM(C21:C22)</f>
        <v>470173837.99311638</v>
      </c>
      <c r="D20" s="617">
        <f>SUM(D21:D22)</f>
        <v>0</v>
      </c>
      <c r="E20" s="618">
        <f>SUM(E21:E22)</f>
        <v>470173837.99311638</v>
      </c>
      <c r="F20" s="15"/>
    </row>
    <row r="21" spans="1:6" ht="15">
      <c r="A21" s="609">
        <v>6.1</v>
      </c>
      <c r="B21" s="529" t="s">
        <v>535</v>
      </c>
      <c r="C21" s="617">
        <f>'2. SOFP'!E20</f>
        <v>144565525.13243723</v>
      </c>
      <c r="D21" s="617"/>
      <c r="E21" s="619">
        <f t="shared" ref="E21:E24" si="2">C21-D21</f>
        <v>144565525.13243723</v>
      </c>
      <c r="F21" s="15"/>
    </row>
    <row r="22" spans="1:6" ht="15">
      <c r="A22" s="609">
        <v>6.2</v>
      </c>
      <c r="B22" s="624" t="s">
        <v>536</v>
      </c>
      <c r="C22" s="617">
        <f>'2. SOFP'!E21</f>
        <v>325608312.86067915</v>
      </c>
      <c r="D22" s="617"/>
      <c r="E22" s="619">
        <f t="shared" si="2"/>
        <v>325608312.86067915</v>
      </c>
      <c r="F22" s="15"/>
    </row>
    <row r="23" spans="1:6" ht="21">
      <c r="A23" s="609">
        <v>7</v>
      </c>
      <c r="B23" s="622" t="s">
        <v>538</v>
      </c>
      <c r="C23" s="616">
        <f>'2. SOFP'!E22</f>
        <v>0</v>
      </c>
      <c r="D23" s="617"/>
      <c r="E23" s="619">
        <f t="shared" si="2"/>
        <v>0</v>
      </c>
      <c r="F23" s="15"/>
    </row>
    <row r="24" spans="1:6" ht="21">
      <c r="A24" s="609">
        <v>8</v>
      </c>
      <c r="B24" s="622" t="s">
        <v>539</v>
      </c>
      <c r="C24" s="616">
        <f>'2. SOFP'!E23</f>
        <v>0</v>
      </c>
      <c r="D24" s="617"/>
      <c r="E24" s="619">
        <f t="shared" si="2"/>
        <v>0</v>
      </c>
      <c r="F24" s="15"/>
    </row>
    <row r="25" spans="1:6" ht="15">
      <c r="A25" s="609">
        <v>9</v>
      </c>
      <c r="B25" s="530" t="s">
        <v>540</v>
      </c>
      <c r="C25" s="616">
        <f>SUM(C26:C27)</f>
        <v>6078828.7399999993</v>
      </c>
      <c r="D25" s="617">
        <f>SUM(D26:D27)</f>
        <v>0</v>
      </c>
      <c r="E25" s="618">
        <f>SUM(E26:E27)</f>
        <v>6078828.7399999993</v>
      </c>
      <c r="F25" s="15"/>
    </row>
    <row r="26" spans="1:6" ht="15">
      <c r="A26" s="609">
        <v>9.1</v>
      </c>
      <c r="B26" s="529" t="s">
        <v>541</v>
      </c>
      <c r="C26" s="617">
        <f>'2. SOFP'!E25</f>
        <v>6078828.7399999993</v>
      </c>
      <c r="D26" s="617"/>
      <c r="E26" s="619">
        <f t="shared" ref="E26:E27" si="3">C26-D26</f>
        <v>6078828.7399999993</v>
      </c>
      <c r="F26" s="15"/>
    </row>
    <row r="27" spans="1:6" ht="15">
      <c r="A27" s="609">
        <v>9.1999999999999993</v>
      </c>
      <c r="B27" s="529" t="s">
        <v>542</v>
      </c>
      <c r="C27" s="617">
        <f>'2. SOFP'!E26</f>
        <v>0</v>
      </c>
      <c r="D27" s="617"/>
      <c r="E27" s="619">
        <f t="shared" si="3"/>
        <v>0</v>
      </c>
      <c r="F27" s="15"/>
    </row>
    <row r="28" spans="1:6" ht="15">
      <c r="A28" s="609">
        <v>10</v>
      </c>
      <c r="B28" s="530" t="s">
        <v>543</v>
      </c>
      <c r="C28" s="616">
        <f>SUM(C29:C30)</f>
        <v>2463590.19</v>
      </c>
      <c r="D28" s="616">
        <f>SUM(D29:D30)</f>
        <v>2463590.19</v>
      </c>
      <c r="E28" s="618">
        <f>SUM(E29:E30)</f>
        <v>0</v>
      </c>
      <c r="F28" s="15"/>
    </row>
    <row r="29" spans="1:6" ht="15">
      <c r="A29" s="609">
        <v>10.1</v>
      </c>
      <c r="B29" s="529" t="s">
        <v>544</v>
      </c>
      <c r="C29" s="617">
        <f>'2. SOFP'!E28</f>
        <v>0</v>
      </c>
      <c r="D29" s="617">
        <f>C29</f>
        <v>0</v>
      </c>
      <c r="E29" s="619">
        <f t="shared" ref="E29:E30" si="4">C29-D29</f>
        <v>0</v>
      </c>
      <c r="F29" s="15"/>
    </row>
    <row r="30" spans="1:6" ht="15">
      <c r="A30" s="609">
        <v>10.199999999999999</v>
      </c>
      <c r="B30" s="529" t="s">
        <v>545</v>
      </c>
      <c r="C30" s="617">
        <f>'2. SOFP'!E29</f>
        <v>2463590.19</v>
      </c>
      <c r="D30" s="617">
        <f>C30</f>
        <v>2463590.19</v>
      </c>
      <c r="E30" s="619">
        <f t="shared" si="4"/>
        <v>0</v>
      </c>
      <c r="F30" s="15"/>
    </row>
    <row r="31" spans="1:6" ht="15">
      <c r="A31" s="609">
        <v>11</v>
      </c>
      <c r="B31" s="530" t="s">
        <v>546</v>
      </c>
      <c r="C31" s="616">
        <f>SUM(C32:C33)</f>
        <v>680266.4800000001</v>
      </c>
      <c r="D31" s="617">
        <f>SUM(D32:D33)</f>
        <v>0</v>
      </c>
      <c r="E31" s="618">
        <f>SUM(E32:E33)</f>
        <v>680266.4800000001</v>
      </c>
      <c r="F31" s="15"/>
    </row>
    <row r="32" spans="1:6" ht="15">
      <c r="A32" s="609">
        <v>11.1</v>
      </c>
      <c r="B32" s="529" t="s">
        <v>547</v>
      </c>
      <c r="C32" s="617">
        <f>'2. SOFP'!E31</f>
        <v>680266.4800000001</v>
      </c>
      <c r="D32" s="617"/>
      <c r="E32" s="619">
        <f t="shared" ref="E32:E36" si="5">C32-D32</f>
        <v>680266.4800000001</v>
      </c>
      <c r="F32" s="15"/>
    </row>
    <row r="33" spans="1:7" ht="15">
      <c r="A33" s="609">
        <v>11.2</v>
      </c>
      <c r="B33" s="529" t="s">
        <v>548</v>
      </c>
      <c r="C33" s="617">
        <f>'2. SOFP'!E32</f>
        <v>0</v>
      </c>
      <c r="D33" s="617"/>
      <c r="E33" s="619">
        <f t="shared" si="5"/>
        <v>0</v>
      </c>
      <c r="F33" s="15"/>
    </row>
    <row r="34" spans="1:7" ht="15">
      <c r="A34" s="609">
        <v>13</v>
      </c>
      <c r="B34" s="530" t="s">
        <v>549</v>
      </c>
      <c r="C34" s="616">
        <f>'2. SOFP'!E33</f>
        <v>6115352.5270108357</v>
      </c>
      <c r="D34" s="617"/>
      <c r="E34" s="619">
        <f t="shared" si="5"/>
        <v>6115352.5270108357</v>
      </c>
      <c r="F34" s="15"/>
    </row>
    <row r="35" spans="1:7" ht="15">
      <c r="A35" s="609">
        <v>13.1</v>
      </c>
      <c r="B35" s="613" t="s">
        <v>550</v>
      </c>
      <c r="C35" s="617">
        <f>'2. SOFP'!E34</f>
        <v>366254.59</v>
      </c>
      <c r="D35" s="617"/>
      <c r="E35" s="619">
        <f t="shared" si="5"/>
        <v>366254.59</v>
      </c>
      <c r="F35" s="15"/>
    </row>
    <row r="36" spans="1:7" ht="15">
      <c r="A36" s="609">
        <v>13.2</v>
      </c>
      <c r="B36" s="613" t="s">
        <v>551</v>
      </c>
      <c r="C36" s="617">
        <f>'2. SOFP'!E35</f>
        <v>0</v>
      </c>
      <c r="D36" s="617"/>
      <c r="E36" s="619">
        <f t="shared" si="5"/>
        <v>0</v>
      </c>
      <c r="F36" s="15"/>
    </row>
    <row r="37" spans="1:7" ht="26.25" thickBot="1">
      <c r="A37" s="614"/>
      <c r="B37" s="615" t="s">
        <v>221</v>
      </c>
      <c r="C37" s="620">
        <f>SUM(C8,C12,C14,C15,C16,C20,C23,C24,C25,C28,C31,C34)</f>
        <v>631215679.93860185</v>
      </c>
      <c r="D37" s="620">
        <f>SUM(D8,D12,D14,D15,D16,D20,D23,D24,D25,D28,D31,D34)</f>
        <v>2463590.19</v>
      </c>
      <c r="E37" s="621">
        <f>SUM(E8,E12,E14,E15,E16,E20,E23,E24,E25,E28,E31,E34)</f>
        <v>628752089.74860179</v>
      </c>
    </row>
    <row r="38" spans="1:7">
      <c r="A38" s="5"/>
      <c r="B38" s="5"/>
      <c r="C38" s="5"/>
      <c r="D38" s="5"/>
      <c r="E38" s="5"/>
    </row>
    <row r="39" spans="1:7">
      <c r="A39" s="5"/>
      <c r="B39" s="5"/>
      <c r="C39" s="5"/>
      <c r="D39" s="5"/>
      <c r="E39" s="5"/>
    </row>
    <row r="41" spans="1:7" s="4" customFormat="1">
      <c r="B41" s="44"/>
      <c r="F41" s="5"/>
      <c r="G41" s="5"/>
    </row>
    <row r="42" spans="1:7" s="4" customFormat="1">
      <c r="B42" s="44"/>
      <c r="F42" s="5"/>
      <c r="G42" s="5"/>
    </row>
    <row r="43" spans="1:7" s="4" customFormat="1">
      <c r="B43" s="44"/>
      <c r="F43" s="5"/>
      <c r="G43" s="5"/>
    </row>
    <row r="44" spans="1:7" s="4" customFormat="1">
      <c r="B44" s="44"/>
      <c r="F44" s="5"/>
      <c r="G44" s="5"/>
    </row>
    <row r="45" spans="1:7" s="4" customFormat="1">
      <c r="B45" s="44"/>
      <c r="F45" s="5"/>
      <c r="G45" s="5"/>
    </row>
    <row r="46" spans="1:7" s="4" customFormat="1">
      <c r="B46" s="44"/>
      <c r="F46" s="5"/>
      <c r="G46" s="5"/>
    </row>
    <row r="47" spans="1:7" s="4" customFormat="1">
      <c r="B47" s="44"/>
      <c r="F47" s="5"/>
      <c r="G47" s="5"/>
    </row>
    <row r="48" spans="1:7" s="4" customFormat="1">
      <c r="B48" s="44"/>
      <c r="F48" s="5"/>
      <c r="G48" s="5"/>
    </row>
    <row r="49" spans="2:7" s="4" customFormat="1">
      <c r="B49" s="44"/>
      <c r="F49" s="5"/>
      <c r="G49" s="5"/>
    </row>
    <row r="50" spans="2:7" s="4" customFormat="1">
      <c r="B50" s="44"/>
      <c r="F50" s="5"/>
      <c r="G50" s="5"/>
    </row>
    <row r="51" spans="2:7" s="4" customFormat="1">
      <c r="B51" s="44"/>
      <c r="F51" s="5"/>
      <c r="G51" s="5"/>
    </row>
    <row r="52" spans="2:7" s="4" customFormat="1">
      <c r="B52" s="44"/>
      <c r="F52" s="5"/>
      <c r="G52" s="5"/>
    </row>
    <row r="53" spans="2:7" s="4" customFormat="1">
      <c r="B53" s="44"/>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445" t="str">
        <f>'Info '!C2</f>
        <v>JSC Isbank Georgia</v>
      </c>
    </row>
    <row r="2" spans="1:6" s="41" customFormat="1" ht="15.75" customHeight="1">
      <c r="A2" s="2" t="s">
        <v>31</v>
      </c>
      <c r="B2" s="446">
        <f>'1. key ratios '!B2</f>
        <v>46112</v>
      </c>
      <c r="C2" s="4"/>
      <c r="D2" s="4"/>
      <c r="E2" s="4"/>
      <c r="F2" s="4"/>
    </row>
    <row r="3" spans="1:6" s="41" customFormat="1" ht="15.75" customHeight="1">
      <c r="C3" s="4"/>
      <c r="D3" s="4"/>
      <c r="E3" s="4"/>
      <c r="F3" s="4"/>
    </row>
    <row r="4" spans="1:6" s="41" customFormat="1" ht="13.5" thickBot="1">
      <c r="A4" s="41" t="s">
        <v>46</v>
      </c>
      <c r="B4" s="157" t="s">
        <v>518</v>
      </c>
      <c r="C4" s="42" t="s">
        <v>35</v>
      </c>
      <c r="D4" s="4"/>
      <c r="E4" s="4"/>
      <c r="F4" s="4"/>
    </row>
    <row r="5" spans="1:6">
      <c r="A5" s="119">
        <v>1</v>
      </c>
      <c r="B5" s="158" t="s">
        <v>520</v>
      </c>
      <c r="C5" s="625">
        <f>'7. LI1 '!E37</f>
        <v>628752089.74860179</v>
      </c>
    </row>
    <row r="6" spans="1:6" s="120" customFormat="1">
      <c r="A6" s="45">
        <v>2.1</v>
      </c>
      <c r="B6" s="116" t="s">
        <v>201</v>
      </c>
      <c r="C6" s="92">
        <f>'4. Off-balance'!E27+'4. Off-balance'!E28+'4. Off-balance'!E29-'2. SOFP'!E46</f>
        <v>119725227.8861884</v>
      </c>
    </row>
    <row r="7" spans="1:6" s="27" customFormat="1" outlineLevel="1">
      <c r="A7" s="21">
        <v>2.2000000000000002</v>
      </c>
      <c r="B7" s="22" t="s">
        <v>202</v>
      </c>
      <c r="C7" s="121"/>
    </row>
    <row r="8" spans="1:6" s="27" customFormat="1">
      <c r="A8" s="21">
        <v>3</v>
      </c>
      <c r="B8" s="117" t="s">
        <v>519</v>
      </c>
      <c r="C8" s="626">
        <f>SUM(C5:C7)</f>
        <v>748477317.63479018</v>
      </c>
    </row>
    <row r="9" spans="1:6" s="120" customFormat="1">
      <c r="A9" s="45">
        <v>4</v>
      </c>
      <c r="B9" s="47" t="s">
        <v>48</v>
      </c>
      <c r="C9" s="92"/>
    </row>
    <row r="10" spans="1:6" s="27" customFormat="1" outlineLevel="1">
      <c r="A10" s="21">
        <v>5.0999999999999996</v>
      </c>
      <c r="B10" s="22" t="s">
        <v>203</v>
      </c>
      <c r="C10" s="121">
        <v>-59469437.050061762</v>
      </c>
    </row>
    <row r="11" spans="1:6" s="27" customFormat="1" outlineLevel="1">
      <c r="A11" s="21">
        <v>5.2</v>
      </c>
      <c r="B11" s="22" t="s">
        <v>204</v>
      </c>
      <c r="C11" s="121"/>
    </row>
    <row r="12" spans="1:6" s="27" customFormat="1">
      <c r="A12" s="21">
        <v>6</v>
      </c>
      <c r="B12" s="115" t="s">
        <v>746</v>
      </c>
      <c r="C12" s="121"/>
    </row>
    <row r="13" spans="1:6" s="27" customFormat="1" ht="13.5" thickBot="1">
      <c r="A13" s="23">
        <v>7</v>
      </c>
      <c r="B13" s="118" t="s">
        <v>164</v>
      </c>
      <c r="C13" s="627">
        <f>SUM(C8:C12)</f>
        <v>689007880.58472848</v>
      </c>
    </row>
    <row r="15" spans="1:6">
      <c r="A15" s="131"/>
      <c r="B15" s="28"/>
    </row>
    <row r="16" spans="1:6">
      <c r="A16" s="131"/>
      <c r="B16" s="131"/>
    </row>
    <row r="17" spans="1:5" ht="15">
      <c r="A17" s="126"/>
      <c r="B17" s="127"/>
      <c r="C17" s="131"/>
      <c r="D17" s="131"/>
      <c r="E17" s="131"/>
    </row>
    <row r="18" spans="1:5" ht="15">
      <c r="A18" s="132"/>
      <c r="B18" s="133"/>
      <c r="C18" s="131"/>
      <c r="D18" s="131"/>
      <c r="E18" s="131"/>
    </row>
    <row r="19" spans="1:5">
      <c r="A19" s="134"/>
      <c r="B19" s="128"/>
      <c r="C19" s="131"/>
      <c r="D19" s="131"/>
      <c r="E19" s="131"/>
    </row>
    <row r="20" spans="1:5">
      <c r="A20" s="135"/>
      <c r="B20" s="129"/>
      <c r="C20" s="131"/>
      <c r="D20" s="131"/>
      <c r="E20" s="131"/>
    </row>
    <row r="21" spans="1:5">
      <c r="A21" s="135"/>
      <c r="B21" s="133"/>
      <c r="C21" s="131"/>
      <c r="D21" s="131"/>
      <c r="E21" s="131"/>
    </row>
    <row r="22" spans="1:5">
      <c r="A22" s="134"/>
      <c r="B22" s="130"/>
      <c r="C22" s="131"/>
      <c r="D22" s="131"/>
      <c r="E22" s="131"/>
    </row>
    <row r="23" spans="1:5">
      <c r="A23" s="135"/>
      <c r="B23" s="129"/>
      <c r="C23" s="131"/>
      <c r="D23" s="131"/>
      <c r="E23" s="131"/>
    </row>
    <row r="24" spans="1:5">
      <c r="A24" s="135"/>
      <c r="B24" s="129"/>
      <c r="C24" s="131"/>
      <c r="D24" s="131"/>
      <c r="E24" s="131"/>
    </row>
    <row r="25" spans="1:5">
      <c r="A25" s="135"/>
      <c r="B25" s="136"/>
      <c r="C25" s="131"/>
      <c r="D25" s="131"/>
      <c r="E25" s="131"/>
    </row>
    <row r="26" spans="1:5">
      <c r="A26" s="135"/>
      <c r="B26" s="133"/>
      <c r="C26" s="131"/>
      <c r="D26" s="131"/>
      <c r="E26" s="131"/>
    </row>
    <row r="27" spans="1:5">
      <c r="A27" s="131"/>
      <c r="B27" s="137"/>
      <c r="C27" s="131"/>
      <c r="D27" s="131"/>
      <c r="E27" s="131"/>
    </row>
    <row r="28" spans="1:5">
      <c r="A28" s="131"/>
      <c r="B28" s="137"/>
      <c r="C28" s="131"/>
      <c r="D28" s="131"/>
      <c r="E28" s="131"/>
    </row>
    <row r="29" spans="1:5">
      <c r="A29" s="131"/>
      <c r="B29" s="137"/>
      <c r="C29" s="131"/>
      <c r="D29" s="131"/>
      <c r="E29" s="131"/>
    </row>
    <row r="30" spans="1:5">
      <c r="A30" s="131"/>
      <c r="B30" s="137"/>
      <c r="C30" s="131"/>
      <c r="D30" s="131"/>
      <c r="E30" s="131"/>
    </row>
    <row r="31" spans="1:5">
      <c r="A31" s="131"/>
      <c r="B31" s="137"/>
      <c r="C31" s="131"/>
      <c r="D31" s="131"/>
      <c r="E31" s="131"/>
    </row>
    <row r="32" spans="1:5">
      <c r="A32" s="131"/>
      <c r="B32" s="137"/>
      <c r="C32" s="131"/>
      <c r="D32" s="131"/>
      <c r="E32" s="131"/>
    </row>
    <row r="33" spans="1:5">
      <c r="A33" s="131"/>
      <c r="B33" s="137"/>
      <c r="C33" s="131"/>
      <c r="D33" s="131"/>
      <c r="E33" s="131"/>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5VFLs7y0n1vZnMkCYGUfycqdY0+gAhRLxHWHLRBagXE=</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vFHBH5wCTP3EHgpW8wUGq8+P3PbKqACshpW+EaNh9HA=</DigestValue>
    </Reference>
  </SignedInfo>
  <SignatureValue>fdBy6tr48Kq5za6qS8td2IPTQA0hITNLENumRtA35lGyGeG1eXhNbtaeM0iNy0/M0W6cL57q2GnS
7/sThoaOvSOANO7QitSVMj63eYRPEtoMqxUg+yZ502YIdj1cQwcOm9gSCB1WEZVbSR3lCI/FtIIN
JHUS+xIcGNn+juZufyzObMaltEPJ2yNIXnM+rjlOgsPo8OmV1rH52EASxejH9HUtg1P5/70s55qG
fMKIJ2XyQ9bcREj2OM/KimjKFOCTLHU6Z8lnq08RRvvElLR+xcVduTB1rmnluHurxdaATxsaoyvy
+pr127IW+LddPkG1jiXd2qk8Jhe2jp+kazvXVQ==</SignatureValue>
  <KeyInfo>
    <X509Data>
      <X509Certificate>MIIGPjCCBSagAwIBAgIKforL/QAEAAKfYjANBgkqhkiG9w0BAQsFADBKMRIwEAYKCZImiZPyLGQBGRYCZ2UxEzARBgoJkiaJk/IsZAEZFgNuYmcxHzAdBgNVBAMTFk5CRyBDbGFzcyAyIElOVCBTdWIgQ0EwHhcNMjUxMTE4MTE0NTQwWhcNMjcxMTE4MTE0NTQwWjA8MRswGQYDVQQKExJKU0MgSXNiYW5rIEdlb3JnaWExHTAbBgNVBAMTFEJJUyAtIFVjaGEgU2FyYWxpZHplMIIBIjANBgkqhkiG9w0BAQEFAAOCAQ8AMIIBCgKCAQEA85JFQlzoOfX3RdIJU+TYsqo9L3jxQrj9J2ATKhpV7pdxWqcr4JnPMb4LKNWPLxrk7B45zZXuN9St7Iud2HHtGB5Oa2qlDwtttkrC+F4pRbmxqMf+2n//ToKsi/n/plKqeO/UTOhZ/6dSJGnX9A+NfoTnDPmPdvF6nK6h36Kpw1MLmJUGbXgSuH5F5S7EW5MofSuapezcnHnpoPZUqNVLD1dUTzNin5uV2Bx8JP7VSnAowv/pjML4S71K1DbeofHIy41OcDdZdpzB81o4hA6A5VikFTbX3LMDIfpKzLM09Q/dlL8YADkbUPCdNNHKxcqq/FFsC2Qdcy6iax2NYmOC0wIDAQABo4IDMjCCAy4wPAYJKwYBBAGCNxUHBC8wLQYlKwYBBAGCNxUI5rJgg431RIaBmQmDuKFKg76EcQSDxJEzhIOIXQIBZAIBIzAdBgNVHSUEFjAUBggrBgEFBQcDAgYIKwYBBQUHAwQwCwYDVR0PBAQDAgeAMCcGCSsGAQQBgjcVCgQaMBgwCgYIKwYBBQUHAwIwCgYIKwYBBQUHAwQwHQYDVR0OBBYEFJPjdS6u0Y2kDWi+49eyLvblEoM4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NCkuY3J0MA0GCSqGSIb3DQEBCwUAA4IBAQAzfIfgqd/GPNx7dhiMu/aA95LaNxhesd9/lkM3Yfogb35RHsjha9CfKU1zY0JoNT1YQ3y8n+5gjR5wZ2ASOhVZgYiw2ZqmOI65KA0ej4ovA6rAP5S6Gc9EbkChfsCiMk/WVxxXLyp2zDMhl6/RZOZ8O0uM4/F8ZDCHyd0MQcWItsK3MWDjxQ/zACsYOKmxqATHRc7tPLgERAPTRMyTSaH6/i6BCqE0vteSZCxR1kPfJbNRdieH0Q9NPERo2Au7uIJVA5C76uKRjqInaW+9Yif5683u33zj7F9QvY3IR6i9h/LQfmit6moxn2DsA10AdC3iUzAd6gkR9wxWl7MRs3VH</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fAzylbDwd3/3T/zrOtRm8oUT2/YEUuAwT3CaBlK0XD8=</DigestValue>
      </Reference>
      <Reference URI="/xl/comments1.xml?ContentType=application/vnd.openxmlformats-officedocument.spreadsheetml.comments+xml">
        <DigestMethod Algorithm="http://www.w3.org/2001/04/xmlenc#sha256"/>
        <DigestValue>WPaaLWL6iaW5O6EyBPq6/JbOY8Vj0uS3YEktt7A/inA=</DigestValue>
      </Reference>
      <Reference URI="/xl/drawings/drawing1.xml?ContentType=application/vnd.openxmlformats-officedocument.drawing+xml">
        <DigestMethod Algorithm="http://www.w3.org/2001/04/xmlenc#sha256"/>
        <DigestValue>LqGMDknbqiebd6VtOnExSqdTsBjBc7V0fhqFjWNF8Hc=</DigestValue>
      </Reference>
      <Reference URI="/xl/drawings/vmlDrawing1.vml?ContentType=application/vnd.openxmlformats-officedocument.vmlDrawing">
        <DigestMethod Algorithm="http://www.w3.org/2001/04/xmlenc#sha256"/>
        <DigestValue>8S1yL5V1UhlkCpT8ZbEkKPZRjcKPaHxSbUa44B7bRLg=</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AnTMHajOrnycFko0QAL1qLgiwT4Z/vZ252Gvrq7lCRM=</DigestValue>
      </Reference>
      <Reference URI="/xl/styles.xml?ContentType=application/vnd.openxmlformats-officedocument.spreadsheetml.styles+xml">
        <DigestMethod Algorithm="http://www.w3.org/2001/04/xmlenc#sha256"/>
        <DigestValue>6AorKb08+aRK0AmJe754xlBG4EDhja8vQpxM51tpEio=</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gjv2wg1ddW5ACZ8dAU7pKard6pVEzNoWkAUx+dEgFL0=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ohmq+kVhi9ZVD2q2z3o4K4DJXoo2ov/hbXDnu9mNQW0=</DigestValue>
      </Reference>
      <Reference URI="/xl/worksheets/sheet10.xml?ContentType=application/vnd.openxmlformats-officedocument.spreadsheetml.worksheet+xml">
        <DigestMethod Algorithm="http://www.w3.org/2001/04/xmlenc#sha256"/>
        <DigestValue>Wmi8efwjNSIwt6Lo1tWdTMXowDBgEGY+LDMKCgFklx8=</DigestValue>
      </Reference>
      <Reference URI="/xl/worksheets/sheet11.xml?ContentType=application/vnd.openxmlformats-officedocument.spreadsheetml.worksheet+xml">
        <DigestMethod Algorithm="http://www.w3.org/2001/04/xmlenc#sha256"/>
        <DigestValue>FvUcyh7C/sVqYNuiQ/dHHqg+DNqlGqJaDJ8DK25s7S8=</DigestValue>
      </Reference>
      <Reference URI="/xl/worksheets/sheet12.xml?ContentType=application/vnd.openxmlformats-officedocument.spreadsheetml.worksheet+xml">
        <DigestMethod Algorithm="http://www.w3.org/2001/04/xmlenc#sha256"/>
        <DigestValue>l+3lwRCXDbgDNnw6kTGXFxKZepVGzmN+Tvw8W5pbIJE=</DigestValue>
      </Reference>
      <Reference URI="/xl/worksheets/sheet13.xml?ContentType=application/vnd.openxmlformats-officedocument.spreadsheetml.worksheet+xml">
        <DigestMethod Algorithm="http://www.w3.org/2001/04/xmlenc#sha256"/>
        <DigestValue>DooBDEprZ7mdTarJNKi88qe+KGxh9z6wc+ZtFB902zg=</DigestValue>
      </Reference>
      <Reference URI="/xl/worksheets/sheet14.xml?ContentType=application/vnd.openxmlformats-officedocument.spreadsheetml.worksheet+xml">
        <DigestMethod Algorithm="http://www.w3.org/2001/04/xmlenc#sha256"/>
        <DigestValue>phDwfgUVj1WN0VNpij+BTnSl8jmV/VKAvAOwJHOHTBg=</DigestValue>
      </Reference>
      <Reference URI="/xl/worksheets/sheet15.xml?ContentType=application/vnd.openxmlformats-officedocument.spreadsheetml.worksheet+xml">
        <DigestMethod Algorithm="http://www.w3.org/2001/04/xmlenc#sha256"/>
        <DigestValue>a/bPAystS87Hol+CS6T08Ho/FaoCpK/Z+JpMccONbRE=</DigestValue>
      </Reference>
      <Reference URI="/xl/worksheets/sheet16.xml?ContentType=application/vnd.openxmlformats-officedocument.spreadsheetml.worksheet+xml">
        <DigestMethod Algorithm="http://www.w3.org/2001/04/xmlenc#sha256"/>
        <DigestValue>3bye2vcJI++CJsbcJxd1hDzJlHLyzbnfbE2e5bUR1g8=</DigestValue>
      </Reference>
      <Reference URI="/xl/worksheets/sheet17.xml?ContentType=application/vnd.openxmlformats-officedocument.spreadsheetml.worksheet+xml">
        <DigestMethod Algorithm="http://www.w3.org/2001/04/xmlenc#sha256"/>
        <DigestValue>KiU9X9sWxrO+vhBjFUMYTUO1f9UUHxHuricESMS8d9Y=</DigestValue>
      </Reference>
      <Reference URI="/xl/worksheets/sheet18.xml?ContentType=application/vnd.openxmlformats-officedocument.spreadsheetml.worksheet+xml">
        <DigestMethod Algorithm="http://www.w3.org/2001/04/xmlenc#sha256"/>
        <DigestValue>C+kCfatEl7JU4gZWQPM/CoaRX9Qyrq4jL1nOJyLRFMo=</DigestValue>
      </Reference>
      <Reference URI="/xl/worksheets/sheet19.xml?ContentType=application/vnd.openxmlformats-officedocument.spreadsheetml.worksheet+xml">
        <DigestMethod Algorithm="http://www.w3.org/2001/04/xmlenc#sha256"/>
        <DigestValue>jmuIF2LNOVEnn3NgOTG1vA6/dUUWxQJO8z2J/Mh/8FQ=</DigestValue>
      </Reference>
      <Reference URI="/xl/worksheets/sheet2.xml?ContentType=application/vnd.openxmlformats-officedocument.spreadsheetml.worksheet+xml">
        <DigestMethod Algorithm="http://www.w3.org/2001/04/xmlenc#sha256"/>
        <DigestValue>ssffA6HaLH20G7x7HIFW47gowMd6bqsohcTqBdWTbgg=</DigestValue>
      </Reference>
      <Reference URI="/xl/worksheets/sheet20.xml?ContentType=application/vnd.openxmlformats-officedocument.spreadsheetml.worksheet+xml">
        <DigestMethod Algorithm="http://www.w3.org/2001/04/xmlenc#sha256"/>
        <DigestValue>imfHG0MqCfXnB025GNU5mLQK6A7SOgtTXM/tGt3ipZM=</DigestValue>
      </Reference>
      <Reference URI="/xl/worksheets/sheet21.xml?ContentType=application/vnd.openxmlformats-officedocument.spreadsheetml.worksheet+xml">
        <DigestMethod Algorithm="http://www.w3.org/2001/04/xmlenc#sha256"/>
        <DigestValue>hYCAEmmRxD9R36vQqYl2CcyTTo/A5rswS9rxe6LDdGk=</DigestValue>
      </Reference>
      <Reference URI="/xl/worksheets/sheet22.xml?ContentType=application/vnd.openxmlformats-officedocument.spreadsheetml.worksheet+xml">
        <DigestMethod Algorithm="http://www.w3.org/2001/04/xmlenc#sha256"/>
        <DigestValue>/2SJQRiYfEB9FBbuUy1T5tcXB/zy/sytmsAUbni5OuY=</DigestValue>
      </Reference>
      <Reference URI="/xl/worksheets/sheet23.xml?ContentType=application/vnd.openxmlformats-officedocument.spreadsheetml.worksheet+xml">
        <DigestMethod Algorithm="http://www.w3.org/2001/04/xmlenc#sha256"/>
        <DigestValue>av7JL1bNvOl1T88jXE3fRBtYGPbaA0O1FLAbuzAesRw=</DigestValue>
      </Reference>
      <Reference URI="/xl/worksheets/sheet24.xml?ContentType=application/vnd.openxmlformats-officedocument.spreadsheetml.worksheet+xml">
        <DigestMethod Algorithm="http://www.w3.org/2001/04/xmlenc#sha256"/>
        <DigestValue>x7Jp0+Pd49pq6yfqh5tRkDxxzyPYqxz+yNvWnKMJr2Y=</DigestValue>
      </Reference>
      <Reference URI="/xl/worksheets/sheet25.xml?ContentType=application/vnd.openxmlformats-officedocument.spreadsheetml.worksheet+xml">
        <DigestMethod Algorithm="http://www.w3.org/2001/04/xmlenc#sha256"/>
        <DigestValue>HAdmyiNf5Rwzactnybj/A3oBeWryF7sSsRPb9i6OdJ8=</DigestValue>
      </Reference>
      <Reference URI="/xl/worksheets/sheet26.xml?ContentType=application/vnd.openxmlformats-officedocument.spreadsheetml.worksheet+xml">
        <DigestMethod Algorithm="http://www.w3.org/2001/04/xmlenc#sha256"/>
        <DigestValue>viXXKiXj+MJdphAK1Oa38NqgZhkRTqZkG/ggnqsWlrc=</DigestValue>
      </Reference>
      <Reference URI="/xl/worksheets/sheet27.xml?ContentType=application/vnd.openxmlformats-officedocument.spreadsheetml.worksheet+xml">
        <DigestMethod Algorithm="http://www.w3.org/2001/04/xmlenc#sha256"/>
        <DigestValue>qeqO8UHgrVcAafRvZ/UCdlPdEL2PwyepODwlYpE26nM=</DigestValue>
      </Reference>
      <Reference URI="/xl/worksheets/sheet28.xml?ContentType=application/vnd.openxmlformats-officedocument.spreadsheetml.worksheet+xml">
        <DigestMethod Algorithm="http://www.w3.org/2001/04/xmlenc#sha256"/>
        <DigestValue>BFJZ2wgv5rSp8mFP2JQPTelx7EzK2X5YBjuR32UyjRI=</DigestValue>
      </Reference>
      <Reference URI="/xl/worksheets/sheet29.xml?ContentType=application/vnd.openxmlformats-officedocument.spreadsheetml.worksheet+xml">
        <DigestMethod Algorithm="http://www.w3.org/2001/04/xmlenc#sha256"/>
        <DigestValue>0jM1OZUGNNkVbA1Oo0PQIDBC/tm0d5Y3fe8JU3AEIQk=</DigestValue>
      </Reference>
      <Reference URI="/xl/worksheets/sheet3.xml?ContentType=application/vnd.openxmlformats-officedocument.spreadsheetml.worksheet+xml">
        <DigestMethod Algorithm="http://www.w3.org/2001/04/xmlenc#sha256"/>
        <DigestValue>1vu/HvE/9O9OoHKNH8bdKHwYQDZ8znnpvOR7ZGKxtII=</DigestValue>
      </Reference>
      <Reference URI="/xl/worksheets/sheet30.xml?ContentType=application/vnd.openxmlformats-officedocument.spreadsheetml.worksheet+xml">
        <DigestMethod Algorithm="http://www.w3.org/2001/04/xmlenc#sha256"/>
        <DigestValue>P8ZXNpDgbQE1g+I9J7L17KOVd+6pQmmEMGSnFD2QX7Q=</DigestValue>
      </Reference>
      <Reference URI="/xl/worksheets/sheet31.xml?ContentType=application/vnd.openxmlformats-officedocument.spreadsheetml.worksheet+xml">
        <DigestMethod Algorithm="http://www.w3.org/2001/04/xmlenc#sha256"/>
        <DigestValue>E2g3fCpqOBTWhFrnVN4ZuaGvePb0A8CPLsvCUbDW3bQ=</DigestValue>
      </Reference>
      <Reference URI="/xl/worksheets/sheet32.xml?ContentType=application/vnd.openxmlformats-officedocument.spreadsheetml.worksheet+xml">
        <DigestMethod Algorithm="http://www.w3.org/2001/04/xmlenc#sha256"/>
        <DigestValue>ERAuh39kfaSkABzXvyL75kNinx4cfLSHDcXsSBfps5o=</DigestValue>
      </Reference>
      <Reference URI="/xl/worksheets/sheet4.xml?ContentType=application/vnd.openxmlformats-officedocument.spreadsheetml.worksheet+xml">
        <DigestMethod Algorithm="http://www.w3.org/2001/04/xmlenc#sha256"/>
        <DigestValue>38pW2HGRCthy1zS5U9nYOCxDTl++pR3qroUlE3VW+88=</DigestValue>
      </Reference>
      <Reference URI="/xl/worksheets/sheet5.xml?ContentType=application/vnd.openxmlformats-officedocument.spreadsheetml.worksheet+xml">
        <DigestMethod Algorithm="http://www.w3.org/2001/04/xmlenc#sha256"/>
        <DigestValue>6WB6vNsNXWWzZxFLmfSVGSkFpCsgMQjJ9IN6dh8DqU8=</DigestValue>
      </Reference>
      <Reference URI="/xl/worksheets/sheet6.xml?ContentType=application/vnd.openxmlformats-officedocument.spreadsheetml.worksheet+xml">
        <DigestMethod Algorithm="http://www.w3.org/2001/04/xmlenc#sha256"/>
        <DigestValue>zbtRWaqjreSyIpiuxJ3LnDOhUK13sr7t9AInCXHBrtM=</DigestValue>
      </Reference>
      <Reference URI="/xl/worksheets/sheet7.xml?ContentType=application/vnd.openxmlformats-officedocument.spreadsheetml.worksheet+xml">
        <DigestMethod Algorithm="http://www.w3.org/2001/04/xmlenc#sha256"/>
        <DigestValue>d85E/4tzZw28mScjbca9k6lCuev4/1FP61qwyMluJEk=</DigestValue>
      </Reference>
      <Reference URI="/xl/worksheets/sheet8.xml?ContentType=application/vnd.openxmlformats-officedocument.spreadsheetml.worksheet+xml">
        <DigestMethod Algorithm="http://www.w3.org/2001/04/xmlenc#sha256"/>
        <DigestValue>HMOpbtFtINTrzsOvEYJJj/qbyE3NckOQVNGcwUSEls4=</DigestValue>
      </Reference>
      <Reference URI="/xl/worksheets/sheet9.xml?ContentType=application/vnd.openxmlformats-officedocument.spreadsheetml.worksheet+xml">
        <DigestMethod Algorithm="http://www.w3.org/2001/04/xmlenc#sha256"/>
        <DigestValue>UykjzJd+812HNMjuWXmqCkJ+jg+ihMIkW4IT6l2rZXI=</DigestValue>
      </Reference>
    </Manifest>
    <SignatureProperties>
      <SignatureProperty Id="idSignatureTime" Target="#idPackageSignature">
        <mdssi:SignatureTime xmlns:mdssi="http://schemas.openxmlformats.org/package/2006/digital-signature">
          <mdssi:Format>YYYY-MM-DDThh:mm:ssTZD</mdssi:Format>
          <mdssi:Value>2026-05-19T18:46:50Z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2026-05-19T18:46:50Z</xd:SigningTime>
          <xd:SigningCertificate>
            <xd:Cert>
              <xd:CertDigest>
                <DigestMethod Algorithm="http://www.w3.org/2001/04/xmlenc#sha256"/>
                <DigestValue>QrOLIkIX2rCb9usW2wzdib75uAaGOdZ7XxDOZqJ21Nk=</DigestValue>
              </xd:CertDigest>
              <xd:IssuerSerial>
                <X509IssuerName>CN=NBG Class 2 INT Sub CA, DC=nbg, DC=ge</X509IssuerName>
                <X509SerialNumber>597578526428523202256738</X509SerialNumber>
              </xd:IssuerSerial>
            </xd:Cert>
          </xd:SigningCertificate>
          <xd:SignaturePolicyIdentifier>
            <xd:SignaturePolicyImplied/>
          </xd:SignaturePolicyIdentifier>
        </xd:SignedSignatureProperties>
      </xd: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JSg/+ME8IYvplwcE21pXlHRkSZoIdyUMYEvzkHLvQMU=</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BIwegMrFCT8sKnAWTPKu9BkCM3pITKcZhcjqeow/PLM=</DigestValue>
    </Reference>
  </SignedInfo>
  <SignatureValue>sSTPW4J+gyt21rvBihUFVQFfex96R6CWE1wzCDcnUvGqvRRojHQuKw7hEpmUDRFQ+poD8cENYRqt
+7hfj0cxD5nYbStzsdm4XjLwLl/6od76xERS4ZdzLmPbLXQ0v6vc/CqRd6CFmjugeyXhQ1d/7D+d
wgAu4grdrysX0G4kNbrNDWcsdmq6KiB6L7mO+1T4VoLI6um1p+1BwnUMC8Y/LAsCdyOlehOVLX0q
DCpYlRyKLIygaD3Cjj1qTVD+fXZt1SVeXEkxAsykwj6hA+AuI7mNEjG6HMdjXq/D/oUt/egr5xMy
gfNR0SsgYvtAZnyVRsPcR91tCOb1U+CtdiqSkA==</SignatureValue>
  <KeyInfo>
    <X509Data>
      <X509Certificate>MIIGQTCCBSmgAwIBAgIKfpKRnAAEAAKfYzANBgkqhkiG9w0BAQsFADBKMRIwEAYKCZImiZPyLGQBGRYCZ2UxEzARBgoJkiaJk/IsZAEZFgNuYmcxHzAdBgNVBAMTFk5CRyBDbGFzcyAyIElOVCBTdWIgQ0EwHhcNMjUxMTE4MTE1NDEwWhcNMjcxMTE4MTE1NDEwWjA/MRswGQYDVQQKExJKU0MgSXNiYW5rIEdlb3JnaWExIDAeBgNVBAMTF0JJUyAtIEh1c2V5aW4gS2FyYWJ1bHV0MIIBIjANBgkqhkiG9w0BAQEFAAOCAQ8AMIIBCgKCAQEA4nOQMXp6lDnoDes9qUF2uDJ7HS/gv39knXyUeadlxId6f1koxqoFFcF5HbU0nwn787fIClCxorZqZnHbYf7c8UOmqB+wP5aeeJsoQJ2qU0UmvQz/JQwIXW+btJ4Blf7V8gptfFwLW085WWrKY7VnV3+nLVscZFuE/UkY2pR2HXDJwKRmvRAT4pajrk8KLuiW0ybiVLt1aIIktSYqHFKeHeu9KCPQYc0HDqSGpD+DO1Jx4nYk0jGrT8voEGM1uwcxuiByv380kt+F8CYewvNMjAH1BKnKIxdv2jSrHOLacK8jcbWGAZIjsry5iFMx4DuBvfAVOlka10+kWEDKppNnnQIDAQABo4IDMjCCAy4wPAYJKwYBBAGCNxUHBC8wLQYlKwYBBAGCNxUI5rJgg431RIaBmQmDuKFKg76EcQSDxJEzhIOIXQIBZAIBIzAdBgNVHSUEFjAUBggrBgEFBQcDAgYIKwYBBQUHAwQwCwYDVR0PBAQDAgeAMCcGCSsGAQQBgjcVCgQaMBgwCgYIKwYBBQUHAwIwCgYIKwYBBQUHAwQwHQYDVR0OBBYEFCzGuCX1w3SbYkxgxC5CmTaGH0hi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NCkuY3J0MA0GCSqGSIb3DQEBCwUAA4IBAQAUUwMLDbst55BSlmYH61l3PpT2YudOpMMTcrRD5/CgNvywKc/IgfJpb/U1Gj1oNT3fQ5VtWGiOf3pVi6pdjquIxkmFmaa+bxYFbF4Bg9l7v3H/nzor8Y51UCRa6i+1Qw+tTEsnisCzvqy4dSZrXjb78efG7LvDawabs8k5sCErn6os51djZChVIxdA48mbACfM44BuA7Mh+d/8ioN3FmRiifUJbppRDSbeLJuUNcO9vad00zR/Wd+k7jlcKvPW3Avrx/6oQRn6flzY35/W9CMi3Tq7lJ/DhyAIv0WUfJCEcjfNY+Gy3Zed4szgBTUJ2kwtHBydNvBRrwPadA/x403j</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fAzylbDwd3/3T/zrOtRm8oUT2/YEUuAwT3CaBlK0XD8=</DigestValue>
      </Reference>
      <Reference URI="/xl/comments1.xml?ContentType=application/vnd.openxmlformats-officedocument.spreadsheetml.comments+xml">
        <DigestMethod Algorithm="http://www.w3.org/2001/04/xmlenc#sha256"/>
        <DigestValue>WPaaLWL6iaW5O6EyBPq6/JbOY8Vj0uS3YEktt7A/inA=</DigestValue>
      </Reference>
      <Reference URI="/xl/drawings/drawing1.xml?ContentType=application/vnd.openxmlformats-officedocument.drawing+xml">
        <DigestMethod Algorithm="http://www.w3.org/2001/04/xmlenc#sha256"/>
        <DigestValue>LqGMDknbqiebd6VtOnExSqdTsBjBc7V0fhqFjWNF8Hc=</DigestValue>
      </Reference>
      <Reference URI="/xl/drawings/vmlDrawing1.vml?ContentType=application/vnd.openxmlformats-officedocument.vmlDrawing">
        <DigestMethod Algorithm="http://www.w3.org/2001/04/xmlenc#sha256"/>
        <DigestValue>8S1yL5V1UhlkCpT8ZbEkKPZRjcKPaHxSbUa44B7bRLg=</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AnTMHajOrnycFko0QAL1qLgiwT4Z/vZ252Gvrq7lCRM=</DigestValue>
      </Reference>
      <Reference URI="/xl/styles.xml?ContentType=application/vnd.openxmlformats-officedocument.spreadsheetml.styles+xml">
        <DigestMethod Algorithm="http://www.w3.org/2001/04/xmlenc#sha256"/>
        <DigestValue>6AorKb08+aRK0AmJe754xlBG4EDhja8vQpxM51tpEio=</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gjv2wg1ddW5ACZ8dAU7pKard6pVEzNoWkAUx+dEgFL0=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ohmq+kVhi9ZVD2q2z3o4K4DJXoo2ov/hbXDnu9mNQW0=</DigestValue>
      </Reference>
      <Reference URI="/xl/worksheets/sheet10.xml?ContentType=application/vnd.openxmlformats-officedocument.spreadsheetml.worksheet+xml">
        <DigestMethod Algorithm="http://www.w3.org/2001/04/xmlenc#sha256"/>
        <DigestValue>Wmi8efwjNSIwt6Lo1tWdTMXowDBgEGY+LDMKCgFklx8=</DigestValue>
      </Reference>
      <Reference URI="/xl/worksheets/sheet11.xml?ContentType=application/vnd.openxmlformats-officedocument.spreadsheetml.worksheet+xml">
        <DigestMethod Algorithm="http://www.w3.org/2001/04/xmlenc#sha256"/>
        <DigestValue>FvUcyh7C/sVqYNuiQ/dHHqg+DNqlGqJaDJ8DK25s7S8=</DigestValue>
      </Reference>
      <Reference URI="/xl/worksheets/sheet12.xml?ContentType=application/vnd.openxmlformats-officedocument.spreadsheetml.worksheet+xml">
        <DigestMethod Algorithm="http://www.w3.org/2001/04/xmlenc#sha256"/>
        <DigestValue>l+3lwRCXDbgDNnw6kTGXFxKZepVGzmN+Tvw8W5pbIJE=</DigestValue>
      </Reference>
      <Reference URI="/xl/worksheets/sheet13.xml?ContentType=application/vnd.openxmlformats-officedocument.spreadsheetml.worksheet+xml">
        <DigestMethod Algorithm="http://www.w3.org/2001/04/xmlenc#sha256"/>
        <DigestValue>DooBDEprZ7mdTarJNKi88qe+KGxh9z6wc+ZtFB902zg=</DigestValue>
      </Reference>
      <Reference URI="/xl/worksheets/sheet14.xml?ContentType=application/vnd.openxmlformats-officedocument.spreadsheetml.worksheet+xml">
        <DigestMethod Algorithm="http://www.w3.org/2001/04/xmlenc#sha256"/>
        <DigestValue>phDwfgUVj1WN0VNpij+BTnSl8jmV/VKAvAOwJHOHTBg=</DigestValue>
      </Reference>
      <Reference URI="/xl/worksheets/sheet15.xml?ContentType=application/vnd.openxmlformats-officedocument.spreadsheetml.worksheet+xml">
        <DigestMethod Algorithm="http://www.w3.org/2001/04/xmlenc#sha256"/>
        <DigestValue>a/bPAystS87Hol+CS6T08Ho/FaoCpK/Z+JpMccONbRE=</DigestValue>
      </Reference>
      <Reference URI="/xl/worksheets/sheet16.xml?ContentType=application/vnd.openxmlformats-officedocument.spreadsheetml.worksheet+xml">
        <DigestMethod Algorithm="http://www.w3.org/2001/04/xmlenc#sha256"/>
        <DigestValue>3bye2vcJI++CJsbcJxd1hDzJlHLyzbnfbE2e5bUR1g8=</DigestValue>
      </Reference>
      <Reference URI="/xl/worksheets/sheet17.xml?ContentType=application/vnd.openxmlformats-officedocument.spreadsheetml.worksheet+xml">
        <DigestMethod Algorithm="http://www.w3.org/2001/04/xmlenc#sha256"/>
        <DigestValue>KiU9X9sWxrO+vhBjFUMYTUO1f9UUHxHuricESMS8d9Y=</DigestValue>
      </Reference>
      <Reference URI="/xl/worksheets/sheet18.xml?ContentType=application/vnd.openxmlformats-officedocument.spreadsheetml.worksheet+xml">
        <DigestMethod Algorithm="http://www.w3.org/2001/04/xmlenc#sha256"/>
        <DigestValue>C+kCfatEl7JU4gZWQPM/CoaRX9Qyrq4jL1nOJyLRFMo=</DigestValue>
      </Reference>
      <Reference URI="/xl/worksheets/sheet19.xml?ContentType=application/vnd.openxmlformats-officedocument.spreadsheetml.worksheet+xml">
        <DigestMethod Algorithm="http://www.w3.org/2001/04/xmlenc#sha256"/>
        <DigestValue>jmuIF2LNOVEnn3NgOTG1vA6/dUUWxQJO8z2J/Mh/8FQ=</DigestValue>
      </Reference>
      <Reference URI="/xl/worksheets/sheet2.xml?ContentType=application/vnd.openxmlformats-officedocument.spreadsheetml.worksheet+xml">
        <DigestMethod Algorithm="http://www.w3.org/2001/04/xmlenc#sha256"/>
        <DigestValue>ssffA6HaLH20G7x7HIFW47gowMd6bqsohcTqBdWTbgg=</DigestValue>
      </Reference>
      <Reference URI="/xl/worksheets/sheet20.xml?ContentType=application/vnd.openxmlformats-officedocument.spreadsheetml.worksheet+xml">
        <DigestMethod Algorithm="http://www.w3.org/2001/04/xmlenc#sha256"/>
        <DigestValue>imfHG0MqCfXnB025GNU5mLQK6A7SOgtTXM/tGt3ipZM=</DigestValue>
      </Reference>
      <Reference URI="/xl/worksheets/sheet21.xml?ContentType=application/vnd.openxmlformats-officedocument.spreadsheetml.worksheet+xml">
        <DigestMethod Algorithm="http://www.w3.org/2001/04/xmlenc#sha256"/>
        <DigestValue>hYCAEmmRxD9R36vQqYl2CcyTTo/A5rswS9rxe6LDdGk=</DigestValue>
      </Reference>
      <Reference URI="/xl/worksheets/sheet22.xml?ContentType=application/vnd.openxmlformats-officedocument.spreadsheetml.worksheet+xml">
        <DigestMethod Algorithm="http://www.w3.org/2001/04/xmlenc#sha256"/>
        <DigestValue>/2SJQRiYfEB9FBbuUy1T5tcXB/zy/sytmsAUbni5OuY=</DigestValue>
      </Reference>
      <Reference URI="/xl/worksheets/sheet23.xml?ContentType=application/vnd.openxmlformats-officedocument.spreadsheetml.worksheet+xml">
        <DigestMethod Algorithm="http://www.w3.org/2001/04/xmlenc#sha256"/>
        <DigestValue>av7JL1bNvOl1T88jXE3fRBtYGPbaA0O1FLAbuzAesRw=</DigestValue>
      </Reference>
      <Reference URI="/xl/worksheets/sheet24.xml?ContentType=application/vnd.openxmlformats-officedocument.spreadsheetml.worksheet+xml">
        <DigestMethod Algorithm="http://www.w3.org/2001/04/xmlenc#sha256"/>
        <DigestValue>x7Jp0+Pd49pq6yfqh5tRkDxxzyPYqxz+yNvWnKMJr2Y=</DigestValue>
      </Reference>
      <Reference URI="/xl/worksheets/sheet25.xml?ContentType=application/vnd.openxmlformats-officedocument.spreadsheetml.worksheet+xml">
        <DigestMethod Algorithm="http://www.w3.org/2001/04/xmlenc#sha256"/>
        <DigestValue>HAdmyiNf5Rwzactnybj/A3oBeWryF7sSsRPb9i6OdJ8=</DigestValue>
      </Reference>
      <Reference URI="/xl/worksheets/sheet26.xml?ContentType=application/vnd.openxmlformats-officedocument.spreadsheetml.worksheet+xml">
        <DigestMethod Algorithm="http://www.w3.org/2001/04/xmlenc#sha256"/>
        <DigestValue>viXXKiXj+MJdphAK1Oa38NqgZhkRTqZkG/ggnqsWlrc=</DigestValue>
      </Reference>
      <Reference URI="/xl/worksheets/sheet27.xml?ContentType=application/vnd.openxmlformats-officedocument.spreadsheetml.worksheet+xml">
        <DigestMethod Algorithm="http://www.w3.org/2001/04/xmlenc#sha256"/>
        <DigestValue>qeqO8UHgrVcAafRvZ/UCdlPdEL2PwyepODwlYpE26nM=</DigestValue>
      </Reference>
      <Reference URI="/xl/worksheets/sheet28.xml?ContentType=application/vnd.openxmlformats-officedocument.spreadsheetml.worksheet+xml">
        <DigestMethod Algorithm="http://www.w3.org/2001/04/xmlenc#sha256"/>
        <DigestValue>BFJZ2wgv5rSp8mFP2JQPTelx7EzK2X5YBjuR32UyjRI=</DigestValue>
      </Reference>
      <Reference URI="/xl/worksheets/sheet29.xml?ContentType=application/vnd.openxmlformats-officedocument.spreadsheetml.worksheet+xml">
        <DigestMethod Algorithm="http://www.w3.org/2001/04/xmlenc#sha256"/>
        <DigestValue>0jM1OZUGNNkVbA1Oo0PQIDBC/tm0d5Y3fe8JU3AEIQk=</DigestValue>
      </Reference>
      <Reference URI="/xl/worksheets/sheet3.xml?ContentType=application/vnd.openxmlformats-officedocument.spreadsheetml.worksheet+xml">
        <DigestMethod Algorithm="http://www.w3.org/2001/04/xmlenc#sha256"/>
        <DigestValue>1vu/HvE/9O9OoHKNH8bdKHwYQDZ8znnpvOR7ZGKxtII=</DigestValue>
      </Reference>
      <Reference URI="/xl/worksheets/sheet30.xml?ContentType=application/vnd.openxmlformats-officedocument.spreadsheetml.worksheet+xml">
        <DigestMethod Algorithm="http://www.w3.org/2001/04/xmlenc#sha256"/>
        <DigestValue>P8ZXNpDgbQE1g+I9J7L17KOVd+6pQmmEMGSnFD2QX7Q=</DigestValue>
      </Reference>
      <Reference URI="/xl/worksheets/sheet31.xml?ContentType=application/vnd.openxmlformats-officedocument.spreadsheetml.worksheet+xml">
        <DigestMethod Algorithm="http://www.w3.org/2001/04/xmlenc#sha256"/>
        <DigestValue>E2g3fCpqOBTWhFrnVN4ZuaGvePb0A8CPLsvCUbDW3bQ=</DigestValue>
      </Reference>
      <Reference URI="/xl/worksheets/sheet32.xml?ContentType=application/vnd.openxmlformats-officedocument.spreadsheetml.worksheet+xml">
        <DigestMethod Algorithm="http://www.w3.org/2001/04/xmlenc#sha256"/>
        <DigestValue>ERAuh39kfaSkABzXvyL75kNinx4cfLSHDcXsSBfps5o=</DigestValue>
      </Reference>
      <Reference URI="/xl/worksheets/sheet4.xml?ContentType=application/vnd.openxmlformats-officedocument.spreadsheetml.worksheet+xml">
        <DigestMethod Algorithm="http://www.w3.org/2001/04/xmlenc#sha256"/>
        <DigestValue>38pW2HGRCthy1zS5U9nYOCxDTl++pR3qroUlE3VW+88=</DigestValue>
      </Reference>
      <Reference URI="/xl/worksheets/sheet5.xml?ContentType=application/vnd.openxmlformats-officedocument.spreadsheetml.worksheet+xml">
        <DigestMethod Algorithm="http://www.w3.org/2001/04/xmlenc#sha256"/>
        <DigestValue>6WB6vNsNXWWzZxFLmfSVGSkFpCsgMQjJ9IN6dh8DqU8=</DigestValue>
      </Reference>
      <Reference URI="/xl/worksheets/sheet6.xml?ContentType=application/vnd.openxmlformats-officedocument.spreadsheetml.worksheet+xml">
        <DigestMethod Algorithm="http://www.w3.org/2001/04/xmlenc#sha256"/>
        <DigestValue>zbtRWaqjreSyIpiuxJ3LnDOhUK13sr7t9AInCXHBrtM=</DigestValue>
      </Reference>
      <Reference URI="/xl/worksheets/sheet7.xml?ContentType=application/vnd.openxmlformats-officedocument.spreadsheetml.worksheet+xml">
        <DigestMethod Algorithm="http://www.w3.org/2001/04/xmlenc#sha256"/>
        <DigestValue>d85E/4tzZw28mScjbca9k6lCuev4/1FP61qwyMluJEk=</DigestValue>
      </Reference>
      <Reference URI="/xl/worksheets/sheet8.xml?ContentType=application/vnd.openxmlformats-officedocument.spreadsheetml.worksheet+xml">
        <DigestMethod Algorithm="http://www.w3.org/2001/04/xmlenc#sha256"/>
        <DigestValue>HMOpbtFtINTrzsOvEYJJj/qbyE3NckOQVNGcwUSEls4=</DigestValue>
      </Reference>
      <Reference URI="/xl/worksheets/sheet9.xml?ContentType=application/vnd.openxmlformats-officedocument.spreadsheetml.worksheet+xml">
        <DigestMethod Algorithm="http://www.w3.org/2001/04/xmlenc#sha256"/>
        <DigestValue>UykjzJd+812HNMjuWXmqCkJ+jg+ihMIkW4IT6l2rZXI=</DigestValue>
      </Reference>
    </Manifest>
    <SignatureProperties>
      <SignatureProperty Id="idSignatureTime" Target="#idPackageSignature">
        <mdssi:SignatureTime xmlns:mdssi="http://schemas.openxmlformats.org/package/2006/digital-signature">
          <mdssi:Format>YYYY-MM-DDThh:mm:ssTZD</mdssi:Format>
          <mdssi:Value>2026-05-19T18:47:08Z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2026-05-19T18:47:08Z</xd:SigningTime>
          <xd:SigningCertificate>
            <xd:Cert>
              <xd:CertDigest>
                <DigestMethod Algorithm="http://www.w3.org/2001/04/xmlenc#sha256"/>
                <DigestValue>zsYymbxEOOKfo4TceLvl+Xm967nzTxWyToZxCjHaH1U=</DigestValue>
              </xd:CertDigest>
              <xd:IssuerSerial>
                <X509IssuerName>CN=NBG Class 2 INT Sub CA, DC=nbg, DC=ge</X509IssuerName>
                <X509SerialNumber>597721893737585937915747</X509SerialNumber>
              </xd:IssuerSerial>
            </xd:Cert>
          </xd:SigningCertificate>
          <xd:SignaturePolicyIdentifier>
            <xd:SignaturePolicyImplied/>
          </xd:SignaturePolicyIdentifier>
        </xd:SignedSignatureProperties>
      </xd: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2026-05-19T18:46:24Z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