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3250" windowHeight="6930" tabRatio="761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22" i="90" l="1"/>
  <c r="B17" i="84" l="1"/>
  <c r="B16" i="84"/>
  <c r="B15" i="84"/>
  <c r="D32" i="75" l="1"/>
  <c r="C14" i="69" l="1"/>
  <c r="M22" i="90" l="1"/>
  <c r="C46" i="89" l="1"/>
  <c r="G32" i="75" l="1"/>
  <c r="D13" i="91" l="1"/>
  <c r="C29" i="95" l="1"/>
  <c r="B2" i="95" l="1"/>
  <c r="C26" i="95"/>
  <c r="C21" i="94" l="1"/>
  <c r="C20" i="94"/>
  <c r="C19" i="94"/>
  <c r="F40" i="83" l="1"/>
  <c r="C40" i="83"/>
  <c r="C15" i="89" l="1"/>
  <c r="C7" i="95" s="1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K10" i="93"/>
  <c r="H21" i="93"/>
  <c r="F23" i="93"/>
  <c r="H23" i="93" s="1"/>
  <c r="H19" i="93"/>
  <c r="H11" i="93"/>
  <c r="G16" i="93"/>
  <c r="H10" i="93"/>
  <c r="E21" i="93"/>
  <c r="D16" i="93"/>
  <c r="E19" i="93"/>
  <c r="E11" i="93"/>
  <c r="E10" i="93"/>
  <c r="C5" i="86"/>
  <c r="G24" i="93" l="1"/>
  <c r="G25" i="93" s="1"/>
  <c r="J24" i="93"/>
  <c r="J25" i="93" s="1"/>
  <c r="I16" i="93"/>
  <c r="I24" i="93" s="1"/>
  <c r="F16" i="93"/>
  <c r="F24" i="93" s="1"/>
  <c r="C16" i="93"/>
  <c r="E16" i="93" s="1"/>
  <c r="K16" i="93" l="1"/>
  <c r="H24" i="93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S9" i="90"/>
  <c r="F9" i="91" s="1"/>
  <c r="S10" i="90"/>
  <c r="F10" i="91" s="1"/>
  <c r="S11" i="90"/>
  <c r="F11" i="91" s="1"/>
  <c r="S12" i="90"/>
  <c r="F12" i="91" s="1"/>
  <c r="S13" i="90"/>
  <c r="F13" i="91" s="1"/>
  <c r="S14" i="90"/>
  <c r="F14" i="91" s="1"/>
  <c r="S15" i="90"/>
  <c r="F15" i="91" s="1"/>
  <c r="S16" i="90"/>
  <c r="F16" i="91" s="1"/>
  <c r="S17" i="90"/>
  <c r="F17" i="91" s="1"/>
  <c r="S18" i="90"/>
  <c r="F18" i="91" s="1"/>
  <c r="S19" i="90"/>
  <c r="F19" i="91" s="1"/>
  <c r="S20" i="90"/>
  <c r="F20" i="91" s="1"/>
  <c r="S21" i="90"/>
  <c r="F21" i="91" s="1"/>
  <c r="B2" i="90"/>
  <c r="C23" i="69"/>
  <c r="B2" i="69"/>
  <c r="B2" i="94"/>
  <c r="B2" i="89"/>
  <c r="I25" i="93" l="1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F32" i="75"/>
  <c r="C32" i="75"/>
  <c r="G40" i="75"/>
  <c r="F40" i="75"/>
  <c r="D40" i="75"/>
  <c r="C40" i="75"/>
  <c r="G22" i="75"/>
  <c r="F22" i="75"/>
  <c r="D22" i="75"/>
  <c r="D19" i="75" s="1"/>
  <c r="C22" i="75"/>
  <c r="G19" i="75"/>
  <c r="F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F34" i="85"/>
  <c r="D34" i="85"/>
  <c r="D45" i="85" s="1"/>
  <c r="C34" i="85"/>
  <c r="E8" i="85"/>
  <c r="H8" i="85"/>
  <c r="C9" i="85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B2" i="85"/>
  <c r="G14" i="83"/>
  <c r="F14" i="83"/>
  <c r="F20" i="83" s="1"/>
  <c r="D14" i="83"/>
  <c r="D20" i="83" s="1"/>
  <c r="C14" i="83"/>
  <c r="C20" i="83" s="1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E15" i="83"/>
  <c r="C16" i="69" s="1"/>
  <c r="H15" i="83"/>
  <c r="E16" i="83"/>
  <c r="C17" i="69" s="1"/>
  <c r="H16" i="83"/>
  <c r="E17" i="83"/>
  <c r="C18" i="69" s="1"/>
  <c r="H17" i="83"/>
  <c r="E18" i="83"/>
  <c r="C22" i="69" s="1"/>
  <c r="H18" i="83"/>
  <c r="E19" i="83"/>
  <c r="C24" i="69" s="1"/>
  <c r="H19" i="83"/>
  <c r="E22" i="83"/>
  <c r="C26" i="69" s="1"/>
  <c r="H22" i="83"/>
  <c r="E23" i="83"/>
  <c r="C27" i="69" s="1"/>
  <c r="H23" i="83"/>
  <c r="E24" i="83"/>
  <c r="C28" i="69" s="1"/>
  <c r="H24" i="83"/>
  <c r="E25" i="83"/>
  <c r="C29" i="69" s="1"/>
  <c r="H25" i="83"/>
  <c r="E26" i="83"/>
  <c r="C30" i="69" s="1"/>
  <c r="H26" i="83"/>
  <c r="E27" i="83"/>
  <c r="C31" i="69" s="1"/>
  <c r="H27" i="83"/>
  <c r="E28" i="83"/>
  <c r="C32" i="69" s="1"/>
  <c r="H28" i="83"/>
  <c r="E29" i="83"/>
  <c r="C33" i="69" s="1"/>
  <c r="H29" i="83"/>
  <c r="E30" i="83"/>
  <c r="H30" i="83"/>
  <c r="C31" i="83"/>
  <c r="D31" i="83"/>
  <c r="D41" i="83" s="1"/>
  <c r="F31" i="83"/>
  <c r="G31" i="83"/>
  <c r="G41" i="83" s="1"/>
  <c r="E33" i="83"/>
  <c r="C7" i="89" s="1"/>
  <c r="C37" i="69" s="1"/>
  <c r="H33" i="83"/>
  <c r="E34" i="83"/>
  <c r="H34" i="83"/>
  <c r="E35" i="83"/>
  <c r="H35" i="83"/>
  <c r="E36" i="83"/>
  <c r="H36" i="83"/>
  <c r="E37" i="83"/>
  <c r="H37" i="83"/>
  <c r="E38" i="83"/>
  <c r="C11" i="89" s="1"/>
  <c r="C42" i="69" s="1"/>
  <c r="H38" i="83"/>
  <c r="E39" i="83"/>
  <c r="H39" i="83"/>
  <c r="E40" i="83"/>
  <c r="H40" i="83"/>
  <c r="B2" i="83"/>
  <c r="D54" i="85" l="1"/>
  <c r="H61" i="85"/>
  <c r="E31" i="83"/>
  <c r="E53" i="85"/>
  <c r="E61" i="85"/>
  <c r="H53" i="85"/>
  <c r="G54" i="85"/>
  <c r="E30" i="85"/>
  <c r="E9" i="85"/>
  <c r="H31" i="83"/>
  <c r="H14" i="83"/>
  <c r="H30" i="85"/>
  <c r="H9" i="85"/>
  <c r="H22" i="85"/>
  <c r="D31" i="85"/>
  <c r="C14" i="88"/>
  <c r="E14" i="88" s="1"/>
  <c r="C44" i="89"/>
  <c r="C35" i="69" s="1"/>
  <c r="C34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C45" i="85"/>
  <c r="C22" i="85"/>
  <c r="E14" i="83"/>
  <c r="C15" i="88" s="1"/>
  <c r="E15" i="88" s="1"/>
  <c r="E20" i="83"/>
  <c r="C41" i="83"/>
  <c r="E41" i="83" s="1"/>
  <c r="D56" i="85" l="1"/>
  <c r="D63" i="85" s="1"/>
  <c r="D65" i="85" s="1"/>
  <c r="D67" i="85" s="1"/>
  <c r="H31" i="85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D9" i="94" l="1"/>
  <c r="D12" i="94"/>
  <c r="D15" i="94"/>
  <c r="D8" i="94"/>
  <c r="D11" i="94"/>
  <c r="D7" i="94"/>
  <c r="D17" i="94"/>
  <c r="D13" i="94"/>
  <c r="D16" i="94"/>
  <c r="D21" i="94"/>
  <c r="D20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E21" i="92" l="1"/>
  <c r="N14" i="92"/>
  <c r="N21" i="92" s="1"/>
  <c r="C12" i="95" s="1"/>
  <c r="C18" i="95" s="1"/>
  <c r="I21" i="92"/>
  <c r="M21" i="92"/>
  <c r="C21" i="92"/>
  <c r="C21" i="88"/>
  <c r="C8" i="95" l="1"/>
  <c r="T21" i="64"/>
  <c r="U21" i="64"/>
  <c r="S21" i="64"/>
  <c r="C21" i="64"/>
  <c r="F22" i="91"/>
  <c r="E22" i="91"/>
  <c r="C22" i="91"/>
  <c r="K22" i="90" l="1"/>
  <c r="L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5" i="95" s="1"/>
  <c r="C31" i="89"/>
  <c r="C30" i="89" s="1"/>
  <c r="C35" i="89"/>
  <c r="C43" i="89"/>
  <c r="C47" i="89"/>
  <c r="C41" i="89" l="1"/>
  <c r="C52" i="89"/>
  <c r="C15" i="69" l="1"/>
  <c r="C25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14" i="91" l="1"/>
  <c r="D22" i="91" s="1"/>
  <c r="C6" i="73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8" i="73" l="1"/>
  <c r="C13" i="73" s="1"/>
  <c r="C28" i="95"/>
  <c r="C30" i="95" s="1"/>
  <c r="C36" i="95" s="1"/>
  <c r="C38" i="95" s="1"/>
  <c r="V8" i="64"/>
  <c r="G9" i="91" s="1"/>
  <c r="H9" i="91" s="1"/>
  <c r="V9" i="64"/>
  <c r="G10" i="91" s="1"/>
  <c r="H10" i="91" s="1"/>
  <c r="V10" i="64"/>
  <c r="G11" i="91" s="1"/>
  <c r="H11" i="91" s="1"/>
  <c r="V11" i="64"/>
  <c r="G12" i="91" s="1"/>
  <c r="H12" i="91" s="1"/>
  <c r="V12" i="64"/>
  <c r="G13" i="91" s="1"/>
  <c r="H13" i="91" s="1"/>
  <c r="V13" i="64"/>
  <c r="G14" i="91" s="1"/>
  <c r="V14" i="64"/>
  <c r="G15" i="91" s="1"/>
  <c r="H15" i="91" s="1"/>
  <c r="V15" i="64"/>
  <c r="G16" i="91" s="1"/>
  <c r="H16" i="91" s="1"/>
  <c r="V16" i="64"/>
  <c r="G17" i="91" s="1"/>
  <c r="H17" i="91" s="1"/>
  <c r="V17" i="64"/>
  <c r="G18" i="91" s="1"/>
  <c r="H18" i="91" s="1"/>
  <c r="V18" i="64"/>
  <c r="G19" i="91" s="1"/>
  <c r="H19" i="91" s="1"/>
  <c r="V19" i="64"/>
  <c r="G20" i="91" s="1"/>
  <c r="H20" i="91" s="1"/>
  <c r="V20" i="64"/>
  <c r="G21" i="91" s="1"/>
  <c r="H21" i="91" s="1"/>
  <c r="V7" i="64"/>
  <c r="G8" i="91" s="1"/>
  <c r="H8" i="91" s="1"/>
  <c r="H14" i="91" l="1"/>
  <c r="G22" i="91"/>
  <c r="V21" i="64"/>
  <c r="C44" i="69" l="1"/>
  <c r="C36" i="69"/>
</calcChain>
</file>

<file path=xl/sharedStrings.xml><?xml version="1.0" encoding="utf-8"?>
<sst xmlns="http://schemas.openxmlformats.org/spreadsheetml/2006/main" count="744" uniqueCount="518">
  <si>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</si>
  <si>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</si>
  <si>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</si>
  <si>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</si>
  <si>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</si>
  <si>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</si>
  <si>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</si>
  <si>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</si>
  <si>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</si>
  <si>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</si>
  <si>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</si>
  <si>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</si>
  <si>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</si>
  <si>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</si>
  <si>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</si>
  <si>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</si>
  <si>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</si>
  <si>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</si>
  <si>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</si>
  <si>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</si>
  <si>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</si>
  <si>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</si>
  <si>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</si>
  <si>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</si>
  <si>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</si>
  <si>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</si>
  <si>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</si>
  <si>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</si>
  <si>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</si>
  <si>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</si>
  <si>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</si>
  <si>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</si>
  <si>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</si>
  <si>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</si>
  <si>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</si>
  <si>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</si>
  <si>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</si>
  <si>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</si>
  <si>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</si>
  <si>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</si>
  <si>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</si>
  <si>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</si>
  <si>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</si>
  <si>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</si>
  <si>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</si>
  <si>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</si>
  <si>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</si>
  <si>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</si>
  <si>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</si>
  <si>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</si>
  <si>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</si>
  <si>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</si>
  <si>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</si>
  <si>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</si>
  <si>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</si>
  <si>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</si>
  <si>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</si>
  <si>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</si>
  <si>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</si>
  <si>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</si>
  <si>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</si>
  <si>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</si>
  <si>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</si>
  <si>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</si>
  <si>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</si>
  <si>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</si>
  <si>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</si>
  <si>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</si>
  <si>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</si>
  <si>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</si>
  <si>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</si>
  <si>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</si>
  <si>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</si>
  <si>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</si>
  <si>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</si>
  <si>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</si>
  <si>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</si>
  <si>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</si>
  <si>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</si>
  <si>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</si>
  <si>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</si>
  <si>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</si>
  <si>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</si>
  <si>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</si>
  <si>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</si>
  <si>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</si>
  <si>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</si>
  <si>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</si>
  <si>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</si>
  <si>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</si>
  <si>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</si>
  <si>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</si>
  <si>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</si>
  <si>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</si>
  <si>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</si>
  <si>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</si>
  <si>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</si>
  <si>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</si>
  <si>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</si>
  <si>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</si>
  <si>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</si>
  <si>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</si>
  <si>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</si>
  <si>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</si>
  <si>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</si>
  <si>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</si>
  <si>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</si>
  <si>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</si>
  <si>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</si>
  <si>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</si>
  <si>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</si>
  <si>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</si>
  <si>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</si>
  <si>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</si>
  <si>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</si>
  <si>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</si>
  <si>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</si>
  <si>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</si>
  <si>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</si>
  <si>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</si>
  <si>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</si>
  <si>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</si>
  <si>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</si>
  <si>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</si>
  <si>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</si>
  <si>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</si>
  <si>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</si>
  <si>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</si>
  <si>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</si>
  <si>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</si>
  <si>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</si>
  <si>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</si>
  <si>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</si>
  <si>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</si>
  <si>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</si>
  <si>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</si>
  <si>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</si>
  <si>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</si>
  <si>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</si>
  <si>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</si>
  <si>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</si>
  <si>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</si>
  <si>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</si>
  <si>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</si>
  <si>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</si>
  <si>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</si>
  <si>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</si>
  <si>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</si>
  <si>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</si>
  <si>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</si>
  <si>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</si>
  <si>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</si>
  <si>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</si>
  <si>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</si>
  <si>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</si>
  <si>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</si>
  <si>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</si>
  <si>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</si>
  <si>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</si>
  <si>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</si>
  <si>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</si>
  <si>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</si>
  <si>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</si>
  <si>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</si>
  <si>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</si>
  <si>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</si>
  <si>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</si>
  <si>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</si>
  <si>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</si>
  <si>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</si>
  <si>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</si>
  <si>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</si>
  <si>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</si>
  <si>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</si>
  <si>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</si>
  <si>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</si>
  <si>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</si>
  <si>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</si>
  <si>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</si>
  <si>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</si>
  <si>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</si>
  <si>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</si>
  <si>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</si>
  <si>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</si>
  <si>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</si>
  <si>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</si>
  <si>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</si>
  <si>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</si>
  <si>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</si>
  <si>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</si>
  <si>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</si>
  <si>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</si>
  <si>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</si>
  <si>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</si>
  <si>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</si>
  <si>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</si>
  <si>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</si>
  <si>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</si>
  <si>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</si>
  <si>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</si>
  <si>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</si>
  <si>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</si>
  <si>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</si>
  <si>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</si>
  <si>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</si>
  <si>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</si>
  <si>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</si>
  <si>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</si>
  <si>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</si>
  <si>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</si>
  <si>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</si>
  <si>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</si>
  <si>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</si>
  <si>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</si>
  <si>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</si>
  <si>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</si>
  <si>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</si>
  <si>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</si>
  <si>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</si>
  <si>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</si>
  <si>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</si>
  <si>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</si>
  <si>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</si>
  <si>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</si>
  <si>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</si>
  <si>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</si>
  <si>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</si>
  <si>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</si>
  <si>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</si>
  <si>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</si>
  <si>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</si>
  <si>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</si>
  <si>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</si>
  <si>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</si>
  <si>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</si>
  <si>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</si>
  <si>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</si>
  <si>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</si>
  <si>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</si>
  <si>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</si>
  <si>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</si>
  <si>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</si>
  <si>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</si>
  <si>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</si>
  <si>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</si>
  <si>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</si>
  <si>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</si>
  <si>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</si>
  <si>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</si>
  <si>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</si>
  <si>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</si>
  <si>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</si>
  <si>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</si>
  <si>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</si>
  <si>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</si>
  <si>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</si>
  <si>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</si>
  <si>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</si>
  <si>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</si>
  <si>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</si>
  <si>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</si>
  <si>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</si>
  <si>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</si>
  <si>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</si>
  <si>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</si>
  <si>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</si>
  <si>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</si>
  <si>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</si>
  <si>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</si>
  <si>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</si>
  <si>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</si>
  <si>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</si>
  <si>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</si>
  <si>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</si>
  <si>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</si>
  <si>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</si>
  <si>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</si>
  <si>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</si>
  <si>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</si>
  <si>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</si>
  <si>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</si>
  <si>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</si>
  <si>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</si>
  <si>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</si>
  <si>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</si>
  <si>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</si>
  <si>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</si>
  <si>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</si>
  <si>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</si>
  <si>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</si>
  <si>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</si>
  <si>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</si>
  <si>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</si>
  <si>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</si>
  <si>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</si>
  <si>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</si>
  <si>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</si>
  <si>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</si>
  <si>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</si>
  <si>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</si>
  <si>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</si>
  <si>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</si>
  <si>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</si>
  <si>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</si>
  <si>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</si>
  <si>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</si>
  <si>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</si>
  <si>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</si>
  <si>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</si>
  <si>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</si>
  <si>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</si>
  <si>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</si>
  <si>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</si>
  <si>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</si>
  <si>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</si>
  <si>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</si>
  <si>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</si>
  <si>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</si>
  <si>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</si>
  <si>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</si>
  <si>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</si>
  <si>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</si>
  <si>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</si>
  <si>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</si>
  <si>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</si>
  <si>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</si>
  <si>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</si>
  <si>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</si>
  <si>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</si>
  <si>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</si>
  <si>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</si>
  <si>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</si>
  <si>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</si>
  <si>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</si>
  <si>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</si>
  <si>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</si>
  <si>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</si>
  <si>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</si>
  <si>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</si>
  <si>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</si>
  <si>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</si>
  <si>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</si>
  <si>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</si>
  <si>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</si>
  <si>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</si>
  <si>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</si>
  <si>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</si>
  <si>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</si>
  <si>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</si>
  <si>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</si>
  <si>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</si>
  <si>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</si>
  <si>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</si>
  <si>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</si>
  <si>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</si>
  <si>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</si>
  <si>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</si>
  <si>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</si>
  <si>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</si>
  <si>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</si>
  <si>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</si>
  <si>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</si>
  <si>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</si>
  <si>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</si>
  <si>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</si>
  <si>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</si>
  <si>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</si>
  <si>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</si>
  <si>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</si>
  <si>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</si>
  <si>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</si>
  <si>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</si>
  <si>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</si>
  <si>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</si>
  <si>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</si>
  <si>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</si>
  <si>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</si>
  <si>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</si>
  <si>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</si>
  <si>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</si>
  <si>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</si>
  <si>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</si>
  <si>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</si>
  <si>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</si>
  <si>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</si>
  <si>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</si>
  <si>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</si>
  <si>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</si>
  <si>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</si>
  <si>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</si>
  <si>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</si>
  <si>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</si>
  <si>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</si>
  <si>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</si>
  <si>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</si>
  <si>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</si>
  <si>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</si>
  <si>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</si>
  <si>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</si>
  <si>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</si>
  <si>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</si>
  <si>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</si>
  <si>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</si>
  <si>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</si>
  <si>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</si>
  <si>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</si>
  <si>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</si>
  <si>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</si>
  <si>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</si>
  <si>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</si>
  <si>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</si>
  <si>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</si>
  <si>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</si>
  <si>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</si>
  <si>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</si>
  <si>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</si>
  <si>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</si>
  <si>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</si>
  <si>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</si>
  <si>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</si>
  <si>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</si>
  <si>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</si>
  <si>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</si>
  <si>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</si>
  <si>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</si>
  <si>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</si>
  <si>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</si>
  <si>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</si>
  <si>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</si>
  <si>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</si>
  <si>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</si>
  <si>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</si>
  <si>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</si>
  <si>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</si>
  <si>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</si>
  <si>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</si>
  <si>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</si>
  <si>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</si>
  <si>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</si>
  <si>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</si>
  <si>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Ozan Gür</t>
  </si>
  <si>
    <t>www.isbank.ge</t>
  </si>
  <si>
    <t>Yavuz Ergın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</si>
  <si>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</si>
  <si>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</si>
  <si>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</si>
  <si>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</si>
  <si>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</si>
  <si>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</si>
  <si>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>Sezgin Lüle</t>
  </si>
  <si>
    <t>Teimuraz Pirmisashvili</t>
  </si>
  <si>
    <t>Huseyn Serdar Yücel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</si>
  <si>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</si>
  <si>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</si>
  <si>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</si>
  <si>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</si>
  <si>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</si>
  <si>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</si>
  <si>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</si>
  <si>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</si>
  <si>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</si>
  <si>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</si>
  <si>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</si>
  <si>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</si>
  <si>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</si>
  <si>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</si>
  <si>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</si>
  <si>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</si>
  <si>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</si>
  <si>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</si>
  <si>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</si>
  <si>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</si>
  <si>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</si>
  <si>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</si>
  <si>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</si>
  <si>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</si>
  <si>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</si>
  <si>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</si>
  <si>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</si>
  <si>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</si>
  <si>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</si>
  <si>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</si>
  <si>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</si>
  <si>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</si>
  <si>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</si>
  <si>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</si>
  <si>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</si>
  <si>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</si>
  <si>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</si>
  <si>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</si>
  <si>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</si>
  <si>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</si>
  <si>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</si>
  <si>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</si>
  <si>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</si>
  <si>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</si>
  <si>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 xml:space="preserve"> 4Q 2019</t>
  </si>
  <si>
    <t>Natia Janelidze</t>
  </si>
  <si>
    <t>Hakan Kural</t>
  </si>
  <si>
    <t xml:space="preserve"> 1Q 2020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</si>
  <si>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</si>
  <si>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Based on Basel III framework *</t>
  </si>
  <si>
    <t>* COVID 19 related provisions are deducted from balance sheet items after applying relevant risks weights and mitigation</t>
  </si>
  <si>
    <t>Balance sheet items *</t>
  </si>
  <si>
    <t>*Other adjustments include COVID 19 related provisions too. These provisions are deducted from risk weighted balance sheet items. See table "5.RWA"</t>
  </si>
  <si>
    <t>Effect of other adjustments *</t>
  </si>
  <si>
    <t>Capital Conservation Buffer *</t>
  </si>
  <si>
    <t>COVID 19 related provisions</t>
  </si>
  <si>
    <t>6.2.1</t>
  </si>
  <si>
    <t>*COVID 19 related provisions are deducted from balance sheet items</t>
  </si>
  <si>
    <t>On-balance sheet items (excluding derivatives, SFTs and fiduciary assets, but including collateral) *</t>
  </si>
  <si>
    <t>6.2.2</t>
  </si>
  <si>
    <t>Loan Loss General Reserves</t>
  </si>
  <si>
    <t xml:space="preserve"> 2Q 2020</t>
  </si>
  <si>
    <t>Ozan Gürsoy</t>
  </si>
  <si>
    <t xml:space="preserve"> 3Q 2020</t>
  </si>
  <si>
    <t>Banu Altun</t>
  </si>
  <si>
    <t xml:space="preserve"> 4Q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</si>
</sst>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3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3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4" fillId="0" borderId="7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5" fillId="0" borderId="88" xfId="7" applyNumberFormat="1" applyFont="1" applyFill="1" applyBorder="1" applyAlignment="1">
      <alignment horizontal="left" vertical="center" wrapText="1"/>
    </xf>
    <xf numFmtId="164" fontId="10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10" fontId="3" fillId="0" borderId="87" xfId="0" applyNumberFormat="1" applyFont="1" applyFill="1" applyBorder="1" applyAlignment="1">
      <alignment horizontal="left" vertical="center" wrapText="1"/>
    </xf>
    <xf numFmtId="10" fontId="3" fillId="0" borderId="87" xfId="20962" applyNumberFormat="1" applyFont="1" applyFill="1" applyBorder="1" applyAlignment="1">
      <alignment horizontal="left" vertical="center" wrapText="1"/>
    </xf>
    <xf numFmtId="0" fontId="45" fillId="78" borderId="93" xfId="20964" applyFont="1" applyFill="1" applyBorder="1" applyAlignment="1">
      <alignment vertical="center"/>
    </xf>
    <xf numFmtId="0" fontId="45" fillId="78" borderId="90" xfId="20964" applyFont="1" applyFill="1" applyBorder="1" applyAlignment="1">
      <alignment vertical="center"/>
    </xf>
    <xf numFmtId="0" fontId="45" fillId="78" borderId="10" xfId="20964" applyFont="1" applyFill="1" applyBorder="1" applyAlignment="1">
      <alignment vertical="center"/>
    </xf>
    <xf numFmtId="0" fontId="107" fillId="70" borderId="108" xfId="20964" applyFont="1" applyFill="1" applyBorder="1" applyAlignment="1">
      <alignment horizontal="center" vertical="center"/>
    </xf>
    <xf numFmtId="0" fontId="107" fillId="70" borderId="10" xfId="20964" applyFont="1" applyFill="1" applyBorder="1" applyAlignment="1">
      <alignment horizontal="left" vertical="center" wrapText="1"/>
    </xf>
    <xf numFmtId="164" fontId="107" fillId="0" borderId="87" xfId="7" applyNumberFormat="1" applyFont="1" applyFill="1" applyBorder="1" applyAlignment="1" applyProtection="1">
      <alignment horizontal="right" vertical="center"/>
      <protection locked="0"/>
    </xf>
    <xf numFmtId="0" fontId="108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top" wrapText="1"/>
    </xf>
    <xf numFmtId="164" fontId="45" fillId="78" borderId="10" xfId="7" applyNumberFormat="1" applyFont="1" applyFill="1" applyBorder="1" applyAlignment="1">
      <alignment horizontal="right" vertical="center"/>
    </xf>
    <xf numFmtId="0" fontId="109" fillId="70" borderId="108" xfId="20964" applyFont="1" applyFill="1" applyBorder="1" applyAlignment="1">
      <alignment horizontal="center" vertical="center"/>
    </xf>
    <xf numFmtId="0" fontId="107" fillId="70" borderId="90" xfId="20964" applyFont="1" applyFill="1" applyBorder="1" applyAlignment="1">
      <alignment vertical="center" wrapText="1"/>
    </xf>
    <xf numFmtId="0" fontId="107" fillId="70" borderId="10" xfId="20964" applyFont="1" applyFill="1" applyBorder="1" applyAlignment="1">
      <alignment horizontal="left" vertical="center"/>
    </xf>
    <xf numFmtId="0" fontId="109" fillId="3" borderId="108" xfId="20964" applyFont="1" applyFill="1" applyBorder="1" applyAlignment="1">
      <alignment horizontal="center" vertical="center"/>
    </xf>
    <xf numFmtId="0" fontId="107" fillId="3" borderId="10" xfId="20964" applyFont="1" applyFill="1" applyBorder="1" applyAlignment="1">
      <alignment horizontal="left" vertical="center"/>
    </xf>
    <xf numFmtId="0" fontId="109" fillId="0" borderId="108" xfId="20964" applyFont="1" applyFill="1" applyBorder="1" applyAlignment="1">
      <alignment horizontal="center" vertical="center"/>
    </xf>
    <xf numFmtId="0" fontId="107" fillId="0" borderId="10" xfId="20964" applyFont="1" applyFill="1" applyBorder="1" applyAlignment="1">
      <alignment horizontal="left" vertical="center"/>
    </xf>
    <xf numFmtId="0" fontId="111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center"/>
    </xf>
    <xf numFmtId="164" fontId="107" fillId="77" borderId="87" xfId="7" applyNumberFormat="1" applyFont="1" applyFill="1" applyBorder="1" applyAlignment="1" applyProtection="1">
      <alignment horizontal="right" vertical="center"/>
      <protection locked="0"/>
    </xf>
    <xf numFmtId="0" fontId="108" fillId="78" borderId="93" xfId="20964" applyFont="1" applyFill="1" applyBorder="1" applyAlignment="1">
      <alignment vertical="center"/>
    </xf>
    <xf numFmtId="0" fontId="108" fillId="78" borderId="90" xfId="20964" applyFont="1" applyFill="1" applyBorder="1" applyAlignment="1">
      <alignment vertical="center"/>
    </xf>
    <xf numFmtId="164" fontId="108" fillId="78" borderId="10" xfId="7" applyNumberFormat="1" applyFont="1" applyFill="1" applyBorder="1" applyAlignment="1">
      <alignment horizontal="right" vertical="center"/>
    </xf>
    <xf numFmtId="0" fontId="112" fillId="3" borderId="108" xfId="20964" applyFont="1" applyFill="1" applyBorder="1" applyAlignment="1">
      <alignment horizontal="center" vertical="center"/>
    </xf>
    <xf numFmtId="0" fontId="113" fillId="77" borderId="87" xfId="20964" applyFont="1" applyFill="1" applyBorder="1" applyAlignment="1">
      <alignment horizontal="center" vertical="center"/>
    </xf>
    <xf numFmtId="0" fontId="45" fillId="77" borderId="90" xfId="20964" applyFont="1" applyFill="1" applyBorder="1" applyAlignment="1">
      <alignment vertical="center"/>
    </xf>
    <xf numFmtId="0" fontId="112" fillId="70" borderId="108" xfId="20964" applyFont="1" applyFill="1" applyBorder="1" applyAlignment="1">
      <alignment horizontal="center" vertical="center"/>
    </xf>
    <xf numFmtId="164" fontId="107" fillId="3" borderId="87" xfId="7" applyNumberFormat="1" applyFont="1" applyFill="1" applyBorder="1" applyAlignment="1" applyProtection="1">
      <alignment horizontal="right" vertical="center"/>
      <protection locked="0"/>
    </xf>
    <xf numFmtId="0" fontId="113" fillId="3" borderId="87" xfId="20964" applyFont="1" applyFill="1" applyBorder="1" applyAlignment="1">
      <alignment horizontal="center" vertical="center"/>
    </xf>
    <xf numFmtId="0" fontId="45" fillId="3" borderId="90" xfId="20964" applyFont="1" applyFill="1" applyBorder="1" applyAlignment="1">
      <alignment vertical="center"/>
    </xf>
    <xf numFmtId="0" fontId="109" fillId="70" borderId="87" xfId="20964" applyFont="1" applyFill="1" applyBorder="1" applyAlignment="1">
      <alignment horizontal="center" vertical="center"/>
    </xf>
    <xf numFmtId="0" fontId="19" fillId="70" borderId="87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100" fillId="0" borderId="108" xfId="20962" applyNumberFormat="1" applyFont="1" applyFill="1" applyBorder="1" applyAlignment="1">
      <alignment horizontal="left" vertical="center" wrapText="1"/>
    </xf>
    <xf numFmtId="10" fontId="114" fillId="77" borderId="87" xfId="20962" applyNumberFormat="1" applyFont="1" applyFill="1" applyBorder="1" applyAlignment="1" applyProtection="1">
      <alignment horizontal="right" vertical="center"/>
      <protection locked="0"/>
    </xf>
    <xf numFmtId="43" fontId="3" fillId="0" borderId="85" xfId="0" applyNumberFormat="1" applyFont="1" applyFill="1" applyBorder="1" applyAlignment="1">
      <alignment vertical="center"/>
    </xf>
    <xf numFmtId="164" fontId="3" fillId="0" borderId="85" xfId="0" applyNumberFormat="1" applyFont="1" applyFill="1" applyBorder="1" applyAlignment="1">
      <alignment vertical="center"/>
    </xf>
    <xf numFmtId="0" fontId="115" fillId="0" borderId="0" xfId="0" applyFont="1" applyFill="1"/>
    <xf numFmtId="193" fontId="3" fillId="0" borderId="0" xfId="0" applyNumberFormat="1" applyFont="1"/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Normal="100" workbookViewId="0">
      <selection activeCell="B1" sqref="B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45"/>
      <c r="B1" s="185" t="s">
        <v>349</v>
      </c>
      <c r="C1" s="145"/>
    </row>
    <row r="2" spans="1:3">
      <c r="A2" s="186">
        <v>1</v>
      </c>
      <c r="B2" s="325" t="s">
        <v>350</v>
      </c>
      <c r="C2" s="335" t="s">
        <v>439</v>
      </c>
    </row>
    <row r="3" spans="1:3">
      <c r="A3" s="186">
        <v>2</v>
      </c>
      <c r="B3" s="326" t="s">
        <v>346</v>
      </c>
      <c r="C3" s="335" t="s">
        <v>514</v>
      </c>
    </row>
    <row r="4" spans="1:3">
      <c r="A4" s="186">
        <v>3</v>
      </c>
      <c r="B4" s="327" t="s">
        <v>351</v>
      </c>
      <c r="C4" s="335" t="s">
        <v>440</v>
      </c>
    </row>
    <row r="5" spans="1:3">
      <c r="A5" s="187">
        <v>4</v>
      </c>
      <c r="B5" s="328" t="s">
        <v>347</v>
      </c>
      <c r="C5" s="336" t="s">
        <v>441</v>
      </c>
    </row>
    <row r="6" spans="1:3" s="188" customFormat="1" ht="45.75" customHeight="1">
      <c r="A6" s="537" t="s">
        <v>427</v>
      </c>
      <c r="B6" s="538"/>
      <c r="C6" s="538"/>
    </row>
    <row r="7" spans="1:3" ht="15">
      <c r="A7" s="189" t="s">
        <v>29</v>
      </c>
      <c r="B7" s="185" t="s">
        <v>348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358</v>
      </c>
    </row>
    <row r="14" spans="1:3">
      <c r="A14" s="145">
        <v>7</v>
      </c>
      <c r="B14" s="232" t="s">
        <v>352</v>
      </c>
    </row>
    <row r="15" spans="1:3">
      <c r="A15" s="145">
        <v>8</v>
      </c>
      <c r="B15" s="232" t="s">
        <v>353</v>
      </c>
    </row>
    <row r="16" spans="1:3">
      <c r="A16" s="145">
        <v>9</v>
      </c>
      <c r="B16" s="232" t="s">
        <v>25</v>
      </c>
    </row>
    <row r="17" spans="1:2">
      <c r="A17" s="324" t="s">
        <v>426</v>
      </c>
      <c r="B17" s="323" t="s">
        <v>411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354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355</v>
      </c>
    </row>
    <row r="22" spans="1:2">
      <c r="A22" s="145">
        <v>14</v>
      </c>
      <c r="B22" s="231" t="s">
        <v>382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9.5703125" style="7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337" t="s">
        <v>30</v>
      </c>
      <c r="B1" s="338" t="s">
        <v>439</v>
      </c>
    </row>
    <row r="2" spans="1:3" s="59" customFormat="1" ht="15.75" customHeight="1">
      <c r="A2" s="337" t="s">
        <v>31</v>
      </c>
      <c r="B2" s="339">
        <f>'1. key ratios '!B2</f>
        <v>44196</v>
      </c>
    </row>
    <row r="3" spans="1:3" s="59" customFormat="1" ht="15.75" customHeight="1"/>
    <row r="4" spans="1:3" ht="13.5" thickBot="1">
      <c r="A4" s="71" t="s">
        <v>250</v>
      </c>
      <c r="B4" s="130" t="s">
        <v>249</v>
      </c>
    </row>
    <row r="5" spans="1:3">
      <c r="A5" s="72" t="s">
        <v>6</v>
      </c>
      <c r="B5" s="73"/>
      <c r="C5" s="74" t="s">
        <v>73</v>
      </c>
    </row>
    <row r="6" spans="1:3">
      <c r="A6" s="75">
        <v>1</v>
      </c>
      <c r="B6" s="76" t="s">
        <v>248</v>
      </c>
      <c r="C6" s="433">
        <f>SUM(C7:C11)</f>
        <v>83316026.987222284</v>
      </c>
    </row>
    <row r="7" spans="1:3">
      <c r="A7" s="75">
        <v>2</v>
      </c>
      <c r="B7" s="77" t="s">
        <v>247</v>
      </c>
      <c r="C7" s="434">
        <f>'2.RC'!E33</f>
        <v>69161600</v>
      </c>
    </row>
    <row r="8" spans="1:3">
      <c r="A8" s="75">
        <v>3</v>
      </c>
      <c r="B8" s="78" t="s">
        <v>246</v>
      </c>
      <c r="C8" s="434"/>
    </row>
    <row r="9" spans="1:3">
      <c r="A9" s="75">
        <v>4</v>
      </c>
      <c r="B9" s="78" t="s">
        <v>245</v>
      </c>
      <c r="C9" s="434"/>
    </row>
    <row r="10" spans="1:3">
      <c r="A10" s="75">
        <v>5</v>
      </c>
      <c r="B10" s="78" t="s">
        <v>244</v>
      </c>
      <c r="C10" s="434"/>
    </row>
    <row r="11" spans="1:3">
      <c r="A11" s="75">
        <v>6</v>
      </c>
      <c r="B11" s="79" t="s">
        <v>243</v>
      </c>
      <c r="C11" s="434">
        <f>'2.RC'!E38</f>
        <v>14154426.987222282</v>
      </c>
    </row>
    <row r="12" spans="1:3" s="45" customFormat="1">
      <c r="A12" s="75">
        <v>7</v>
      </c>
      <c r="B12" s="76" t="s">
        <v>242</v>
      </c>
      <c r="C12" s="435">
        <f>SUM(C13:C27)</f>
        <v>317581.60999999987</v>
      </c>
    </row>
    <row r="13" spans="1:3" s="45" customFormat="1">
      <c r="A13" s="75">
        <v>8</v>
      </c>
      <c r="B13" s="80" t="s">
        <v>241</v>
      </c>
      <c r="C13" s="436"/>
    </row>
    <row r="14" spans="1:3" s="45" customFormat="1" ht="25.5">
      <c r="A14" s="75">
        <v>9</v>
      </c>
      <c r="B14" s="81" t="s">
        <v>240</v>
      </c>
      <c r="C14" s="436"/>
    </row>
    <row r="15" spans="1:3" s="45" customFormat="1">
      <c r="A15" s="75">
        <v>10</v>
      </c>
      <c r="B15" s="82" t="s">
        <v>239</v>
      </c>
      <c r="C15" s="436">
        <f>'7. LI1 '!D19</f>
        <v>317581.60999999987</v>
      </c>
    </row>
    <row r="16" spans="1:3" s="45" customFormat="1">
      <c r="A16" s="75">
        <v>11</v>
      </c>
      <c r="B16" s="83" t="s">
        <v>238</v>
      </c>
      <c r="C16" s="436"/>
    </row>
    <row r="17" spans="1:3" s="45" customFormat="1">
      <c r="A17" s="75">
        <v>12</v>
      </c>
      <c r="B17" s="82" t="s">
        <v>237</v>
      </c>
      <c r="C17" s="436"/>
    </row>
    <row r="18" spans="1:3" s="45" customFormat="1">
      <c r="A18" s="75">
        <v>13</v>
      </c>
      <c r="B18" s="82" t="s">
        <v>236</v>
      </c>
      <c r="C18" s="436"/>
    </row>
    <row r="19" spans="1:3" s="45" customFormat="1">
      <c r="A19" s="75">
        <v>14</v>
      </c>
      <c r="B19" s="82" t="s">
        <v>235</v>
      </c>
      <c r="C19" s="436"/>
    </row>
    <row r="20" spans="1:3" s="45" customFormat="1">
      <c r="A20" s="75">
        <v>15</v>
      </c>
      <c r="B20" s="82" t="s">
        <v>234</v>
      </c>
      <c r="C20" s="436"/>
    </row>
    <row r="21" spans="1:3" s="45" customFormat="1" ht="25.5">
      <c r="A21" s="75">
        <v>16</v>
      </c>
      <c r="B21" s="81" t="s">
        <v>233</v>
      </c>
      <c r="C21" s="436"/>
    </row>
    <row r="22" spans="1:3" s="45" customFormat="1">
      <c r="A22" s="75">
        <v>17</v>
      </c>
      <c r="B22" s="84" t="s">
        <v>232</v>
      </c>
      <c r="C22" s="436"/>
    </row>
    <row r="23" spans="1:3" s="45" customFormat="1">
      <c r="A23" s="75">
        <v>18</v>
      </c>
      <c r="B23" s="81" t="s">
        <v>231</v>
      </c>
      <c r="C23" s="436"/>
    </row>
    <row r="24" spans="1:3" s="45" customFormat="1" ht="25.5">
      <c r="A24" s="75">
        <v>19</v>
      </c>
      <c r="B24" s="81" t="s">
        <v>208</v>
      </c>
      <c r="C24" s="436"/>
    </row>
    <row r="25" spans="1:3" s="45" customFormat="1">
      <c r="A25" s="75">
        <v>20</v>
      </c>
      <c r="B25" s="85" t="s">
        <v>230</v>
      </c>
      <c r="C25" s="436"/>
    </row>
    <row r="26" spans="1:3" s="45" customFormat="1">
      <c r="A26" s="75">
        <v>21</v>
      </c>
      <c r="B26" s="85" t="s">
        <v>229</v>
      </c>
      <c r="C26" s="436"/>
    </row>
    <row r="27" spans="1:3" s="45" customFormat="1">
      <c r="A27" s="75">
        <v>22</v>
      </c>
      <c r="B27" s="85" t="s">
        <v>228</v>
      </c>
      <c r="C27" s="436"/>
    </row>
    <row r="28" spans="1:3" s="45" customFormat="1">
      <c r="A28" s="75">
        <v>23</v>
      </c>
      <c r="B28" s="86" t="s">
        <v>227</v>
      </c>
      <c r="C28" s="435">
        <f>C6-C12</f>
        <v>82998445.377222285</v>
      </c>
    </row>
    <row r="29" spans="1:3" s="45" customFormat="1">
      <c r="A29" s="87"/>
      <c r="B29" s="88"/>
      <c r="C29" s="436"/>
    </row>
    <row r="30" spans="1:3" s="45" customFormat="1">
      <c r="A30" s="87">
        <v>24</v>
      </c>
      <c r="B30" s="86" t="s">
        <v>226</v>
      </c>
      <c r="C30" s="435">
        <f>C31+C34</f>
        <v>0</v>
      </c>
    </row>
    <row r="31" spans="1:3" s="45" customFormat="1">
      <c r="A31" s="87">
        <v>25</v>
      </c>
      <c r="B31" s="78" t="s">
        <v>225</v>
      </c>
      <c r="C31" s="437">
        <f>C32+C33</f>
        <v>0</v>
      </c>
    </row>
    <row r="32" spans="1:3" s="45" customFormat="1">
      <c r="A32" s="87">
        <v>26</v>
      </c>
      <c r="B32" s="89" t="s">
        <v>307</v>
      </c>
      <c r="C32" s="436"/>
    </row>
    <row r="33" spans="1:3" s="45" customFormat="1">
      <c r="A33" s="87">
        <v>27</v>
      </c>
      <c r="B33" s="89" t="s">
        <v>224</v>
      </c>
      <c r="C33" s="436"/>
    </row>
    <row r="34" spans="1:3" s="45" customFormat="1">
      <c r="A34" s="87">
        <v>28</v>
      </c>
      <c r="B34" s="78" t="s">
        <v>223</v>
      </c>
      <c r="C34" s="436"/>
    </row>
    <row r="35" spans="1:3" s="45" customFormat="1">
      <c r="A35" s="87">
        <v>29</v>
      </c>
      <c r="B35" s="86" t="s">
        <v>222</v>
      </c>
      <c r="C35" s="435">
        <f>SUM(C36:C40)</f>
        <v>0</v>
      </c>
    </row>
    <row r="36" spans="1:3" s="45" customFormat="1">
      <c r="A36" s="87">
        <v>30</v>
      </c>
      <c r="B36" s="81" t="s">
        <v>221</v>
      </c>
      <c r="C36" s="436"/>
    </row>
    <row r="37" spans="1:3" s="45" customFormat="1">
      <c r="A37" s="87">
        <v>31</v>
      </c>
      <c r="B37" s="82" t="s">
        <v>220</v>
      </c>
      <c r="C37" s="436"/>
    </row>
    <row r="38" spans="1:3" s="45" customFormat="1" ht="25.5">
      <c r="A38" s="87">
        <v>32</v>
      </c>
      <c r="B38" s="81" t="s">
        <v>219</v>
      </c>
      <c r="C38" s="436"/>
    </row>
    <row r="39" spans="1:3" s="45" customFormat="1" ht="25.5">
      <c r="A39" s="87">
        <v>33</v>
      </c>
      <c r="B39" s="81" t="s">
        <v>208</v>
      </c>
      <c r="C39" s="436"/>
    </row>
    <row r="40" spans="1:3" s="45" customFormat="1">
      <c r="A40" s="87">
        <v>34</v>
      </c>
      <c r="B40" s="85" t="s">
        <v>218</v>
      </c>
      <c r="C40" s="436"/>
    </row>
    <row r="41" spans="1:3" s="45" customFormat="1">
      <c r="A41" s="87">
        <v>35</v>
      </c>
      <c r="B41" s="86" t="s">
        <v>217</v>
      </c>
      <c r="C41" s="435">
        <f>C30-C35</f>
        <v>0</v>
      </c>
    </row>
    <row r="42" spans="1:3" s="45" customFormat="1">
      <c r="A42" s="87"/>
      <c r="B42" s="88"/>
      <c r="C42" s="436"/>
    </row>
    <row r="43" spans="1:3" s="45" customFormat="1">
      <c r="A43" s="87">
        <v>36</v>
      </c>
      <c r="B43" s="90" t="s">
        <v>216</v>
      </c>
      <c r="C43" s="435">
        <f>SUM(C44:C46)</f>
        <v>4423122.8126938688</v>
      </c>
    </row>
    <row r="44" spans="1:3" s="45" customFormat="1">
      <c r="A44" s="87">
        <v>37</v>
      </c>
      <c r="B44" s="78" t="s">
        <v>215</v>
      </c>
      <c r="C44" s="436">
        <f>'2.RC'!E30</f>
        <v>0</v>
      </c>
    </row>
    <row r="45" spans="1:3" s="45" customFormat="1">
      <c r="A45" s="87">
        <v>38</v>
      </c>
      <c r="B45" s="78" t="s">
        <v>214</v>
      </c>
      <c r="C45" s="436"/>
    </row>
    <row r="46" spans="1:3" s="45" customFormat="1">
      <c r="A46" s="87">
        <v>39</v>
      </c>
      <c r="B46" s="78" t="s">
        <v>213</v>
      </c>
      <c r="C46" s="436">
        <f>'8. LI2'!C9</f>
        <v>4423122.8126938688</v>
      </c>
    </row>
    <row r="47" spans="1:3" s="45" customFormat="1">
      <c r="A47" s="87">
        <v>40</v>
      </c>
      <c r="B47" s="90" t="s">
        <v>212</v>
      </c>
      <c r="C47" s="435">
        <f>SUM(C48:C51)</f>
        <v>0</v>
      </c>
    </row>
    <row r="48" spans="1:3" s="45" customFormat="1">
      <c r="A48" s="87">
        <v>41</v>
      </c>
      <c r="B48" s="81" t="s">
        <v>211</v>
      </c>
      <c r="C48" s="436"/>
    </row>
    <row r="49" spans="1:3" s="45" customFormat="1">
      <c r="A49" s="87">
        <v>42</v>
      </c>
      <c r="B49" s="82" t="s">
        <v>210</v>
      </c>
      <c r="C49" s="436"/>
    </row>
    <row r="50" spans="1:3" s="45" customFormat="1">
      <c r="A50" s="87">
        <v>43</v>
      </c>
      <c r="B50" s="81" t="s">
        <v>209</v>
      </c>
      <c r="C50" s="436"/>
    </row>
    <row r="51" spans="1:3" s="45" customFormat="1" ht="25.5">
      <c r="A51" s="87">
        <v>44</v>
      </c>
      <c r="B51" s="81" t="s">
        <v>208</v>
      </c>
      <c r="C51" s="436"/>
    </row>
    <row r="52" spans="1:3" s="45" customFormat="1" ht="13.5" thickBot="1">
      <c r="A52" s="91">
        <v>45</v>
      </c>
      <c r="B52" s="92" t="s">
        <v>207</v>
      </c>
      <c r="C52" s="438">
        <f>C43-C47</f>
        <v>4423122.8126938688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C19" sqref="C19"/>
    </sheetView>
  </sheetViews>
  <sheetFormatPr defaultColWidth="9.140625" defaultRowHeight="12.75"/>
  <cols>
    <col min="1" max="1" width="9.42578125" style="246" bestFit="1" customWidth="1"/>
    <col min="2" max="2" width="59" style="246" customWidth="1"/>
    <col min="3" max="3" width="6.7109375" style="246" bestFit="1" customWidth="1"/>
    <col min="4" max="4" width="13.5703125" style="246" bestFit="1" customWidth="1"/>
    <col min="5" max="16384" width="9.140625" style="246"/>
  </cols>
  <sheetData>
    <row r="1" spans="1:4">
      <c r="A1" s="337" t="s">
        <v>30</v>
      </c>
      <c r="B1" s="338" t="s">
        <v>439</v>
      </c>
    </row>
    <row r="2" spans="1:4" s="216" customFormat="1" ht="15.75" customHeight="1">
      <c r="A2" s="337" t="s">
        <v>31</v>
      </c>
      <c r="B2" s="339">
        <f>'1. key ratios '!B2</f>
        <v>44196</v>
      </c>
    </row>
    <row r="3" spans="1:4" s="216" customFormat="1" ht="15.75" customHeight="1"/>
    <row r="4" spans="1:4" ht="13.5" thickBot="1">
      <c r="A4" s="533" t="s">
        <v>410</v>
      </c>
      <c r="B4" s="315" t="s">
        <v>411</v>
      </c>
    </row>
    <row r="5" spans="1:4" s="316" customFormat="1">
      <c r="A5" s="559" t="s">
        <v>414</v>
      </c>
      <c r="B5" s="560"/>
      <c r="C5" s="304" t="s">
        <v>412</v>
      </c>
      <c r="D5" s="305" t="s">
        <v>413</v>
      </c>
    </row>
    <row r="6" spans="1:4" s="317" customFormat="1">
      <c r="A6" s="306">
        <v>1</v>
      </c>
      <c r="B6" s="307" t="s">
        <v>415</v>
      </c>
      <c r="C6" s="307"/>
      <c r="D6" s="308"/>
    </row>
    <row r="7" spans="1:4" s="317" customFormat="1">
      <c r="A7" s="309" t="s">
        <v>401</v>
      </c>
      <c r="B7" s="310" t="s">
        <v>416</v>
      </c>
      <c r="C7" s="495">
        <v>4.4999999999999998E-2</v>
      </c>
      <c r="D7" s="489">
        <f>C7*'5. RWA '!$C$13</f>
        <v>17198906.05509628</v>
      </c>
    </row>
    <row r="8" spans="1:4" s="317" customFormat="1">
      <c r="A8" s="309" t="s">
        <v>402</v>
      </c>
      <c r="B8" s="310" t="s">
        <v>417</v>
      </c>
      <c r="C8" s="496">
        <v>0.06</v>
      </c>
      <c r="D8" s="489">
        <f>C8*'5. RWA '!$C$13</f>
        <v>22931874.740128372</v>
      </c>
    </row>
    <row r="9" spans="1:4" s="317" customFormat="1">
      <c r="A9" s="309" t="s">
        <v>403</v>
      </c>
      <c r="B9" s="310" t="s">
        <v>418</v>
      </c>
      <c r="C9" s="496">
        <v>0.08</v>
      </c>
      <c r="D9" s="489">
        <f>C9*'5. RWA '!$C$13</f>
        <v>30575832.98683783</v>
      </c>
    </row>
    <row r="10" spans="1:4" s="317" customFormat="1">
      <c r="A10" s="306" t="s">
        <v>404</v>
      </c>
      <c r="B10" s="307" t="s">
        <v>419</v>
      </c>
      <c r="C10" s="307"/>
      <c r="D10" s="308"/>
    </row>
    <row r="11" spans="1:4" s="318" customFormat="1">
      <c r="A11" s="311" t="s">
        <v>405</v>
      </c>
      <c r="B11" s="312" t="s">
        <v>506</v>
      </c>
      <c r="C11" s="487">
        <v>0</v>
      </c>
      <c r="D11" s="490">
        <f>C11*'5. RWA '!$C$13</f>
        <v>0</v>
      </c>
    </row>
    <row r="12" spans="1:4" s="318" customFormat="1">
      <c r="A12" s="311" t="s">
        <v>406</v>
      </c>
      <c r="B12" s="312" t="s">
        <v>420</v>
      </c>
      <c r="C12" s="487">
        <v>0</v>
      </c>
      <c r="D12" s="490">
        <f>C12*'5. RWA '!$C$13</f>
        <v>0</v>
      </c>
    </row>
    <row r="13" spans="1:4" s="318" customFormat="1">
      <c r="A13" s="311" t="s">
        <v>407</v>
      </c>
      <c r="B13" s="312" t="s">
        <v>421</v>
      </c>
      <c r="C13" s="312"/>
      <c r="D13" s="490">
        <f>C13*'5. RWA '!$C$13</f>
        <v>0</v>
      </c>
    </row>
    <row r="14" spans="1:4" s="318" customFormat="1">
      <c r="A14" s="306" t="s">
        <v>408</v>
      </c>
      <c r="B14" s="307" t="s">
        <v>422</v>
      </c>
      <c r="C14" s="313"/>
      <c r="D14" s="491"/>
    </row>
    <row r="15" spans="1:4" s="318" customFormat="1">
      <c r="A15" s="311">
        <v>3.1</v>
      </c>
      <c r="B15" s="312" t="s">
        <v>428</v>
      </c>
      <c r="C15" s="487">
        <v>1.5719063843929397E-2</v>
      </c>
      <c r="D15" s="490">
        <f>C15*'5. RWA '!$C$13</f>
        <v>6007793.385017829</v>
      </c>
    </row>
    <row r="16" spans="1:4" s="318" customFormat="1">
      <c r="A16" s="311">
        <v>3.2</v>
      </c>
      <c r="B16" s="312" t="s">
        <v>429</v>
      </c>
      <c r="C16" s="487">
        <v>2.0981344705225728E-2</v>
      </c>
      <c r="D16" s="490">
        <f>C16*'5. RWA '!$C$13</f>
        <v>8019026.1443282003</v>
      </c>
    </row>
    <row r="17" spans="1:6" s="317" customFormat="1">
      <c r="A17" s="311">
        <v>3.3</v>
      </c>
      <c r="B17" s="312" t="s">
        <v>430</v>
      </c>
      <c r="C17" s="529">
        <v>8.6267570037243141E-2</v>
      </c>
      <c r="D17" s="492">
        <f>C17*'5. RWA '!$C$13</f>
        <v>32971285.170488521</v>
      </c>
    </row>
    <row r="18" spans="1:6" s="316" customFormat="1">
      <c r="A18" s="561" t="s">
        <v>425</v>
      </c>
      <c r="B18" s="562"/>
      <c r="C18" s="493" t="s">
        <v>412</v>
      </c>
      <c r="D18" s="494" t="s">
        <v>413</v>
      </c>
    </row>
    <row r="19" spans="1:6" s="317" customFormat="1">
      <c r="A19" s="314">
        <v>4</v>
      </c>
      <c r="B19" s="312" t="s">
        <v>423</v>
      </c>
      <c r="C19" s="487">
        <f>C7+C11+C12+C13+C15</f>
        <v>6.0719063843929395E-2</v>
      </c>
      <c r="D19" s="485">
        <f>C19*'5. RWA '!$C$13</f>
        <v>23206699.440114107</v>
      </c>
    </row>
    <row r="20" spans="1:6" s="317" customFormat="1">
      <c r="A20" s="314">
        <v>5</v>
      </c>
      <c r="B20" s="312" t="s">
        <v>140</v>
      </c>
      <c r="C20" s="487">
        <f>C8+C11+C12+C13+C16</f>
        <v>8.0981344705225722E-2</v>
      </c>
      <c r="D20" s="485">
        <f>C20*'5. RWA '!$C$13</f>
        <v>30950900.884456571</v>
      </c>
    </row>
    <row r="21" spans="1:6" s="317" customFormat="1" ht="13.5" thickBot="1">
      <c r="A21" s="319" t="s">
        <v>409</v>
      </c>
      <c r="B21" s="320" t="s">
        <v>424</v>
      </c>
      <c r="C21" s="488">
        <f>C9+C11+C12+C13+C17</f>
        <v>0.16626757003724313</v>
      </c>
      <c r="D21" s="486">
        <f>C21*'5. RWA '!$C$13</f>
        <v>63547118.157326348</v>
      </c>
    </row>
    <row r="22" spans="1:6">
      <c r="F22" s="267"/>
    </row>
    <row r="23" spans="1:6" ht="51">
      <c r="B23" s="266" t="s">
        <v>500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4" sqref="B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337" t="s">
        <v>30</v>
      </c>
      <c r="B1" s="338" t="s">
        <v>439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44196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291</v>
      </c>
      <c r="D4" s="31" t="s">
        <v>73</v>
      </c>
    </row>
    <row r="5" spans="1:6" ht="25.5">
      <c r="A5" s="94" t="s">
        <v>6</v>
      </c>
      <c r="B5" s="237" t="s">
        <v>345</v>
      </c>
      <c r="C5" s="95" t="s">
        <v>93</v>
      </c>
      <c r="D5" s="96" t="s">
        <v>94</v>
      </c>
    </row>
    <row r="6" spans="1:6">
      <c r="A6" s="64">
        <v>1</v>
      </c>
      <c r="B6" s="97" t="s">
        <v>35</v>
      </c>
      <c r="C6" s="98">
        <f>'2.RC'!E7</f>
        <v>3167089.66</v>
      </c>
      <c r="D6" s="99"/>
      <c r="E6" s="100"/>
    </row>
    <row r="7" spans="1:6">
      <c r="A7" s="64">
        <v>2</v>
      </c>
      <c r="B7" s="101" t="s">
        <v>36</v>
      </c>
      <c r="C7" s="102">
        <f>'2.RC'!E8</f>
        <v>55598478.539999999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9935110.6185219996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32435066.865535133</v>
      </c>
      <c r="D10" s="103"/>
      <c r="E10" s="100"/>
    </row>
    <row r="11" spans="1:6">
      <c r="A11" s="64">
        <v>6.1</v>
      </c>
      <c r="B11" s="208" t="s">
        <v>40</v>
      </c>
      <c r="C11" s="104">
        <f>'2.RC'!E12</f>
        <v>229735047.61000001</v>
      </c>
      <c r="D11" s="105"/>
      <c r="E11" s="106"/>
    </row>
    <row r="12" spans="1:6">
      <c r="A12" s="64">
        <v>6.2</v>
      </c>
      <c r="B12" s="209" t="s">
        <v>41</v>
      </c>
      <c r="C12" s="439">
        <f>'2.RC'!E13</f>
        <v>-11622777.537200002</v>
      </c>
      <c r="D12" s="105"/>
      <c r="E12" s="106"/>
    </row>
    <row r="13" spans="1:6">
      <c r="A13" s="64" t="s">
        <v>508</v>
      </c>
      <c r="B13" s="209" t="s">
        <v>512</v>
      </c>
      <c r="C13" s="439">
        <v>-3979913.031200001</v>
      </c>
      <c r="D13" s="105"/>
      <c r="E13" s="106"/>
    </row>
    <row r="14" spans="1:6">
      <c r="A14" s="64" t="s">
        <v>511</v>
      </c>
      <c r="B14" s="209" t="s">
        <v>507</v>
      </c>
      <c r="C14" s="439">
        <f>-'8. LI2'!C12</f>
        <v>-3431907</v>
      </c>
      <c r="D14" s="105"/>
      <c r="E14" s="106"/>
    </row>
    <row r="15" spans="1:6">
      <c r="A15" s="64">
        <v>6</v>
      </c>
      <c r="B15" s="101" t="s">
        <v>42</v>
      </c>
      <c r="C15" s="107">
        <f>C11+C12</f>
        <v>218112270.07280001</v>
      </c>
      <c r="D15" s="105"/>
      <c r="E15" s="100"/>
    </row>
    <row r="16" spans="1:6">
      <c r="A16" s="64">
        <v>7</v>
      </c>
      <c r="B16" s="101" t="s">
        <v>43</v>
      </c>
      <c r="C16" s="102">
        <f>'2.RC'!E15</f>
        <v>2566180.3501340002</v>
      </c>
      <c r="D16" s="103"/>
      <c r="E16" s="100"/>
    </row>
    <row r="17" spans="1:5">
      <c r="A17" s="64">
        <v>8</v>
      </c>
      <c r="B17" s="235" t="s">
        <v>203</v>
      </c>
      <c r="C17" s="102">
        <f>'2.RC'!E16</f>
        <v>1102533.5200000003</v>
      </c>
      <c r="D17" s="103"/>
      <c r="E17" s="100"/>
    </row>
    <row r="18" spans="1:5">
      <c r="A18" s="64">
        <v>9</v>
      </c>
      <c r="B18" s="101" t="s">
        <v>44</v>
      </c>
      <c r="C18" s="102">
        <f>'2.RC'!E17</f>
        <v>0</v>
      </c>
      <c r="D18" s="103"/>
      <c r="E18" s="100"/>
    </row>
    <row r="19" spans="1:5">
      <c r="A19" s="64">
        <v>9.1</v>
      </c>
      <c r="B19" s="108" t="s">
        <v>88</v>
      </c>
      <c r="C19" s="104"/>
      <c r="D19" s="103"/>
      <c r="E19" s="100"/>
    </row>
    <row r="20" spans="1:5">
      <c r="A20" s="64">
        <v>9.1999999999999993</v>
      </c>
      <c r="B20" s="108" t="s">
        <v>89</v>
      </c>
      <c r="C20" s="104"/>
      <c r="D20" s="103"/>
      <c r="E20" s="100"/>
    </row>
    <row r="21" spans="1:5">
      <c r="A21" s="64">
        <v>9.3000000000000007</v>
      </c>
      <c r="B21" s="210" t="s">
        <v>273</v>
      </c>
      <c r="C21" s="104"/>
      <c r="D21" s="103"/>
      <c r="E21" s="100"/>
    </row>
    <row r="22" spans="1:5">
      <c r="A22" s="64">
        <v>10</v>
      </c>
      <c r="B22" s="101" t="s">
        <v>45</v>
      </c>
      <c r="C22" s="102">
        <f>'2.RC'!E18</f>
        <v>1471670.1799999992</v>
      </c>
      <c r="D22" s="103"/>
      <c r="E22" s="100"/>
    </row>
    <row r="23" spans="1:5">
      <c r="A23" s="64">
        <v>10.1</v>
      </c>
      <c r="B23" s="108" t="s">
        <v>90</v>
      </c>
      <c r="C23" s="102">
        <f>'9.Capital'!C15</f>
        <v>317581.60999999987</v>
      </c>
      <c r="D23" s="109" t="s">
        <v>92</v>
      </c>
      <c r="E23" s="100"/>
    </row>
    <row r="24" spans="1:5">
      <c r="A24" s="64">
        <v>11</v>
      </c>
      <c r="B24" s="110" t="s">
        <v>46</v>
      </c>
      <c r="C24" s="111">
        <f>'2.RC'!E19</f>
        <v>2929433.4276665859</v>
      </c>
      <c r="D24" s="112"/>
      <c r="E24" s="100"/>
    </row>
    <row r="25" spans="1:5" ht="15">
      <c r="A25" s="64">
        <v>12</v>
      </c>
      <c r="B25" s="113" t="s">
        <v>47</v>
      </c>
      <c r="C25" s="114">
        <f>SUM(C6:C10,C15:C18,C22,C24)</f>
        <v>327317833.23465776</v>
      </c>
      <c r="D25" s="115"/>
      <c r="E25" s="116"/>
    </row>
    <row r="26" spans="1:5">
      <c r="A26" s="64">
        <v>13</v>
      </c>
      <c r="B26" s="101" t="s">
        <v>49</v>
      </c>
      <c r="C26" s="117">
        <f>'2.RC'!E22</f>
        <v>130739241.7511</v>
      </c>
      <c r="D26" s="118"/>
      <c r="E26" s="100"/>
    </row>
    <row r="27" spans="1:5">
      <c r="A27" s="64">
        <v>14</v>
      </c>
      <c r="B27" s="101" t="s">
        <v>50</v>
      </c>
      <c r="C27" s="102">
        <f>'2.RC'!E23</f>
        <v>37817055.400000006</v>
      </c>
      <c r="D27" s="103"/>
      <c r="E27" s="100"/>
    </row>
    <row r="28" spans="1:5">
      <c r="A28" s="64">
        <v>15</v>
      </c>
      <c r="B28" s="101" t="s">
        <v>51</v>
      </c>
      <c r="C28" s="102">
        <f>'2.RC'!E24</f>
        <v>0</v>
      </c>
      <c r="D28" s="103"/>
      <c r="E28" s="100"/>
    </row>
    <row r="29" spans="1:5">
      <c r="A29" s="64">
        <v>16</v>
      </c>
      <c r="B29" s="101" t="s">
        <v>52</v>
      </c>
      <c r="C29" s="102">
        <f>'2.RC'!E25</f>
        <v>37587260.629999995</v>
      </c>
      <c r="D29" s="103"/>
      <c r="E29" s="100"/>
    </row>
    <row r="30" spans="1:5">
      <c r="A30" s="64">
        <v>17</v>
      </c>
      <c r="B30" s="101" t="s">
        <v>53</v>
      </c>
      <c r="C30" s="102">
        <f>'2.RC'!E26</f>
        <v>0</v>
      </c>
      <c r="D30" s="103"/>
      <c r="E30" s="100"/>
    </row>
    <row r="31" spans="1:5">
      <c r="A31" s="64">
        <v>18</v>
      </c>
      <c r="B31" s="101" t="s">
        <v>54</v>
      </c>
      <c r="C31" s="102">
        <f>'2.RC'!E27</f>
        <v>34125333.304208003</v>
      </c>
      <c r="D31" s="103"/>
      <c r="E31" s="100"/>
    </row>
    <row r="32" spans="1:5">
      <c r="A32" s="64">
        <v>19</v>
      </c>
      <c r="B32" s="101" t="s">
        <v>55</v>
      </c>
      <c r="C32" s="102">
        <f>'2.RC'!E28</f>
        <v>1259631.5808940001</v>
      </c>
      <c r="D32" s="103"/>
      <c r="E32" s="100"/>
    </row>
    <row r="33" spans="1:5">
      <c r="A33" s="64">
        <v>20</v>
      </c>
      <c r="B33" s="101" t="s">
        <v>56</v>
      </c>
      <c r="C33" s="102">
        <f>'2.RC'!E29</f>
        <v>2473283.1203819998</v>
      </c>
      <c r="D33" s="103"/>
      <c r="E33" s="100"/>
    </row>
    <row r="34" spans="1:5">
      <c r="A34" s="64">
        <v>21</v>
      </c>
      <c r="B34" s="110" t="s">
        <v>57</v>
      </c>
      <c r="C34" s="111">
        <f>'2.RC'!E30</f>
        <v>0</v>
      </c>
      <c r="D34" s="112"/>
      <c r="E34" s="100"/>
    </row>
    <row r="35" spans="1:5">
      <c r="A35" s="64">
        <v>21.1</v>
      </c>
      <c r="B35" s="119" t="s">
        <v>91</v>
      </c>
      <c r="C35" s="120">
        <f>'9.Capital'!C44</f>
        <v>0</v>
      </c>
      <c r="D35" s="109" t="s">
        <v>446</v>
      </c>
      <c r="E35" s="100"/>
    </row>
    <row r="36" spans="1:5" ht="15">
      <c r="A36" s="64">
        <v>22</v>
      </c>
      <c r="B36" s="113" t="s">
        <v>58</v>
      </c>
      <c r="C36" s="114">
        <f>SUM(C26:C34)</f>
        <v>244001805.78658402</v>
      </c>
      <c r="D36" s="115"/>
      <c r="E36" s="116"/>
    </row>
    <row r="37" spans="1:5">
      <c r="A37" s="64">
        <v>23</v>
      </c>
      <c r="B37" s="110" t="s">
        <v>60</v>
      </c>
      <c r="C37" s="102">
        <f>'9.Capital'!C7</f>
        <v>69161600</v>
      </c>
      <c r="D37" s="109" t="s">
        <v>447</v>
      </c>
      <c r="E37" s="100"/>
    </row>
    <row r="38" spans="1:5">
      <c r="A38" s="64">
        <v>24</v>
      </c>
      <c r="B38" s="110" t="s">
        <v>61</v>
      </c>
      <c r="C38" s="102"/>
      <c r="D38" s="103"/>
      <c r="E38" s="100"/>
    </row>
    <row r="39" spans="1:5">
      <c r="A39" s="64">
        <v>25</v>
      </c>
      <c r="B39" s="110" t="s">
        <v>62</v>
      </c>
      <c r="C39" s="102"/>
      <c r="D39" s="103"/>
      <c r="E39" s="100"/>
    </row>
    <row r="40" spans="1:5">
      <c r="A40" s="64">
        <v>26</v>
      </c>
      <c r="B40" s="110" t="s">
        <v>63</v>
      </c>
      <c r="C40" s="102"/>
      <c r="D40" s="103"/>
      <c r="E40" s="100"/>
    </row>
    <row r="41" spans="1:5">
      <c r="A41" s="64">
        <v>27</v>
      </c>
      <c r="B41" s="110" t="s">
        <v>64</v>
      </c>
      <c r="C41" s="102"/>
      <c r="D41" s="103"/>
      <c r="E41" s="100"/>
    </row>
    <row r="42" spans="1:5">
      <c r="A42" s="64">
        <v>28</v>
      </c>
      <c r="B42" s="110" t="s">
        <v>65</v>
      </c>
      <c r="C42" s="102">
        <f>'9.Capital'!C11</f>
        <v>14154426.987222282</v>
      </c>
      <c r="D42" s="109" t="s">
        <v>448</v>
      </c>
      <c r="E42" s="100"/>
    </row>
    <row r="43" spans="1:5">
      <c r="A43" s="64">
        <v>29</v>
      </c>
      <c r="B43" s="110" t="s">
        <v>66</v>
      </c>
      <c r="C43" s="102"/>
      <c r="D43" s="103"/>
      <c r="E43" s="100"/>
    </row>
    <row r="44" spans="1:5" ht="15.75" thickBot="1">
      <c r="A44" s="121">
        <v>30</v>
      </c>
      <c r="B44" s="122" t="s">
        <v>271</v>
      </c>
      <c r="C44" s="123">
        <f>SUM(C37:C43)</f>
        <v>83316026.987222284</v>
      </c>
      <c r="D44" s="124"/>
      <c r="E44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80.5703125" style="4" bestFit="1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29" bestFit="1" customWidth="1"/>
    <col min="13" max="13" width="16.28515625" style="29" bestFit="1" customWidth="1"/>
    <col min="14" max="14" width="13" style="29" bestFit="1" customWidth="1"/>
    <col min="15" max="17" width="12.28515625" style="29" bestFit="1" customWidth="1"/>
    <col min="18" max="18" width="13" style="29" bestFit="1" customWidth="1"/>
    <col min="19" max="19" width="18.5703125" style="29" customWidth="1"/>
    <col min="20" max="16384" width="9.140625" style="29"/>
  </cols>
  <sheetData>
    <row r="1" spans="1:19">
      <c r="A1" s="337" t="s">
        <v>30</v>
      </c>
      <c r="B1" s="338" t="s">
        <v>439</v>
      </c>
    </row>
    <row r="2" spans="1:19">
      <c r="A2" s="337" t="s">
        <v>31</v>
      </c>
      <c r="B2" s="339">
        <f>'1. key ratios '!B2</f>
        <v>44196</v>
      </c>
    </row>
    <row r="4" spans="1:19" ht="26.25" thickBot="1">
      <c r="A4" s="4" t="s">
        <v>253</v>
      </c>
      <c r="B4" s="254" t="s">
        <v>380</v>
      </c>
    </row>
    <row r="5" spans="1:19" s="244" customFormat="1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363</v>
      </c>
      <c r="P5" s="241" t="s">
        <v>364</v>
      </c>
      <c r="Q5" s="241" t="s">
        <v>365</v>
      </c>
      <c r="R5" s="242" t="s">
        <v>366</v>
      </c>
      <c r="S5" s="243" t="s">
        <v>367</v>
      </c>
    </row>
    <row r="6" spans="1:19" s="244" customFormat="1" ht="99" customHeight="1">
      <c r="A6" s="245"/>
      <c r="B6" s="567" t="s">
        <v>368</v>
      </c>
      <c r="C6" s="563">
        <v>0</v>
      </c>
      <c r="D6" s="564"/>
      <c r="E6" s="563">
        <v>0.2</v>
      </c>
      <c r="F6" s="564"/>
      <c r="G6" s="563">
        <v>0.35</v>
      </c>
      <c r="H6" s="564"/>
      <c r="I6" s="563">
        <v>0.5</v>
      </c>
      <c r="J6" s="564"/>
      <c r="K6" s="563">
        <v>0.75</v>
      </c>
      <c r="L6" s="564"/>
      <c r="M6" s="563">
        <v>1</v>
      </c>
      <c r="N6" s="564"/>
      <c r="O6" s="563">
        <v>1.5</v>
      </c>
      <c r="P6" s="564"/>
      <c r="Q6" s="563">
        <v>2.5</v>
      </c>
      <c r="R6" s="564"/>
      <c r="S6" s="565" t="s">
        <v>252</v>
      </c>
    </row>
    <row r="7" spans="1:19" s="244" customFormat="1" ht="30.75" customHeight="1">
      <c r="A7" s="245"/>
      <c r="B7" s="568"/>
      <c r="C7" s="236" t="s">
        <v>255</v>
      </c>
      <c r="D7" s="236" t="s">
        <v>254</v>
      </c>
      <c r="E7" s="236" t="s">
        <v>255</v>
      </c>
      <c r="F7" s="236" t="s">
        <v>254</v>
      </c>
      <c r="G7" s="236" t="s">
        <v>255</v>
      </c>
      <c r="H7" s="236" t="s">
        <v>254</v>
      </c>
      <c r="I7" s="236" t="s">
        <v>255</v>
      </c>
      <c r="J7" s="236" t="s">
        <v>254</v>
      </c>
      <c r="K7" s="236" t="s">
        <v>255</v>
      </c>
      <c r="L7" s="236" t="s">
        <v>254</v>
      </c>
      <c r="M7" s="236" t="s">
        <v>255</v>
      </c>
      <c r="N7" s="236" t="s">
        <v>254</v>
      </c>
      <c r="O7" s="236" t="s">
        <v>255</v>
      </c>
      <c r="P7" s="236" t="s">
        <v>254</v>
      </c>
      <c r="Q7" s="236" t="s">
        <v>255</v>
      </c>
      <c r="R7" s="236" t="s">
        <v>254</v>
      </c>
      <c r="S7" s="566"/>
    </row>
    <row r="8" spans="1:19" s="127" customFormat="1">
      <c r="A8" s="125">
        <v>1</v>
      </c>
      <c r="B8" s="1" t="s">
        <v>96</v>
      </c>
      <c r="C8" s="126">
        <v>11158680.696553268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62745148.389843062</v>
      </c>
      <c r="N8" s="126"/>
      <c r="O8" s="126"/>
      <c r="P8" s="126"/>
      <c r="Q8" s="126"/>
      <c r="R8" s="126"/>
      <c r="S8" s="442">
        <f>$C$6*SUM(C8:D8)+$E$6*SUM(E8:F8)+$G$6*SUM(G8:H8)+$I$6*SUM(I8:J8)+$K$6*SUM(K8:L8)+$M$6*SUM(M8:N8)+$O$6*SUM(O8:P8)+$Q$6*SUM(Q8:R8)</f>
        <v>62745148.389843062</v>
      </c>
    </row>
    <row r="9" spans="1:19" s="127" customFormat="1">
      <c r="A9" s="125">
        <v>2</v>
      </c>
      <c r="B9" s="1" t="s">
        <v>97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2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2">
        <f t="shared" si="0"/>
        <v>0</v>
      </c>
    </row>
    <row r="11" spans="1:19" s="127" customFormat="1">
      <c r="A11" s="125">
        <v>4</v>
      </c>
      <c r="B11" s="1" t="s">
        <v>98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2">
        <f t="shared" si="0"/>
        <v>0</v>
      </c>
    </row>
    <row r="12" spans="1:19" s="127" customFormat="1">
      <c r="A12" s="125">
        <v>5</v>
      </c>
      <c r="B12" s="1" t="s">
        <v>99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2">
        <f t="shared" si="0"/>
        <v>0</v>
      </c>
    </row>
    <row r="13" spans="1:19" s="127" customFormat="1">
      <c r="A13" s="125">
        <v>6</v>
      </c>
      <c r="B13" s="1" t="s">
        <v>100</v>
      </c>
      <c r="C13" s="126"/>
      <c r="D13" s="126"/>
      <c r="E13" s="126">
        <v>5669.79</v>
      </c>
      <c r="F13" s="126">
        <v>0</v>
      </c>
      <c r="G13" s="126"/>
      <c r="H13" s="126"/>
      <c r="I13" s="126">
        <v>14689047.263166001</v>
      </c>
      <c r="J13" s="126">
        <v>3754549.645</v>
      </c>
      <c r="K13" s="126"/>
      <c r="L13" s="126"/>
      <c r="M13" s="126">
        <v>4435230.8853559997</v>
      </c>
      <c r="N13" s="126">
        <v>19495704.380000003</v>
      </c>
      <c r="O13" s="126"/>
      <c r="P13" s="126"/>
      <c r="Q13" s="126"/>
      <c r="R13" s="126"/>
      <c r="S13" s="442">
        <f t="shared" si="0"/>
        <v>33153867.677439004</v>
      </c>
    </row>
    <row r="14" spans="1:19" s="127" customFormat="1">
      <c r="A14" s="125">
        <v>7</v>
      </c>
      <c r="B14" s="1" t="s">
        <v>101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225980440.46056083</v>
      </c>
      <c r="N14" s="126">
        <v>24092604.759999998</v>
      </c>
      <c r="O14" s="126"/>
      <c r="P14" s="126"/>
      <c r="Q14" s="126"/>
      <c r="R14" s="126"/>
      <c r="S14" s="442">
        <f t="shared" si="0"/>
        <v>250073045.22056082</v>
      </c>
    </row>
    <row r="15" spans="1:19" s="127" customFormat="1">
      <c r="A15" s="125">
        <v>8</v>
      </c>
      <c r="B15" s="1" t="s">
        <v>102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>
        <v>26438.65</v>
      </c>
      <c r="O15" s="126"/>
      <c r="P15" s="126"/>
      <c r="Q15" s="126"/>
      <c r="R15" s="126"/>
      <c r="S15" s="442">
        <f t="shared" si="0"/>
        <v>26438.65</v>
      </c>
    </row>
    <row r="16" spans="1:19" s="127" customFormat="1">
      <c r="A16" s="125">
        <v>9</v>
      </c>
      <c r="B16" s="1" t="s">
        <v>103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442">
        <f t="shared" si="0"/>
        <v>0</v>
      </c>
    </row>
    <row r="17" spans="1:19" s="127" customFormat="1">
      <c r="A17" s="125">
        <v>10</v>
      </c>
      <c r="B17" s="1" t="s">
        <v>104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1516884.2270000007</v>
      </c>
      <c r="N17" s="126"/>
      <c r="O17" s="126"/>
      <c r="P17" s="126"/>
      <c r="Q17" s="126"/>
      <c r="R17" s="126"/>
      <c r="S17" s="442">
        <f t="shared" si="0"/>
        <v>1516884.2270000007</v>
      </c>
    </row>
    <row r="18" spans="1:19" s="127" customFormat="1">
      <c r="A18" s="125">
        <v>11</v>
      </c>
      <c r="B18" s="1" t="s">
        <v>105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2">
        <f t="shared" si="0"/>
        <v>0</v>
      </c>
    </row>
    <row r="19" spans="1:19" s="127" customFormat="1">
      <c r="A19" s="125">
        <v>12</v>
      </c>
      <c r="B19" s="1" t="s">
        <v>106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2">
        <f t="shared" si="0"/>
        <v>0</v>
      </c>
    </row>
    <row r="20" spans="1:19" s="127" customFormat="1">
      <c r="A20" s="125">
        <v>13</v>
      </c>
      <c r="B20" s="1" t="s">
        <v>251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2">
        <f t="shared" si="0"/>
        <v>0</v>
      </c>
    </row>
    <row r="21" spans="1:19" s="127" customFormat="1">
      <c r="A21" s="125">
        <v>14</v>
      </c>
      <c r="B21" s="1" t="s">
        <v>108</v>
      </c>
      <c r="C21" s="126">
        <v>3167089.66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11223531.192666583</v>
      </c>
      <c r="N21" s="126"/>
      <c r="O21" s="126">
        <v>0</v>
      </c>
      <c r="P21" s="126"/>
      <c r="Q21" s="126">
        <v>0</v>
      </c>
      <c r="R21" s="126"/>
      <c r="S21" s="442">
        <f t="shared" si="0"/>
        <v>11223531.192666583</v>
      </c>
    </row>
    <row r="22" spans="1:19" ht="13.5" thickBot="1">
      <c r="A22" s="128"/>
      <c r="B22" s="129" t="s">
        <v>109</v>
      </c>
      <c r="C22" s="440">
        <f>SUM(C8:C21)</f>
        <v>14325770.356553268</v>
      </c>
      <c r="D22" s="440">
        <f t="shared" ref="D22:J22" si="1">SUM(D8:D21)</f>
        <v>0</v>
      </c>
      <c r="E22" s="440">
        <f t="shared" si="1"/>
        <v>5669.79</v>
      </c>
      <c r="F22" s="440">
        <f t="shared" si="1"/>
        <v>0</v>
      </c>
      <c r="G22" s="440">
        <f t="shared" si="1"/>
        <v>0</v>
      </c>
      <c r="H22" s="440">
        <f t="shared" si="1"/>
        <v>0</v>
      </c>
      <c r="I22" s="440">
        <f t="shared" si="1"/>
        <v>14689047.263166001</v>
      </c>
      <c r="J22" s="440">
        <f t="shared" si="1"/>
        <v>3754549.645</v>
      </c>
      <c r="K22" s="440">
        <f t="shared" ref="K22:S22" si="2">SUM(K8:K21)</f>
        <v>0</v>
      </c>
      <c r="L22" s="440">
        <f t="shared" si="2"/>
        <v>0</v>
      </c>
      <c r="M22" s="440">
        <f t="shared" si="2"/>
        <v>305901235.15542644</v>
      </c>
      <c r="N22" s="440">
        <f t="shared" si="2"/>
        <v>43614747.789999999</v>
      </c>
      <c r="O22" s="440">
        <f t="shared" si="2"/>
        <v>0</v>
      </c>
      <c r="P22" s="440">
        <f t="shared" si="2"/>
        <v>0</v>
      </c>
      <c r="Q22" s="440">
        <f t="shared" si="2"/>
        <v>0</v>
      </c>
      <c r="R22" s="440">
        <f t="shared" si="2"/>
        <v>0</v>
      </c>
      <c r="S22" s="441">
        <f t="shared" si="2"/>
        <v>358738915.35750943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29"/>
  </cols>
  <sheetData>
    <row r="1" spans="1:22">
      <c r="A1" s="337" t="s">
        <v>30</v>
      </c>
      <c r="B1" s="338" t="s">
        <v>439</v>
      </c>
    </row>
    <row r="2" spans="1:22">
      <c r="A2" s="337" t="s">
        <v>31</v>
      </c>
      <c r="B2" s="339">
        <f>'1. key ratios '!B2</f>
        <v>44196</v>
      </c>
    </row>
    <row r="4" spans="1:22" ht="13.5" thickBot="1">
      <c r="A4" s="4" t="s">
        <v>371</v>
      </c>
      <c r="B4" s="130" t="s">
        <v>95</v>
      </c>
      <c r="V4" s="31" t="s">
        <v>73</v>
      </c>
    </row>
    <row r="5" spans="1:22" ht="12.75" customHeight="1">
      <c r="A5" s="131"/>
      <c r="B5" s="132"/>
      <c r="C5" s="569" t="s">
        <v>282</v>
      </c>
      <c r="D5" s="570"/>
      <c r="E5" s="570"/>
      <c r="F5" s="570"/>
      <c r="G5" s="570"/>
      <c r="H5" s="570"/>
      <c r="I5" s="570"/>
      <c r="J5" s="570"/>
      <c r="K5" s="570"/>
      <c r="L5" s="571"/>
      <c r="M5" s="572" t="s">
        <v>283</v>
      </c>
      <c r="N5" s="573"/>
      <c r="O5" s="573"/>
      <c r="P5" s="573"/>
      <c r="Q5" s="573"/>
      <c r="R5" s="573"/>
      <c r="S5" s="574"/>
      <c r="T5" s="577" t="s">
        <v>369</v>
      </c>
      <c r="U5" s="577" t="s">
        <v>370</v>
      </c>
      <c r="V5" s="575" t="s">
        <v>121</v>
      </c>
    </row>
    <row r="6" spans="1:22" s="70" customFormat="1" ht="102">
      <c r="A6" s="67"/>
      <c r="B6" s="133"/>
      <c r="C6" s="134" t="s">
        <v>110</v>
      </c>
      <c r="D6" s="213" t="s">
        <v>111</v>
      </c>
      <c r="E6" s="157" t="s">
        <v>285</v>
      </c>
      <c r="F6" s="157" t="s">
        <v>286</v>
      </c>
      <c r="G6" s="213" t="s">
        <v>289</v>
      </c>
      <c r="H6" s="213" t="s">
        <v>284</v>
      </c>
      <c r="I6" s="213" t="s">
        <v>112</v>
      </c>
      <c r="J6" s="213" t="s">
        <v>113</v>
      </c>
      <c r="K6" s="135" t="s">
        <v>114</v>
      </c>
      <c r="L6" s="136" t="s">
        <v>115</v>
      </c>
      <c r="M6" s="134" t="s">
        <v>287</v>
      </c>
      <c r="N6" s="135" t="s">
        <v>116</v>
      </c>
      <c r="O6" s="135" t="s">
        <v>117</v>
      </c>
      <c r="P6" s="135" t="s">
        <v>118</v>
      </c>
      <c r="Q6" s="135" t="s">
        <v>119</v>
      </c>
      <c r="R6" s="135" t="s">
        <v>120</v>
      </c>
      <c r="S6" s="238" t="s">
        <v>288</v>
      </c>
      <c r="T6" s="578"/>
      <c r="U6" s="578"/>
      <c r="V6" s="576"/>
    </row>
    <row r="7" spans="1:22" s="127" customFormat="1">
      <c r="A7" s="137">
        <v>1</v>
      </c>
      <c r="B7" s="1" t="s">
        <v>96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47"/>
      <c r="U7" s="447"/>
      <c r="V7" s="446">
        <f>SUM(C7:S7)</f>
        <v>0</v>
      </c>
    </row>
    <row r="8" spans="1:22" s="127" customFormat="1">
      <c r="A8" s="137">
        <v>2</v>
      </c>
      <c r="B8" s="1" t="s">
        <v>97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47"/>
      <c r="U8" s="447"/>
      <c r="V8" s="446">
        <f t="shared" ref="V8:V20" si="0">SUM(C8:S8)</f>
        <v>0</v>
      </c>
    </row>
    <row r="9" spans="1:22" s="127" customFormat="1">
      <c r="A9" s="137">
        <v>3</v>
      </c>
      <c r="B9" s="1" t="s">
        <v>275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47"/>
      <c r="U9" s="447"/>
      <c r="V9" s="446">
        <f t="shared" si="0"/>
        <v>0</v>
      </c>
    </row>
    <row r="10" spans="1:22" s="127" customFormat="1">
      <c r="A10" s="137">
        <v>4</v>
      </c>
      <c r="B10" s="1" t="s">
        <v>98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47"/>
      <c r="U10" s="447"/>
      <c r="V10" s="446">
        <f t="shared" si="0"/>
        <v>0</v>
      </c>
    </row>
    <row r="11" spans="1:22" s="127" customFormat="1">
      <c r="A11" s="137">
        <v>5</v>
      </c>
      <c r="B11" s="1" t="s">
        <v>99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47"/>
      <c r="U11" s="447"/>
      <c r="V11" s="446">
        <f t="shared" si="0"/>
        <v>0</v>
      </c>
    </row>
    <row r="12" spans="1:22" s="127" customFormat="1">
      <c r="A12" s="137">
        <v>6</v>
      </c>
      <c r="B12" s="1" t="s">
        <v>100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47"/>
      <c r="U12" s="447"/>
      <c r="V12" s="446">
        <f t="shared" si="0"/>
        <v>0</v>
      </c>
    </row>
    <row r="13" spans="1:22" s="127" customFormat="1">
      <c r="A13" s="137">
        <v>7</v>
      </c>
      <c r="B13" s="1" t="s">
        <v>101</v>
      </c>
      <c r="C13" s="138"/>
      <c r="D13" s="126">
        <v>1457183.3419999999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47">
        <v>698922.34199999995</v>
      </c>
      <c r="U13" s="447">
        <v>758261</v>
      </c>
      <c r="V13" s="446">
        <f t="shared" si="0"/>
        <v>1457183.3419999999</v>
      </c>
    </row>
    <row r="14" spans="1:22" s="127" customFormat="1">
      <c r="A14" s="137">
        <v>8</v>
      </c>
      <c r="B14" s="1" t="s">
        <v>102</v>
      </c>
      <c r="C14" s="138"/>
      <c r="D14" s="126">
        <v>0</v>
      </c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47">
        <v>0</v>
      </c>
      <c r="U14" s="447"/>
      <c r="V14" s="446">
        <f t="shared" si="0"/>
        <v>0</v>
      </c>
    </row>
    <row r="15" spans="1:22" s="127" customFormat="1">
      <c r="A15" s="137">
        <v>9</v>
      </c>
      <c r="B15" s="1" t="s">
        <v>103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47"/>
      <c r="U15" s="447"/>
      <c r="V15" s="446">
        <f t="shared" si="0"/>
        <v>0</v>
      </c>
    </row>
    <row r="16" spans="1:22" s="127" customFormat="1">
      <c r="A16" s="137">
        <v>10</v>
      </c>
      <c r="B16" s="1" t="s">
        <v>104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47"/>
      <c r="U16" s="447"/>
      <c r="V16" s="446">
        <f t="shared" si="0"/>
        <v>0</v>
      </c>
    </row>
    <row r="17" spans="1:22" s="127" customFormat="1">
      <c r="A17" s="137">
        <v>11</v>
      </c>
      <c r="B17" s="1" t="s">
        <v>105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47"/>
      <c r="U17" s="447"/>
      <c r="V17" s="446">
        <f t="shared" si="0"/>
        <v>0</v>
      </c>
    </row>
    <row r="18" spans="1:22" s="127" customFormat="1">
      <c r="A18" s="137">
        <v>12</v>
      </c>
      <c r="B18" s="1" t="s">
        <v>106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47"/>
      <c r="U18" s="447"/>
      <c r="V18" s="446">
        <f t="shared" si="0"/>
        <v>0</v>
      </c>
    </row>
    <row r="19" spans="1:22" s="127" customFormat="1">
      <c r="A19" s="137">
        <v>13</v>
      </c>
      <c r="B19" s="1" t="s">
        <v>107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47"/>
      <c r="U19" s="447"/>
      <c r="V19" s="446">
        <f t="shared" si="0"/>
        <v>0</v>
      </c>
    </row>
    <row r="20" spans="1:22" s="127" customFormat="1">
      <c r="A20" s="137">
        <v>14</v>
      </c>
      <c r="B20" s="1" t="s">
        <v>108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47"/>
      <c r="U20" s="447"/>
      <c r="V20" s="446">
        <f t="shared" si="0"/>
        <v>0</v>
      </c>
    </row>
    <row r="21" spans="1:22" ht="13.5" thickBot="1">
      <c r="A21" s="128"/>
      <c r="B21" s="140" t="s">
        <v>109</v>
      </c>
      <c r="C21" s="443">
        <f>SUM(C7:C20)</f>
        <v>0</v>
      </c>
      <c r="D21" s="440">
        <f t="shared" ref="D21:V21" si="1">SUM(D7:D20)</f>
        <v>1457183.3419999999</v>
      </c>
      <c r="E21" s="440">
        <f t="shared" si="1"/>
        <v>0</v>
      </c>
      <c r="F21" s="440">
        <f t="shared" si="1"/>
        <v>0</v>
      </c>
      <c r="G21" s="440">
        <f t="shared" si="1"/>
        <v>0</v>
      </c>
      <c r="H21" s="440">
        <f t="shared" si="1"/>
        <v>0</v>
      </c>
      <c r="I21" s="440">
        <f t="shared" si="1"/>
        <v>0</v>
      </c>
      <c r="J21" s="440">
        <f t="shared" si="1"/>
        <v>0</v>
      </c>
      <c r="K21" s="440">
        <f t="shared" si="1"/>
        <v>0</v>
      </c>
      <c r="L21" s="444">
        <f t="shared" si="1"/>
        <v>0</v>
      </c>
      <c r="M21" s="443">
        <f t="shared" si="1"/>
        <v>0</v>
      </c>
      <c r="N21" s="440">
        <f t="shared" si="1"/>
        <v>0</v>
      </c>
      <c r="O21" s="440">
        <f t="shared" si="1"/>
        <v>0</v>
      </c>
      <c r="P21" s="440">
        <f t="shared" si="1"/>
        <v>0</v>
      </c>
      <c r="Q21" s="440">
        <f t="shared" si="1"/>
        <v>0</v>
      </c>
      <c r="R21" s="440">
        <f t="shared" si="1"/>
        <v>0</v>
      </c>
      <c r="S21" s="444">
        <f>SUM(S7:S20)</f>
        <v>0</v>
      </c>
      <c r="T21" s="444">
        <f>SUM(T7:T20)</f>
        <v>698922.34199999995</v>
      </c>
      <c r="U21" s="444">
        <f t="shared" ref="U21" si="2">SUM(U7:U20)</f>
        <v>758261</v>
      </c>
      <c r="V21" s="445">
        <f t="shared" si="1"/>
        <v>1457183.3419999999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46" customWidth="1"/>
    <col min="4" max="4" width="14.85546875" style="246" bestFit="1" customWidth="1"/>
    <col min="5" max="5" width="17.7109375" style="246" customWidth="1"/>
    <col min="6" max="6" width="15.85546875" style="246" customWidth="1"/>
    <col min="7" max="7" width="17.42578125" style="246" customWidth="1"/>
    <col min="8" max="8" width="15.28515625" style="246" customWidth="1"/>
    <col min="9" max="16384" width="9.140625" style="29"/>
  </cols>
  <sheetData>
    <row r="1" spans="1:9">
      <c r="A1" s="337" t="s">
        <v>30</v>
      </c>
      <c r="B1" s="338" t="s">
        <v>439</v>
      </c>
    </row>
    <row r="2" spans="1:9">
      <c r="A2" s="337" t="s">
        <v>31</v>
      </c>
      <c r="B2" s="339">
        <f>'1. key ratios '!B2</f>
        <v>44196</v>
      </c>
    </row>
    <row r="4" spans="1:9" ht="13.5" thickBot="1">
      <c r="A4" s="2" t="s">
        <v>257</v>
      </c>
      <c r="B4" s="130" t="s">
        <v>381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81" t="s">
        <v>256</v>
      </c>
      <c r="C6" s="583" t="s">
        <v>373</v>
      </c>
      <c r="D6" s="585" t="s">
        <v>372</v>
      </c>
      <c r="E6" s="586"/>
      <c r="F6" s="583" t="s">
        <v>377</v>
      </c>
      <c r="G6" s="583" t="s">
        <v>378</v>
      </c>
      <c r="H6" s="579" t="s">
        <v>376</v>
      </c>
    </row>
    <row r="7" spans="1:9" ht="38.25">
      <c r="A7" s="146"/>
      <c r="B7" s="582"/>
      <c r="C7" s="584"/>
      <c r="D7" s="250" t="s">
        <v>375</v>
      </c>
      <c r="E7" s="250" t="s">
        <v>374</v>
      </c>
      <c r="F7" s="584"/>
      <c r="G7" s="584"/>
      <c r="H7" s="580"/>
      <c r="I7" s="143"/>
    </row>
    <row r="8" spans="1:9">
      <c r="A8" s="144">
        <v>1</v>
      </c>
      <c r="B8" s="1" t="s">
        <v>96</v>
      </c>
      <c r="C8" s="251">
        <f>'11. CRWA '!C8+'11. CRWA '!E8+'11. CRWA '!G8+'11. CRWA '!I8+'11. CRWA '!K8+'11. CRWA '!M8+'11. CRWA '!O8+'11. CRWA '!Q8</f>
        <v>73903829.086396337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62745148.389843062</v>
      </c>
      <c r="G8" s="253">
        <f>F8-'12. CRM'!V7</f>
        <v>62745148.389843062</v>
      </c>
      <c r="H8" s="449">
        <f>IFERROR(G8/(C8+E8),0)</f>
        <v>0.84901079099016152</v>
      </c>
    </row>
    <row r="9" spans="1:9" ht="15" customHeight="1">
      <c r="A9" s="144">
        <v>2</v>
      </c>
      <c r="B9" s="1" t="s">
        <v>97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49">
        <f t="shared" ref="H9:H21" si="0">IFERROR(G9/(C9+E9),0)</f>
        <v>0</v>
      </c>
    </row>
    <row r="10" spans="1:9">
      <c r="A10" s="144">
        <v>3</v>
      </c>
      <c r="B10" s="1" t="s">
        <v>275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49">
        <f t="shared" si="0"/>
        <v>0</v>
      </c>
    </row>
    <row r="11" spans="1:9">
      <c r="A11" s="144">
        <v>4</v>
      </c>
      <c r="B11" s="1" t="s">
        <v>98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49">
        <f t="shared" si="0"/>
        <v>0</v>
      </c>
    </row>
    <row r="12" spans="1:9">
      <c r="A12" s="144">
        <v>5</v>
      </c>
      <c r="B12" s="1" t="s">
        <v>99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49">
        <f t="shared" si="0"/>
        <v>0</v>
      </c>
    </row>
    <row r="13" spans="1:9">
      <c r="A13" s="144">
        <v>6</v>
      </c>
      <c r="B13" s="1" t="s">
        <v>100</v>
      </c>
      <c r="C13" s="251">
        <f>'11. CRWA '!C13+'11. CRWA '!E13+'11. CRWA '!G13+'11. CRWA '!I13+'11. CRWA '!K13+'11. CRWA '!M13+'11. CRWA '!O13+'11. CRWA '!Q13</f>
        <v>19129947.938522</v>
      </c>
      <c r="D13" s="252">
        <f>'11. CRWA '!D13+'11. CRWA '!F13+'11. CRWA '!H13+'11. CRWA '!J13+'11. CRWA '!L13+'11. CRWA '!N13+'11. CRWA '!P13+'11. CRWA '!R13</f>
        <v>23250254.025000002</v>
      </c>
      <c r="E13" s="251">
        <f>'11. CRWA '!D13+'11. CRWA '!F13+'11. CRWA '!H13+'11. CRWA '!J13+'11. CRWA '!L13+'11. CRWA '!N13+'11. CRWA '!P13+'11. CRWA '!R13</f>
        <v>23250254.025000002</v>
      </c>
      <c r="F13" s="251">
        <f>'11. CRWA '!S13</f>
        <v>33153867.677439004</v>
      </c>
      <c r="G13" s="253">
        <f>F13-'12. CRM'!V12</f>
        <v>33153867.677439004</v>
      </c>
      <c r="H13" s="449">
        <f t="shared" si="0"/>
        <v>0.78229612275032578</v>
      </c>
    </row>
    <row r="14" spans="1:9">
      <c r="A14" s="144">
        <v>7</v>
      </c>
      <c r="B14" s="1" t="s">
        <v>101</v>
      </c>
      <c r="C14" s="251">
        <f>'11. CRWA '!C14+'11. CRWA '!E14+'11. CRWA '!G14+'11. CRWA '!I14+'11. CRWA '!K14+'11. CRWA '!M14+'11. CRWA '!O14+'11. CRWA '!Q14</f>
        <v>225980440.46056083</v>
      </c>
      <c r="D14" s="252">
        <f>'4. Off-Balance'!E7-D13</f>
        <v>67972980.814999983</v>
      </c>
      <c r="E14" s="251">
        <f>'11. CRWA '!D14+'11. CRWA '!F14+'11. CRWA '!H14+'11. CRWA '!J14+'11. CRWA '!L14+'11. CRWA '!N14+'11. CRWA '!P14+'11. CRWA '!R14</f>
        <v>24092604.759999998</v>
      </c>
      <c r="F14" s="251">
        <f>'11. CRWA '!S14</f>
        <v>250073045.22056082</v>
      </c>
      <c r="G14" s="253">
        <f>F14-'12. CRM'!V13</f>
        <v>248615861.87856081</v>
      </c>
      <c r="H14" s="449">
        <f t="shared" si="0"/>
        <v>0.99417296917900611</v>
      </c>
    </row>
    <row r="15" spans="1:9">
      <c r="A15" s="144">
        <v>8</v>
      </c>
      <c r="B15" s="1" t="s">
        <v>102</v>
      </c>
      <c r="C15" s="251">
        <f>'11. CRWA '!C15+'11. CRWA '!E15+'11. CRWA '!G15+'11. CRWA '!I15+'11. CRWA '!K15+'11. CRWA '!M15+'11. CRWA '!O15+'11. CRWA '!Q15</f>
        <v>0</v>
      </c>
      <c r="D15" s="252"/>
      <c r="E15" s="251">
        <f>'11. CRWA '!D15+'11. CRWA '!F15+'11. CRWA '!H15+'11. CRWA '!J15+'11. CRWA '!L15+'11. CRWA '!N15+'11. CRWA '!P15+'11. CRWA '!R15</f>
        <v>26438.65</v>
      </c>
      <c r="F15" s="251">
        <f>'11. CRWA '!S15</f>
        <v>26438.65</v>
      </c>
      <c r="G15" s="253">
        <f>F15-'12. CRM'!V14</f>
        <v>26438.65</v>
      </c>
      <c r="H15" s="449">
        <f t="shared" si="0"/>
        <v>1</v>
      </c>
    </row>
    <row r="16" spans="1:9">
      <c r="A16" s="144">
        <v>9</v>
      </c>
      <c r="B16" s="1" t="s">
        <v>103</v>
      </c>
      <c r="C16" s="251">
        <f>'11. CRWA '!C16+'11. CRWA '!E16+'11. CRWA '!G16+'11. CRWA '!I16+'11. CRWA '!K16+'11. CRWA '!M16+'11. CRWA '!O16+'11. CRWA '!Q16</f>
        <v>0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0</v>
      </c>
      <c r="G16" s="253">
        <f>F16-'12. CRM'!V15</f>
        <v>0</v>
      </c>
      <c r="H16" s="449">
        <f t="shared" si="0"/>
        <v>0</v>
      </c>
    </row>
    <row r="17" spans="1:8">
      <c r="A17" s="144">
        <v>10</v>
      </c>
      <c r="B17" s="1" t="s">
        <v>104</v>
      </c>
      <c r="C17" s="251">
        <f>'11. CRWA '!C17+'11. CRWA '!E17+'11. CRWA '!G17+'11. CRWA '!I17+'11. CRWA '!K17+'11. CRWA '!M17+'11. CRWA '!O17+'11. CRWA '!Q17</f>
        <v>1516884.2270000007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1516884.2270000007</v>
      </c>
      <c r="G17" s="253">
        <f>F17-'12. CRM'!V16</f>
        <v>1516884.2270000007</v>
      </c>
      <c r="H17" s="449">
        <f t="shared" si="0"/>
        <v>1</v>
      </c>
    </row>
    <row r="18" spans="1:8">
      <c r="A18" s="144">
        <v>11</v>
      </c>
      <c r="B18" s="1" t="s">
        <v>105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49">
        <f t="shared" si="0"/>
        <v>0</v>
      </c>
    </row>
    <row r="19" spans="1:8">
      <c r="A19" s="144">
        <v>12</v>
      </c>
      <c r="B19" s="1" t="s">
        <v>106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49">
        <f t="shared" si="0"/>
        <v>0</v>
      </c>
    </row>
    <row r="20" spans="1:8">
      <c r="A20" s="144">
        <v>13</v>
      </c>
      <c r="B20" s="1" t="s">
        <v>251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49">
        <f t="shared" si="0"/>
        <v>0</v>
      </c>
    </row>
    <row r="21" spans="1:8">
      <c r="A21" s="144">
        <v>14</v>
      </c>
      <c r="B21" s="1" t="s">
        <v>108</v>
      </c>
      <c r="C21" s="251">
        <f>'11. CRWA '!C21+'11. CRWA '!E21+'11. CRWA '!G21+'11. CRWA '!I21+'11. CRWA '!K21+'11. CRWA '!M21+'11. CRWA '!O21+'11. CRWA '!Q21</f>
        <v>14390620.852666583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11223531.192666583</v>
      </c>
      <c r="G21" s="253">
        <f>F21-'12. CRM'!V20</f>
        <v>11223531.192666583</v>
      </c>
      <c r="H21" s="449">
        <f t="shared" si="0"/>
        <v>0.77991987333797774</v>
      </c>
    </row>
    <row r="22" spans="1:8" ht="13.5" thickBot="1">
      <c r="A22" s="147"/>
      <c r="B22" s="148" t="s">
        <v>109</v>
      </c>
      <c r="C22" s="448">
        <f>SUM(C8:C21)</f>
        <v>334921722.56514573</v>
      </c>
      <c r="D22" s="448">
        <f>SUM(D8:D21)</f>
        <v>91223234.839999989</v>
      </c>
      <c r="E22" s="448">
        <f>SUM(E8:E21)</f>
        <v>47369297.434999995</v>
      </c>
      <c r="F22" s="448">
        <f>SUM(F8:F21)</f>
        <v>358738915.35750943</v>
      </c>
      <c r="G22" s="448">
        <f>SUM(G8:G21)</f>
        <v>357281732.01550943</v>
      </c>
      <c r="H22" s="450"/>
    </row>
    <row r="23" spans="1:8">
      <c r="G23" s="534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0.5703125" style="246" bestFit="1" customWidth="1"/>
    <col min="2" max="2" width="104.140625" style="246" customWidth="1"/>
    <col min="3" max="9" width="12.7109375" style="246" customWidth="1"/>
    <col min="10" max="10" width="13.5703125" style="246" bestFit="1" customWidth="1"/>
    <col min="11" max="11" width="12.7109375" style="246" customWidth="1"/>
    <col min="12" max="16384" width="9.140625" style="246"/>
  </cols>
  <sheetData>
    <row r="1" spans="1:11">
      <c r="A1" s="337" t="s">
        <v>30</v>
      </c>
      <c r="B1" s="338" t="s">
        <v>439</v>
      </c>
    </row>
    <row r="2" spans="1:11">
      <c r="A2" s="337" t="s">
        <v>31</v>
      </c>
      <c r="B2" s="339">
        <f>'1. key ratios '!B2</f>
        <v>44196</v>
      </c>
      <c r="C2" s="267"/>
      <c r="D2" s="267"/>
    </row>
    <row r="3" spans="1:11">
      <c r="B3" s="267"/>
      <c r="C3" s="267"/>
      <c r="D3" s="267"/>
    </row>
    <row r="4" spans="1:11" ht="13.5" thickBot="1">
      <c r="A4" s="246" t="s">
        <v>253</v>
      </c>
      <c r="B4" s="293" t="s">
        <v>382</v>
      </c>
      <c r="C4" s="267"/>
      <c r="D4" s="267"/>
    </row>
    <row r="5" spans="1:11" ht="30" customHeight="1">
      <c r="A5" s="587"/>
      <c r="B5" s="588"/>
      <c r="C5" s="589" t="s">
        <v>436</v>
      </c>
      <c r="D5" s="590"/>
      <c r="E5" s="591"/>
      <c r="F5" s="589" t="s">
        <v>437</v>
      </c>
      <c r="G5" s="590"/>
      <c r="H5" s="591"/>
      <c r="I5" s="590" t="s">
        <v>438</v>
      </c>
      <c r="J5" s="590"/>
      <c r="K5" s="591"/>
    </row>
    <row r="6" spans="1:11">
      <c r="A6" s="268"/>
      <c r="B6" s="269"/>
      <c r="C6" s="481" t="s">
        <v>69</v>
      </c>
      <c r="D6" s="384" t="s">
        <v>70</v>
      </c>
      <c r="E6" s="397" t="s">
        <v>71</v>
      </c>
      <c r="F6" s="481" t="s">
        <v>69</v>
      </c>
      <c r="G6" s="384" t="s">
        <v>70</v>
      </c>
      <c r="H6" s="397" t="s">
        <v>71</v>
      </c>
      <c r="I6" s="475" t="s">
        <v>69</v>
      </c>
      <c r="J6" s="191" t="s">
        <v>70</v>
      </c>
      <c r="K6" s="191" t="s">
        <v>71</v>
      </c>
    </row>
    <row r="7" spans="1:11">
      <c r="A7" s="270" t="s">
        <v>385</v>
      </c>
      <c r="B7" s="271"/>
      <c r="C7" s="466"/>
      <c r="D7" s="271"/>
      <c r="E7" s="272"/>
      <c r="F7" s="466"/>
      <c r="G7" s="271"/>
      <c r="H7" s="272"/>
      <c r="I7" s="271"/>
      <c r="J7" s="271"/>
      <c r="K7" s="272"/>
    </row>
    <row r="8" spans="1:11">
      <c r="A8" s="273">
        <v>1</v>
      </c>
      <c r="B8" s="275" t="s">
        <v>383</v>
      </c>
      <c r="C8" s="482"/>
      <c r="D8" s="274"/>
      <c r="E8" s="303"/>
      <c r="F8" s="460">
        <v>25738794.696219154</v>
      </c>
      <c r="G8" s="472">
        <v>72194293.24991776</v>
      </c>
      <c r="H8" s="462">
        <f>F8+G8</f>
        <v>97933087.946136922</v>
      </c>
      <c r="I8" s="476">
        <v>23463885.783753429</v>
      </c>
      <c r="J8" s="472">
        <v>41872447.937479429</v>
      </c>
      <c r="K8" s="462">
        <f>I8+J8</f>
        <v>65336333.721232861</v>
      </c>
    </row>
    <row r="9" spans="1:11">
      <c r="A9" s="270" t="s">
        <v>386</v>
      </c>
      <c r="B9" s="271"/>
      <c r="C9" s="466"/>
      <c r="D9" s="271"/>
      <c r="E9" s="272"/>
      <c r="F9" s="466"/>
      <c r="G9" s="271"/>
      <c r="H9" s="272"/>
      <c r="I9" s="271"/>
      <c r="J9" s="271"/>
      <c r="K9" s="272"/>
    </row>
    <row r="10" spans="1:11">
      <c r="A10" s="276">
        <v>2</v>
      </c>
      <c r="B10" s="277" t="s">
        <v>394</v>
      </c>
      <c r="C10" s="460">
        <v>746403.72317808191</v>
      </c>
      <c r="D10" s="461">
        <v>23764126.514466036</v>
      </c>
      <c r="E10" s="462">
        <f>C10+D10</f>
        <v>24510530.237644117</v>
      </c>
      <c r="F10" s="460">
        <v>243533.05060109578</v>
      </c>
      <c r="G10" s="461">
        <v>6459336.8673791215</v>
      </c>
      <c r="H10" s="462">
        <f>F10+G10</f>
        <v>6702869.9179802174</v>
      </c>
      <c r="I10" s="476">
        <v>47699.885568493155</v>
      </c>
      <c r="J10" s="461">
        <v>1596298.8860096154</v>
      </c>
      <c r="K10" s="462">
        <f>I10+J10</f>
        <v>1643998.7715781084</v>
      </c>
    </row>
    <row r="11" spans="1:11">
      <c r="A11" s="276">
        <v>3</v>
      </c>
      <c r="B11" s="277" t="s">
        <v>388</v>
      </c>
      <c r="C11" s="460">
        <v>7982048.9530684864</v>
      </c>
      <c r="D11" s="461">
        <v>181583673.70418635</v>
      </c>
      <c r="E11" s="462">
        <f>C11+D11</f>
        <v>189565722.65725484</v>
      </c>
      <c r="F11" s="460">
        <v>4338067.3594917823</v>
      </c>
      <c r="G11" s="460">
        <v>56743866.093897216</v>
      </c>
      <c r="H11" s="462">
        <f>F11+G11</f>
        <v>61081933.453388996</v>
      </c>
      <c r="I11" s="476">
        <v>3319149.3937917836</v>
      </c>
      <c r="J11" s="460">
        <v>64781059.38368091</v>
      </c>
      <c r="K11" s="462">
        <f>I11+J11</f>
        <v>68100208.77747269</v>
      </c>
    </row>
    <row r="12" spans="1:11">
      <c r="A12" s="276">
        <v>4</v>
      </c>
      <c r="B12" s="277" t="s">
        <v>389</v>
      </c>
      <c r="C12" s="463"/>
      <c r="D12" s="277"/>
      <c r="E12" s="278"/>
      <c r="F12" s="463"/>
      <c r="G12" s="277"/>
      <c r="H12" s="278"/>
      <c r="I12" s="477"/>
      <c r="J12" s="277"/>
      <c r="K12" s="278"/>
    </row>
    <row r="13" spans="1:11">
      <c r="A13" s="276">
        <v>5</v>
      </c>
      <c r="B13" s="277" t="s">
        <v>397</v>
      </c>
      <c r="C13" s="460">
        <v>29945437.494909015</v>
      </c>
      <c r="D13" s="461">
        <v>41757418.952402212</v>
      </c>
      <c r="E13" s="462">
        <f>C13+D13</f>
        <v>71702856.447311223</v>
      </c>
      <c r="F13" s="460">
        <v>3036411.4374174243</v>
      </c>
      <c r="G13" s="461">
        <v>4288188.4812904382</v>
      </c>
      <c r="H13" s="462">
        <f>F13+G13</f>
        <v>7324599.9187078625</v>
      </c>
      <c r="I13" s="476">
        <v>1499632.15967696</v>
      </c>
      <c r="J13" s="461">
        <v>2089291.77501737</v>
      </c>
      <c r="K13" s="462">
        <f>I13+J13</f>
        <v>3588923.9346943302</v>
      </c>
    </row>
    <row r="14" spans="1:11">
      <c r="A14" s="276">
        <v>6</v>
      </c>
      <c r="B14" s="277" t="s">
        <v>431</v>
      </c>
      <c r="C14" s="463"/>
      <c r="D14" s="277"/>
      <c r="E14" s="278"/>
      <c r="F14" s="463"/>
      <c r="G14" s="277"/>
      <c r="H14" s="278"/>
      <c r="I14" s="477"/>
      <c r="J14" s="277"/>
      <c r="K14" s="278"/>
    </row>
    <row r="15" spans="1:11">
      <c r="A15" s="276">
        <v>7</v>
      </c>
      <c r="B15" s="277" t="s">
        <v>432</v>
      </c>
      <c r="C15" s="460">
        <v>274652.81553424656</v>
      </c>
      <c r="D15" s="461">
        <v>1382118.944301371</v>
      </c>
      <c r="E15" s="462">
        <f>C15+D15</f>
        <v>1656771.7598356176</v>
      </c>
      <c r="F15" s="460">
        <v>0</v>
      </c>
      <c r="G15" s="461">
        <v>39623.506849315068</v>
      </c>
      <c r="H15" s="462">
        <f>F15+G15</f>
        <v>39623.506849315068</v>
      </c>
      <c r="I15" s="476">
        <v>0</v>
      </c>
      <c r="J15" s="461">
        <v>0</v>
      </c>
      <c r="K15" s="462">
        <f>I15+J15</f>
        <v>0</v>
      </c>
    </row>
    <row r="16" spans="1:11">
      <c r="A16" s="276">
        <v>8</v>
      </c>
      <c r="B16" s="473" t="s">
        <v>390</v>
      </c>
      <c r="C16" s="464">
        <f>SUM(C10:C15)</f>
        <v>38948542.986689836</v>
      </c>
      <c r="D16" s="465">
        <f>SUM(D10:D15)</f>
        <v>248487338.11535597</v>
      </c>
      <c r="E16" s="462">
        <f>C16+D16</f>
        <v>287435881.10204577</v>
      </c>
      <c r="F16" s="464">
        <f>SUM(F10:F15)</f>
        <v>7618011.8475103024</v>
      </c>
      <c r="G16" s="465">
        <f>SUM(G10:G15)</f>
        <v>67531014.949416101</v>
      </c>
      <c r="H16" s="462">
        <f>F16+G16</f>
        <v>75149026.796926409</v>
      </c>
      <c r="I16" s="478">
        <f>SUM(I10:I15)</f>
        <v>4866481.4390372364</v>
      </c>
      <c r="J16" s="465">
        <f>SUM(J10:J15)</f>
        <v>68466650.044707894</v>
      </c>
      <c r="K16" s="462">
        <f>I16+J16</f>
        <v>73333131.483745128</v>
      </c>
    </row>
    <row r="17" spans="1:11">
      <c r="A17" s="270" t="s">
        <v>387</v>
      </c>
      <c r="B17" s="271"/>
      <c r="C17" s="466"/>
      <c r="D17" s="271"/>
      <c r="E17" s="272"/>
      <c r="F17" s="466"/>
      <c r="G17" s="271"/>
      <c r="H17" s="272"/>
      <c r="I17" s="271"/>
      <c r="J17" s="271"/>
      <c r="K17" s="272"/>
    </row>
    <row r="18" spans="1:11">
      <c r="A18" s="276">
        <v>9</v>
      </c>
      <c r="B18" s="277" t="s">
        <v>393</v>
      </c>
      <c r="C18" s="463"/>
      <c r="D18" s="277"/>
      <c r="E18" s="462">
        <f>C18+D18</f>
        <v>0</v>
      </c>
      <c r="F18" s="463"/>
      <c r="G18" s="277"/>
      <c r="H18" s="462">
        <f>F18+G18</f>
        <v>0</v>
      </c>
      <c r="I18" s="477"/>
      <c r="J18" s="277"/>
      <c r="K18" s="462">
        <f>I18+J18</f>
        <v>0</v>
      </c>
    </row>
    <row r="19" spans="1:11">
      <c r="A19" s="276">
        <v>10</v>
      </c>
      <c r="B19" s="277" t="s">
        <v>433</v>
      </c>
      <c r="C19" s="460">
        <v>62386233.0861561</v>
      </c>
      <c r="D19" s="461">
        <v>144847285.60193777</v>
      </c>
      <c r="E19" s="462">
        <f>C19+D19</f>
        <v>207233518.68809387</v>
      </c>
      <c r="F19" s="460">
        <v>2921050.8201693152</v>
      </c>
      <c r="G19" s="461">
        <v>4662629.2937369877</v>
      </c>
      <c r="H19" s="462">
        <f>F19+G19</f>
        <v>7583680.1139063034</v>
      </c>
      <c r="I19" s="476">
        <v>5180014.2864980809</v>
      </c>
      <c r="J19" s="461">
        <v>36915783.347021036</v>
      </c>
      <c r="K19" s="462">
        <f>I19+J19</f>
        <v>42095797.633519113</v>
      </c>
    </row>
    <row r="20" spans="1:11">
      <c r="A20" s="276">
        <v>11</v>
      </c>
      <c r="B20" s="277" t="s">
        <v>392</v>
      </c>
      <c r="C20" s="467">
        <v>2028601.5120754573</v>
      </c>
      <c r="D20" s="468">
        <v>7985667.446955259</v>
      </c>
      <c r="E20" s="462">
        <f>C20+D20</f>
        <v>10014268.959030716</v>
      </c>
      <c r="F20" s="467">
        <v>232860.01861315072</v>
      </c>
      <c r="G20" s="468">
        <v>42988.827767275478</v>
      </c>
      <c r="H20" s="462">
        <f>F20+G20</f>
        <v>275848.8463804262</v>
      </c>
      <c r="I20" s="479">
        <v>232860.01861315072</v>
      </c>
      <c r="J20" s="468">
        <v>42988.827767275478</v>
      </c>
      <c r="K20" s="462">
        <f>I20+J20</f>
        <v>275848.8463804262</v>
      </c>
    </row>
    <row r="21" spans="1:11" ht="13.5" thickBot="1">
      <c r="A21" s="279">
        <v>12</v>
      </c>
      <c r="B21" s="474" t="s">
        <v>391</v>
      </c>
      <c r="C21" s="469">
        <f>SUM(C18:C20)</f>
        <v>64414834.598231554</v>
      </c>
      <c r="D21" s="470">
        <f>SUM(D18:D20)</f>
        <v>152832953.04889303</v>
      </c>
      <c r="E21" s="471">
        <f>C21+D21</f>
        <v>217247787.64712459</v>
      </c>
      <c r="F21" s="469">
        <f>SUM(F18:F20)</f>
        <v>3153910.838782466</v>
      </c>
      <c r="G21" s="470">
        <f>SUM(G18:G20)</f>
        <v>4705618.121504263</v>
      </c>
      <c r="H21" s="471">
        <f>F21+G21</f>
        <v>7859528.960286729</v>
      </c>
      <c r="I21" s="480">
        <f>SUM(I18:I20)</f>
        <v>5412874.3051112313</v>
      </c>
      <c r="J21" s="470">
        <f>SUM(J18:J20)</f>
        <v>36958772.174788311</v>
      </c>
      <c r="K21" s="471">
        <f>I21+J21</f>
        <v>42371646.479899541</v>
      </c>
    </row>
    <row r="22" spans="1:11" ht="38.25" customHeight="1" thickBot="1">
      <c r="A22" s="280"/>
      <c r="B22" s="281"/>
      <c r="C22" s="281"/>
      <c r="D22" s="281"/>
      <c r="E22" s="281"/>
      <c r="F22" s="592" t="s">
        <v>435</v>
      </c>
      <c r="G22" s="593"/>
      <c r="H22" s="593"/>
      <c r="I22" s="592" t="s">
        <v>398</v>
      </c>
      <c r="J22" s="593"/>
      <c r="K22" s="594"/>
    </row>
    <row r="23" spans="1:11">
      <c r="A23" s="282">
        <v>13</v>
      </c>
      <c r="B23" s="283" t="s">
        <v>383</v>
      </c>
      <c r="C23" s="284"/>
      <c r="D23" s="284"/>
      <c r="E23" s="284"/>
      <c r="F23" s="451">
        <f>F8</f>
        <v>25738794.696219154</v>
      </c>
      <c r="G23" s="452">
        <f>G8</f>
        <v>72194293.24991776</v>
      </c>
      <c r="H23" s="453">
        <f>F23+G23</f>
        <v>97933087.946136922</v>
      </c>
      <c r="I23" s="451">
        <f>I8</f>
        <v>23463885.783753429</v>
      </c>
      <c r="J23" s="452">
        <f>J8</f>
        <v>41872447.937479429</v>
      </c>
      <c r="K23" s="453">
        <f t="shared" ref="K23" si="0">I23+J23</f>
        <v>65336333.721232861</v>
      </c>
    </row>
    <row r="24" spans="1:11" ht="13.5" thickBot="1">
      <c r="A24" s="285">
        <v>14</v>
      </c>
      <c r="B24" s="286" t="s">
        <v>395</v>
      </c>
      <c r="C24" s="287"/>
      <c r="D24" s="288"/>
      <c r="E24" s="289"/>
      <c r="F24" s="454">
        <f>F16-F21</f>
        <v>4464101.0087278364</v>
      </c>
      <c r="G24" s="455">
        <f>G16-G21</f>
        <v>62825396.827911839</v>
      </c>
      <c r="H24" s="456">
        <f>F24+G24</f>
        <v>67289497.836639673</v>
      </c>
      <c r="I24" s="531">
        <f>I16-MIN(I16*75%,I21)</f>
        <v>1216620.3597593093</v>
      </c>
      <c r="J24" s="532">
        <f>J16-MIN(J16*75%,J21)</f>
        <v>31507877.869919583</v>
      </c>
      <c r="K24" s="456">
        <f>I24+J24</f>
        <v>32724498.229678892</v>
      </c>
    </row>
    <row r="25" spans="1:11" ht="13.5" thickBot="1">
      <c r="A25" s="290">
        <v>15</v>
      </c>
      <c r="B25" s="291" t="s">
        <v>396</v>
      </c>
      <c r="C25" s="292"/>
      <c r="D25" s="292"/>
      <c r="E25" s="292"/>
      <c r="F25" s="457">
        <f>F23/F24</f>
        <v>5.7657285634659292</v>
      </c>
      <c r="G25" s="458">
        <f t="shared" ref="G25:H25" si="1">G23/G24</f>
        <v>1.149125941021411</v>
      </c>
      <c r="H25" s="459">
        <f t="shared" si="1"/>
        <v>1.4553992984743538</v>
      </c>
      <c r="I25" s="457">
        <f>I23/I24</f>
        <v>19.28611961449948</v>
      </c>
      <c r="J25" s="458">
        <f>J23/J24</f>
        <v>1.3289517025027842</v>
      </c>
      <c r="K25" s="459">
        <f>K23/K24</f>
        <v>1.9965572355813008</v>
      </c>
    </row>
    <row r="27" spans="1:11" ht="25.5">
      <c r="B27" s="266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29"/>
  </cols>
  <sheetData>
    <row r="1" spans="1:14">
      <c r="A1" s="337" t="s">
        <v>30</v>
      </c>
      <c r="B1" s="338" t="s">
        <v>439</v>
      </c>
    </row>
    <row r="2" spans="1:14" ht="14.25" customHeight="1">
      <c r="A2" s="337" t="s">
        <v>31</v>
      </c>
      <c r="B2" s="339">
        <f>'1. key ratios '!B2</f>
        <v>44196</v>
      </c>
    </row>
    <row r="3" spans="1:14" ht="14.25" customHeight="1"/>
    <row r="4" spans="1:14" ht="13.5" thickBot="1">
      <c r="A4" s="4" t="s">
        <v>269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5.5">
      <c r="A6" s="155"/>
      <c r="B6" s="156"/>
      <c r="C6" s="157" t="s">
        <v>268</v>
      </c>
      <c r="D6" s="158" t="s">
        <v>267</v>
      </c>
      <c r="E6" s="159" t="s">
        <v>266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281</v>
      </c>
    </row>
    <row r="7" spans="1:14" ht="15">
      <c r="A7" s="161">
        <v>1</v>
      </c>
      <c r="B7" s="162" t="s">
        <v>265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4.25">
      <c r="A8" s="161">
        <v>1.1000000000000001</v>
      </c>
      <c r="B8" s="167" t="s">
        <v>263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>
        <v>0</v>
      </c>
      <c r="L8" s="165"/>
      <c r="M8" s="165"/>
      <c r="N8" s="166">
        <f>SUMPRODUCT($F$6:$M$6,F8:M8)</f>
        <v>0</v>
      </c>
    </row>
    <row r="9" spans="1:14" ht="14.25">
      <c r="A9" s="161">
        <v>1.2</v>
      </c>
      <c r="B9" s="167" t="s">
        <v>262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4.25">
      <c r="A10" s="161">
        <v>1.3</v>
      </c>
      <c r="B10" s="167" t="s">
        <v>261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4.25">
      <c r="A11" s="161">
        <v>1.4</v>
      </c>
      <c r="B11" s="167" t="s">
        <v>260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4.25">
      <c r="A12" s="161">
        <v>1.5</v>
      </c>
      <c r="B12" s="167" t="s">
        <v>259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4.25">
      <c r="A13" s="161">
        <v>1.6</v>
      </c>
      <c r="B13" s="169" t="s">
        <v>258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5">
      <c r="A14" s="161">
        <v>2</v>
      </c>
      <c r="B14" s="171" t="s">
        <v>264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4.25">
      <c r="A15" s="161">
        <v>2.1</v>
      </c>
      <c r="B15" s="169" t="s">
        <v>263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4.25">
      <c r="A16" s="161">
        <v>2.2000000000000002</v>
      </c>
      <c r="B16" s="169" t="s">
        <v>262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4.25">
      <c r="A17" s="161">
        <v>2.2999999999999998</v>
      </c>
      <c r="B17" s="169" t="s">
        <v>261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4.25">
      <c r="A18" s="161">
        <v>2.4</v>
      </c>
      <c r="B18" s="169" t="s">
        <v>260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4.25">
      <c r="A19" s="161">
        <v>2.5</v>
      </c>
      <c r="B19" s="169" t="s">
        <v>259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4.25">
      <c r="A20" s="161">
        <v>2.6</v>
      </c>
      <c r="B20" s="169" t="s">
        <v>258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5.75" thickBot="1">
      <c r="A21" s="173"/>
      <c r="B21" s="174" t="s">
        <v>109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>
      <selection activeCell="B4" sqref="B4"/>
    </sheetView>
  </sheetViews>
  <sheetFormatPr defaultRowHeight="15"/>
  <cols>
    <col min="1" max="1" width="11.42578125" customWidth="1"/>
    <col min="2" max="2" width="76.85546875" style="528" customWidth="1"/>
    <col min="3" max="3" width="22.85546875" customWidth="1"/>
  </cols>
  <sheetData>
    <row r="1" spans="1:3">
      <c r="A1" s="337" t="s">
        <v>30</v>
      </c>
      <c r="B1" s="338" t="s">
        <v>439</v>
      </c>
    </row>
    <row r="2" spans="1:3">
      <c r="A2" s="337" t="s">
        <v>31</v>
      </c>
      <c r="B2" s="339">
        <f>'1. key ratios '!B2</f>
        <v>44196</v>
      </c>
    </row>
    <row r="3" spans="1:3">
      <c r="A3" s="4"/>
      <c r="B3"/>
    </row>
    <row r="4" spans="1:3">
      <c r="A4" s="4" t="s">
        <v>452</v>
      </c>
      <c r="B4" t="s">
        <v>453</v>
      </c>
    </row>
    <row r="5" spans="1:3">
      <c r="A5" s="497" t="s">
        <v>454</v>
      </c>
      <c r="B5" s="498"/>
      <c r="C5" s="499"/>
    </row>
    <row r="6" spans="1:3" ht="24">
      <c r="A6" s="500">
        <v>1</v>
      </c>
      <c r="B6" s="501" t="s">
        <v>510</v>
      </c>
      <c r="C6" s="502">
        <v>331807397.17514569</v>
      </c>
    </row>
    <row r="7" spans="1:3">
      <c r="A7" s="500">
        <v>2</v>
      </c>
      <c r="B7" s="501" t="s">
        <v>455</v>
      </c>
      <c r="C7" s="502">
        <f>-('9.Capital'!C15)</f>
        <v>-317581.60999999987</v>
      </c>
    </row>
    <row r="8" spans="1:3" ht="24">
      <c r="A8" s="503">
        <v>3</v>
      </c>
      <c r="B8" s="504" t="s">
        <v>456</v>
      </c>
      <c r="C8" s="502">
        <f>C6+C7</f>
        <v>331489815.56514567</v>
      </c>
    </row>
    <row r="9" spans="1:3">
      <c r="A9" s="497" t="s">
        <v>457</v>
      </c>
      <c r="B9" s="498"/>
      <c r="C9" s="505"/>
    </row>
    <row r="10" spans="1:3" ht="24">
      <c r="A10" s="506">
        <v>4</v>
      </c>
      <c r="B10" s="507" t="s">
        <v>458</v>
      </c>
      <c r="C10" s="502"/>
    </row>
    <row r="11" spans="1:3">
      <c r="A11" s="506">
        <v>5</v>
      </c>
      <c r="B11" s="508" t="s">
        <v>459</v>
      </c>
      <c r="C11" s="502"/>
    </row>
    <row r="12" spans="1:3">
      <c r="A12" s="506" t="s">
        <v>460</v>
      </c>
      <c r="B12" s="508" t="s">
        <v>461</v>
      </c>
      <c r="C12" s="502">
        <f>'15. CCR '!N21</f>
        <v>0</v>
      </c>
    </row>
    <row r="13" spans="1:3" ht="24">
      <c r="A13" s="509">
        <v>6</v>
      </c>
      <c r="B13" s="507" t="s">
        <v>462</v>
      </c>
      <c r="C13" s="502"/>
    </row>
    <row r="14" spans="1:3">
      <c r="A14" s="509">
        <v>7</v>
      </c>
      <c r="B14" s="510" t="s">
        <v>463</v>
      </c>
      <c r="C14" s="502"/>
    </row>
    <row r="15" spans="1:3">
      <c r="A15" s="511">
        <v>8</v>
      </c>
      <c r="B15" s="512" t="s">
        <v>464</v>
      </c>
      <c r="C15" s="502"/>
    </row>
    <row r="16" spans="1:3">
      <c r="A16" s="509">
        <v>9</v>
      </c>
      <c r="B16" s="510" t="s">
        <v>465</v>
      </c>
      <c r="C16" s="502"/>
    </row>
    <row r="17" spans="1:3">
      <c r="A17" s="509">
        <v>10</v>
      </c>
      <c r="B17" s="510" t="s">
        <v>466</v>
      </c>
      <c r="C17" s="502"/>
    </row>
    <row r="18" spans="1:3">
      <c r="A18" s="513">
        <v>11</v>
      </c>
      <c r="B18" s="514" t="s">
        <v>467</v>
      </c>
      <c r="C18" s="515">
        <f>SUM(C10:C17)</f>
        <v>0</v>
      </c>
    </row>
    <row r="19" spans="1:3">
      <c r="A19" s="516" t="s">
        <v>468</v>
      </c>
      <c r="B19" s="517"/>
      <c r="C19" s="518"/>
    </row>
    <row r="20" spans="1:3" ht="24">
      <c r="A20" s="519">
        <v>12</v>
      </c>
      <c r="B20" s="507" t="s">
        <v>469</v>
      </c>
      <c r="C20" s="502"/>
    </row>
    <row r="21" spans="1:3">
      <c r="A21" s="519">
        <v>13</v>
      </c>
      <c r="B21" s="507" t="s">
        <v>470</v>
      </c>
      <c r="C21" s="502"/>
    </row>
    <row r="22" spans="1:3">
      <c r="A22" s="519">
        <v>14</v>
      </c>
      <c r="B22" s="507" t="s">
        <v>471</v>
      </c>
      <c r="C22" s="502"/>
    </row>
    <row r="23" spans="1:3" ht="24">
      <c r="A23" s="519" t="s">
        <v>472</v>
      </c>
      <c r="B23" s="507" t="s">
        <v>473</v>
      </c>
      <c r="C23" s="502"/>
    </row>
    <row r="24" spans="1:3">
      <c r="A24" s="519">
        <v>15</v>
      </c>
      <c r="B24" s="507" t="s">
        <v>474</v>
      </c>
      <c r="C24" s="502"/>
    </row>
    <row r="25" spans="1:3">
      <c r="A25" s="519" t="s">
        <v>475</v>
      </c>
      <c r="B25" s="507" t="s">
        <v>476</v>
      </c>
      <c r="C25" s="502"/>
    </row>
    <row r="26" spans="1:3">
      <c r="A26" s="520">
        <v>16</v>
      </c>
      <c r="B26" s="521" t="s">
        <v>477</v>
      </c>
      <c r="C26" s="515">
        <f>SUM(C20:C25)</f>
        <v>0</v>
      </c>
    </row>
    <row r="27" spans="1:3">
      <c r="A27" s="497" t="s">
        <v>478</v>
      </c>
      <c r="B27" s="498"/>
      <c r="C27" s="505"/>
    </row>
    <row r="28" spans="1:3">
      <c r="A28" s="522">
        <v>17</v>
      </c>
      <c r="B28" s="508" t="s">
        <v>479</v>
      </c>
      <c r="C28" s="502">
        <f>'8. LI2'!C6</f>
        <v>74840234.839999989</v>
      </c>
    </row>
    <row r="29" spans="1:3">
      <c r="A29" s="522">
        <v>18</v>
      </c>
      <c r="B29" s="508" t="s">
        <v>480</v>
      </c>
      <c r="C29" s="502">
        <f>'8. LI2'!C10</f>
        <v>-27470937.404999994</v>
      </c>
    </row>
    <row r="30" spans="1:3">
      <c r="A30" s="520">
        <v>19</v>
      </c>
      <c r="B30" s="521" t="s">
        <v>481</v>
      </c>
      <c r="C30" s="515">
        <f>C28+C29</f>
        <v>47369297.434999995</v>
      </c>
    </row>
    <row r="31" spans="1:3">
      <c r="A31" s="497" t="s">
        <v>482</v>
      </c>
      <c r="B31" s="498"/>
      <c r="C31" s="505"/>
    </row>
    <row r="32" spans="1:3" ht="24">
      <c r="A32" s="522" t="s">
        <v>483</v>
      </c>
      <c r="B32" s="507" t="s">
        <v>484</v>
      </c>
      <c r="C32" s="523"/>
    </row>
    <row r="33" spans="1:3">
      <c r="A33" s="522" t="s">
        <v>485</v>
      </c>
      <c r="B33" s="508" t="s">
        <v>486</v>
      </c>
      <c r="C33" s="523"/>
    </row>
    <row r="34" spans="1:3">
      <c r="A34" s="497" t="s">
        <v>487</v>
      </c>
      <c r="B34" s="498"/>
      <c r="C34" s="505"/>
    </row>
    <row r="35" spans="1:3">
      <c r="A35" s="524">
        <v>20</v>
      </c>
      <c r="B35" s="525" t="s">
        <v>488</v>
      </c>
      <c r="C35" s="515">
        <f>'9.Capital'!C28</f>
        <v>82998445.377222285</v>
      </c>
    </row>
    <row r="36" spans="1:3">
      <c r="A36" s="520">
        <v>21</v>
      </c>
      <c r="B36" s="521" t="s">
        <v>489</v>
      </c>
      <c r="C36" s="515">
        <f>C8+C18+C26+C30</f>
        <v>378859113.00014567</v>
      </c>
    </row>
    <row r="37" spans="1:3">
      <c r="A37" s="497" t="s">
        <v>490</v>
      </c>
      <c r="B37" s="498"/>
      <c r="C37" s="505"/>
    </row>
    <row r="38" spans="1:3">
      <c r="A38" s="520">
        <v>22</v>
      </c>
      <c r="B38" s="521" t="s">
        <v>490</v>
      </c>
      <c r="C38" s="530">
        <f t="shared" ref="C38" si="0">C35/C36</f>
        <v>0.21907469697631471</v>
      </c>
    </row>
    <row r="39" spans="1:3">
      <c r="A39" s="497" t="s">
        <v>491</v>
      </c>
      <c r="B39" s="498"/>
      <c r="C39" s="505"/>
    </row>
    <row r="40" spans="1:3">
      <c r="A40" s="526" t="s">
        <v>492</v>
      </c>
      <c r="B40" s="507" t="s">
        <v>493</v>
      </c>
      <c r="C40" s="523"/>
    </row>
    <row r="41" spans="1:3" ht="24">
      <c r="A41" s="527" t="s">
        <v>494</v>
      </c>
      <c r="B41" s="501" t="s">
        <v>495</v>
      </c>
      <c r="C41" s="523"/>
    </row>
    <row r="43" spans="1:3">
      <c r="B43" s="528" t="s">
        <v>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40625" defaultRowHeight="14.25"/>
  <cols>
    <col min="1" max="1" width="9.5703125" style="3" bestFit="1" customWidth="1"/>
    <col min="2" max="2" width="60.710937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517</v>
      </c>
      <c r="D5" s="340" t="s">
        <v>515</v>
      </c>
      <c r="E5" s="340" t="s">
        <v>513</v>
      </c>
      <c r="F5" s="340" t="s">
        <v>499</v>
      </c>
      <c r="G5" s="341" t="s">
        <v>496</v>
      </c>
    </row>
    <row r="6" spans="1:8">
      <c r="B6" s="191" t="s">
        <v>142</v>
      </c>
      <c r="C6" s="274"/>
      <c r="D6" s="274"/>
      <c r="E6" s="274"/>
      <c r="F6" s="274"/>
      <c r="G6" s="303"/>
    </row>
    <row r="7" spans="1:8">
      <c r="A7" s="13"/>
      <c r="B7" s="192" t="s">
        <v>136</v>
      </c>
      <c r="C7" s="274"/>
      <c r="D7" s="274"/>
      <c r="E7" s="274"/>
      <c r="F7" s="274"/>
      <c r="G7" s="303"/>
    </row>
    <row r="8" spans="1:8" ht="15">
      <c r="A8" s="329">
        <v>1</v>
      </c>
      <c r="B8" s="14" t="s">
        <v>141</v>
      </c>
      <c r="C8" s="15">
        <v>82998445.377222285</v>
      </c>
      <c r="D8" s="16">
        <v>80832354.001519948</v>
      </c>
      <c r="E8" s="16">
        <v>78741796.282078221</v>
      </c>
      <c r="F8" s="16">
        <v>77838008.687568486</v>
      </c>
      <c r="G8" s="348">
        <v>80407012.169870481</v>
      </c>
    </row>
    <row r="9" spans="1:8" ht="15">
      <c r="A9" s="329">
        <v>2</v>
      </c>
      <c r="B9" s="14" t="s">
        <v>140</v>
      </c>
      <c r="C9" s="15">
        <v>82998445.377222285</v>
      </c>
      <c r="D9" s="16">
        <v>80832354.001519948</v>
      </c>
      <c r="E9" s="16">
        <v>78741796.282078221</v>
      </c>
      <c r="F9" s="16">
        <v>77838008.687568486</v>
      </c>
      <c r="G9" s="348">
        <v>80407012.169870481</v>
      </c>
    </row>
    <row r="10" spans="1:8" ht="15">
      <c r="A10" s="329">
        <v>3</v>
      </c>
      <c r="B10" s="14" t="s">
        <v>139</v>
      </c>
      <c r="C10" s="15">
        <v>87421568.189916149</v>
      </c>
      <c r="D10" s="16">
        <v>85018180.835527956</v>
      </c>
      <c r="E10" s="16">
        <v>82608280.762582079</v>
      </c>
      <c r="F10" s="16">
        <v>81870881.517205447</v>
      </c>
      <c r="G10" s="348">
        <v>83615257.09298262</v>
      </c>
    </row>
    <row r="11" spans="1:8" ht="15">
      <c r="A11" s="330"/>
      <c r="B11" s="191" t="s">
        <v>138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270</v>
      </c>
      <c r="C12" s="263">
        <v>382197912.33547288</v>
      </c>
      <c r="D12" s="16">
        <v>357281762.10522437</v>
      </c>
      <c r="E12" s="16">
        <v>333884467.09280181</v>
      </c>
      <c r="F12" s="16">
        <v>344845459.14202905</v>
      </c>
      <c r="G12" s="348">
        <v>280322896.53274071</v>
      </c>
    </row>
    <row r="13" spans="1:8" ht="15">
      <c r="A13" s="330"/>
      <c r="B13" s="191" t="s">
        <v>137</v>
      </c>
      <c r="C13" s="274"/>
      <c r="D13" s="274"/>
      <c r="E13" s="274"/>
      <c r="F13" s="274"/>
      <c r="G13" s="303"/>
    </row>
    <row r="14" spans="1:8" s="17" customFormat="1" ht="15">
      <c r="A14" s="329"/>
      <c r="B14" s="192" t="s">
        <v>501</v>
      </c>
      <c r="C14" s="264"/>
      <c r="D14" s="16"/>
      <c r="E14" s="16"/>
      <c r="F14" s="16"/>
      <c r="G14" s="348"/>
    </row>
    <row r="15" spans="1:8" ht="15">
      <c r="A15" s="331">
        <v>5</v>
      </c>
      <c r="B15" s="14" t="str">
        <f>"Common equity Tier 1 ratio &gt;="&amp;TEXT('9.1. Capital Requirements'!C19*100&amp;"%","0.00%")</f>
        <v>Common equity Tier 1 ratio &gt;=6.07%</v>
      </c>
      <c r="C15" s="342">
        <v>0.21716090721178688</v>
      </c>
      <c r="D15" s="342">
        <v>0.22624259778956674</v>
      </c>
      <c r="E15" s="343">
        <v>0.23583545819815649</v>
      </c>
      <c r="F15" s="343">
        <v>0.22571852586149294</v>
      </c>
      <c r="G15" s="349">
        <v>0.28683711949472962</v>
      </c>
    </row>
    <row r="16" spans="1:8" ht="15" customHeight="1">
      <c r="A16" s="331">
        <v>6</v>
      </c>
      <c r="B16" s="14" t="str">
        <f>"Tier 1 ratio &gt;="&amp;TEXT('9.1. Capital Requirements'!C20*100&amp;"%","0.00%")</f>
        <v>Tier 1 ratio &gt;=8.10%</v>
      </c>
      <c r="C16" s="342">
        <v>0.21716090721178688</v>
      </c>
      <c r="D16" s="342">
        <v>0.22624259778956674</v>
      </c>
      <c r="E16" s="343">
        <v>0.23583545819815649</v>
      </c>
      <c r="F16" s="343">
        <v>0.22571852586149294</v>
      </c>
      <c r="G16" s="349">
        <v>0.28683711949472962</v>
      </c>
    </row>
    <row r="17" spans="1:7" ht="15">
      <c r="A17" s="331">
        <v>7</v>
      </c>
      <c r="B17" s="14" t="str">
        <f>"Total Regulatory Capital ratio &gt;="&amp;TEXT('9.1. Capital Requirements'!C21*100&amp;"%","0.00%")</f>
        <v>Total Regulatory Capital ratio &gt;=16.63%</v>
      </c>
      <c r="C17" s="342">
        <v>0.22873376690028116</v>
      </c>
      <c r="D17" s="342">
        <v>0.23795835626921516</v>
      </c>
      <c r="E17" s="343">
        <v>0.24741576474601751</v>
      </c>
      <c r="F17" s="343">
        <v>0.23741325091215967</v>
      </c>
      <c r="G17" s="349">
        <v>0.29828193888977123</v>
      </c>
    </row>
    <row r="18" spans="1:7" ht="15">
      <c r="A18" s="330"/>
      <c r="B18" s="193" t="s">
        <v>135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134</v>
      </c>
      <c r="C19" s="344">
        <v>6.2678307165625252E-2</v>
      </c>
      <c r="D19" s="344">
        <v>6.0895610533041149E-2</v>
      </c>
      <c r="E19" s="345">
        <v>5.9499238245699825E-2</v>
      </c>
      <c r="F19" s="345">
        <v>6.0436632496437416E-2</v>
      </c>
      <c r="G19" s="350">
        <v>6.2549610251267512E-2</v>
      </c>
    </row>
    <row r="20" spans="1:7" ht="15">
      <c r="A20" s="332">
        <v>9</v>
      </c>
      <c r="B20" s="14" t="s">
        <v>133</v>
      </c>
      <c r="C20" s="344">
        <v>1.3953652316493299E-2</v>
      </c>
      <c r="D20" s="344">
        <v>1.3353384856617353E-2</v>
      </c>
      <c r="E20" s="345">
        <v>1.3490960006021712E-2</v>
      </c>
      <c r="F20" s="345">
        <v>1.3827458331122928E-2</v>
      </c>
      <c r="G20" s="350">
        <v>1.7358063245516538E-2</v>
      </c>
    </row>
    <row r="21" spans="1:7" ht="15">
      <c r="A21" s="332">
        <v>10</v>
      </c>
      <c r="B21" s="14" t="s">
        <v>132</v>
      </c>
      <c r="C21" s="344">
        <v>3.3316900024161211E-2</v>
      </c>
      <c r="D21" s="344">
        <v>3.3961160331048006E-2</v>
      </c>
      <c r="E21" s="345">
        <v>3.4592805936058221E-2</v>
      </c>
      <c r="F21" s="345">
        <v>4.1833152598745371E-2</v>
      </c>
      <c r="G21" s="350">
        <v>2.8332509651600744E-2</v>
      </c>
    </row>
    <row r="22" spans="1:7" ht="15">
      <c r="A22" s="332">
        <v>11</v>
      </c>
      <c r="B22" s="14" t="s">
        <v>131</v>
      </c>
      <c r="C22" s="344">
        <v>4.8724654849131958E-2</v>
      </c>
      <c r="D22" s="344">
        <v>4.7542225676423799E-2</v>
      </c>
      <c r="E22" s="345">
        <v>4.600827823967811E-2</v>
      </c>
      <c r="F22" s="345">
        <v>4.6609174165314481E-2</v>
      </c>
      <c r="G22" s="350">
        <v>4.5191547005750975E-2</v>
      </c>
    </row>
    <row r="23" spans="1:7" ht="15">
      <c r="A23" s="332">
        <v>12</v>
      </c>
      <c r="B23" s="14" t="s">
        <v>276</v>
      </c>
      <c r="C23" s="344">
        <v>9.287435648257578E-3</v>
      </c>
      <c r="D23" s="344">
        <v>1.5755386468547254E-3</v>
      </c>
      <c r="E23" s="345">
        <v>-1.1947163560632836E-2</v>
      </c>
      <c r="F23" s="345">
        <v>-3.7859483277682335E-2</v>
      </c>
      <c r="G23" s="350">
        <v>2.2196802588843583E-2</v>
      </c>
    </row>
    <row r="24" spans="1:7" ht="15">
      <c r="A24" s="332">
        <v>13</v>
      </c>
      <c r="B24" s="14" t="s">
        <v>277</v>
      </c>
      <c r="C24" s="344">
        <v>3.4822858160235177E-2</v>
      </c>
      <c r="D24" s="344">
        <v>5.8212213716841042E-3</v>
      </c>
      <c r="E24" s="345">
        <v>-4.3291617741475275E-2</v>
      </c>
      <c r="F24" s="345">
        <v>-0.129285057497418</v>
      </c>
      <c r="G24" s="350">
        <v>7.4492721732142844E-2</v>
      </c>
    </row>
    <row r="25" spans="1:7" ht="15">
      <c r="A25" s="330"/>
      <c r="B25" s="193" t="s">
        <v>356</v>
      </c>
      <c r="C25" s="274"/>
      <c r="D25" s="274"/>
      <c r="E25" s="274"/>
      <c r="F25" s="274"/>
      <c r="G25" s="303"/>
    </row>
    <row r="26" spans="1:7" ht="15">
      <c r="A26" s="332">
        <v>14</v>
      </c>
      <c r="B26" s="14" t="s">
        <v>130</v>
      </c>
      <c r="C26" s="344">
        <v>2.5770181222198065E-2</v>
      </c>
      <c r="D26" s="344">
        <v>3.370737443941884E-2</v>
      </c>
      <c r="E26" s="345">
        <v>3.0616721140784942E-2</v>
      </c>
      <c r="F26" s="345">
        <v>3.1383374383505025E-2</v>
      </c>
      <c r="G26" s="350">
        <v>3.7091083586973855E-2</v>
      </c>
    </row>
    <row r="27" spans="1:7" ht="15" customHeight="1">
      <c r="A27" s="332">
        <v>15</v>
      </c>
      <c r="B27" s="14" t="s">
        <v>129</v>
      </c>
      <c r="C27" s="344">
        <v>5.0592095799553052E-2</v>
      </c>
      <c r="D27" s="344">
        <v>5.6650073835639345E-2</v>
      </c>
      <c r="E27" s="345">
        <v>5.741334554602813E-2</v>
      </c>
      <c r="F27" s="345">
        <v>6.2850331653137831E-2</v>
      </c>
      <c r="G27" s="350">
        <v>3.9855597062074463E-2</v>
      </c>
    </row>
    <row r="28" spans="1:7" ht="15">
      <c r="A28" s="332">
        <v>16</v>
      </c>
      <c r="B28" s="14" t="s">
        <v>128</v>
      </c>
      <c r="C28" s="344">
        <v>0.657176722753678</v>
      </c>
      <c r="D28" s="344">
        <v>0.66160590841796252</v>
      </c>
      <c r="E28" s="345">
        <v>0.63612756868169762</v>
      </c>
      <c r="F28" s="345">
        <v>0.681440704033342</v>
      </c>
      <c r="G28" s="350">
        <v>0.63686365732586514</v>
      </c>
    </row>
    <row r="29" spans="1:7" ht="15" customHeight="1">
      <c r="A29" s="332">
        <v>17</v>
      </c>
      <c r="B29" s="14" t="s">
        <v>127</v>
      </c>
      <c r="C29" s="344">
        <v>0.67963794973604752</v>
      </c>
      <c r="D29" s="344">
        <v>0.70552934161771308</v>
      </c>
      <c r="E29" s="345">
        <v>0.6626993169769303</v>
      </c>
      <c r="F29" s="345">
        <v>0.70432453975950704</v>
      </c>
      <c r="G29" s="350">
        <v>0.65858827297638833</v>
      </c>
    </row>
    <row r="30" spans="1:7" ht="15">
      <c r="A30" s="332">
        <v>18</v>
      </c>
      <c r="B30" s="14" t="s">
        <v>126</v>
      </c>
      <c r="C30" s="344">
        <v>0.58021508905910535</v>
      </c>
      <c r="D30" s="344">
        <v>0.40924651967316528</v>
      </c>
      <c r="E30" s="345">
        <v>0.29152145101102278</v>
      </c>
      <c r="F30" s="345">
        <v>0.1913795627607382</v>
      </c>
      <c r="G30" s="350">
        <v>-5.1591218536185687E-2</v>
      </c>
    </row>
    <row r="31" spans="1:7" ht="15" customHeight="1">
      <c r="A31" s="330"/>
      <c r="B31" s="193" t="s">
        <v>357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125</v>
      </c>
      <c r="C32" s="344">
        <v>0.14609430031048737</v>
      </c>
      <c r="D32" s="344">
        <v>0.13546550758790582</v>
      </c>
      <c r="E32" s="344">
        <v>0.11619907934660494</v>
      </c>
      <c r="F32" s="344">
        <v>0.20018169756447959</v>
      </c>
      <c r="G32" s="351">
        <v>0.22544335949690955</v>
      </c>
    </row>
    <row r="33" spans="1:7" ht="15" customHeight="1">
      <c r="A33" s="332">
        <v>20</v>
      </c>
      <c r="B33" s="14" t="s">
        <v>124</v>
      </c>
      <c r="C33" s="344">
        <v>0.93309149717162609</v>
      </c>
      <c r="D33" s="344">
        <v>0.95653191090846001</v>
      </c>
      <c r="E33" s="344">
        <v>0.9279008190264828</v>
      </c>
      <c r="F33" s="344">
        <v>0.93896164059451526</v>
      </c>
      <c r="G33" s="351">
        <v>0.95776241751217162</v>
      </c>
    </row>
    <row r="34" spans="1:7" ht="15" customHeight="1">
      <c r="A34" s="332">
        <v>21</v>
      </c>
      <c r="B34" s="14" t="s">
        <v>123</v>
      </c>
      <c r="C34" s="344">
        <v>0.11553619008863639</v>
      </c>
      <c r="D34" s="344">
        <v>7.8729493642624909E-2</v>
      </c>
      <c r="E34" s="344">
        <v>8.4790984849306916E-2</v>
      </c>
      <c r="F34" s="344">
        <v>6.9767994297117386E-2</v>
      </c>
      <c r="G34" s="351">
        <v>6.2716433669411542E-2</v>
      </c>
    </row>
    <row r="35" spans="1:7" ht="15" customHeight="1">
      <c r="A35" s="333"/>
      <c r="B35" s="193" t="s">
        <v>400</v>
      </c>
      <c r="C35" s="274"/>
      <c r="D35" s="274"/>
      <c r="E35" s="274"/>
      <c r="F35" s="274"/>
      <c r="G35" s="303"/>
    </row>
    <row r="36" spans="1:7" ht="15">
      <c r="A36" s="332">
        <v>22</v>
      </c>
      <c r="B36" s="14" t="s">
        <v>383</v>
      </c>
      <c r="C36" s="346">
        <v>81903875.829999998</v>
      </c>
      <c r="D36" s="346">
        <v>110558868.91</v>
      </c>
      <c r="E36" s="346">
        <v>91227234.680000007</v>
      </c>
      <c r="F36" s="346">
        <v>120731826.71146001</v>
      </c>
      <c r="G36" s="483">
        <v>110089136.08999999</v>
      </c>
    </row>
    <row r="37" spans="1:7" ht="15" customHeight="1">
      <c r="A37" s="332">
        <v>23</v>
      </c>
      <c r="B37" s="14" t="s">
        <v>395</v>
      </c>
      <c r="C37" s="346">
        <v>61860189.168520354</v>
      </c>
      <c r="D37" s="346">
        <v>84401756.030723333</v>
      </c>
      <c r="E37" s="346">
        <v>57196798.90373376</v>
      </c>
      <c r="F37" s="346">
        <v>81875012.410266101</v>
      </c>
      <c r="G37" s="483">
        <v>75563024.283210009</v>
      </c>
    </row>
    <row r="38" spans="1:7" ht="15.75" thickBot="1">
      <c r="A38" s="334">
        <v>24</v>
      </c>
      <c r="B38" s="194" t="s">
        <v>384</v>
      </c>
      <c r="C38" s="347">
        <f>C36/C37</f>
        <v>1.3240159289988003</v>
      </c>
      <c r="D38" s="347">
        <v>1.3099119509996349</v>
      </c>
      <c r="E38" s="347">
        <v>1.5949709848892395</v>
      </c>
      <c r="F38" s="347">
        <v>1.4745869729641927</v>
      </c>
      <c r="G38" s="484">
        <v>1.4569180777808231</v>
      </c>
    </row>
    <row r="39" spans="1:7">
      <c r="A39" s="18"/>
    </row>
    <row r="40" spans="1:7" ht="51">
      <c r="B40" s="266" t="s">
        <v>500</v>
      </c>
    </row>
    <row r="41" spans="1:7" ht="63.75">
      <c r="B41" s="266" t="s">
        <v>399</v>
      </c>
    </row>
    <row r="42" spans="1:7">
      <c r="B42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2" style="4" bestFit="1" customWidth="1"/>
    <col min="4" max="4" width="13.28515625" style="4" customWidth="1"/>
    <col min="5" max="5" width="14.5703125" style="4" customWidth="1"/>
    <col min="6" max="6" width="12" style="4" bestFit="1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44196</v>
      </c>
    </row>
    <row r="3" spans="1:8">
      <c r="A3" s="2"/>
    </row>
    <row r="4" spans="1:8" ht="15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>
      <c r="A7" s="25">
        <v>1</v>
      </c>
      <c r="B7" s="356" t="s">
        <v>35</v>
      </c>
      <c r="C7" s="357">
        <v>1206775.8799999999</v>
      </c>
      <c r="D7" s="357">
        <v>1960313.7800000003</v>
      </c>
      <c r="E7" s="358">
        <f>C7+D7</f>
        <v>3167089.66</v>
      </c>
      <c r="F7" s="359">
        <v>1271095.42</v>
      </c>
      <c r="G7" s="357">
        <v>1480823.59</v>
      </c>
      <c r="H7" s="360">
        <f>F7+G7</f>
        <v>2751919.01</v>
      </c>
    </row>
    <row r="8" spans="1:8">
      <c r="A8" s="25">
        <v>2</v>
      </c>
      <c r="B8" s="356" t="s">
        <v>36</v>
      </c>
      <c r="C8" s="357">
        <v>3453801.01</v>
      </c>
      <c r="D8" s="357">
        <v>52144677.530000001</v>
      </c>
      <c r="E8" s="358">
        <f t="shared" ref="E8:E19" si="0">C8+D8</f>
        <v>55598478.539999999</v>
      </c>
      <c r="F8" s="359">
        <v>1889958.96</v>
      </c>
      <c r="G8" s="357">
        <v>24617608.419999998</v>
      </c>
      <c r="H8" s="360">
        <f t="shared" ref="H8:H40" si="1">F8+G8</f>
        <v>26507567.379999999</v>
      </c>
    </row>
    <row r="9" spans="1:8">
      <c r="A9" s="25">
        <v>3</v>
      </c>
      <c r="B9" s="356" t="s">
        <v>37</v>
      </c>
      <c r="C9" s="357">
        <v>5669.79</v>
      </c>
      <c r="D9" s="357">
        <v>9929440.8285220005</v>
      </c>
      <c r="E9" s="358">
        <f t="shared" si="0"/>
        <v>9935110.6185219996</v>
      </c>
      <c r="F9" s="359">
        <v>3025832.29</v>
      </c>
      <c r="G9" s="357">
        <v>49336417.357542001</v>
      </c>
      <c r="H9" s="360">
        <f t="shared" si="1"/>
        <v>52362249.647542</v>
      </c>
    </row>
    <row r="10" spans="1:8">
      <c r="A10" s="25">
        <v>4</v>
      </c>
      <c r="B10" s="356" t="s">
        <v>38</v>
      </c>
      <c r="C10" s="357">
        <v>0</v>
      </c>
      <c r="D10" s="357">
        <v>0</v>
      </c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>
      <c r="A11" s="25">
        <v>5</v>
      </c>
      <c r="B11" s="356" t="s">
        <v>39</v>
      </c>
      <c r="C11" s="357">
        <v>22191066.36294286</v>
      </c>
      <c r="D11" s="357">
        <v>10244000.502592275</v>
      </c>
      <c r="E11" s="358">
        <f t="shared" si="0"/>
        <v>32435066.865535133</v>
      </c>
      <c r="F11" s="359">
        <v>32981819.282263447</v>
      </c>
      <c r="G11" s="357">
        <v>11826983.456323422</v>
      </c>
      <c r="H11" s="360">
        <f t="shared" si="1"/>
        <v>44808802.738586873</v>
      </c>
    </row>
    <row r="12" spans="1:8">
      <c r="A12" s="25">
        <v>6.1</v>
      </c>
      <c r="B12" s="361" t="s">
        <v>40</v>
      </c>
      <c r="C12" s="357">
        <v>78758521.920000002</v>
      </c>
      <c r="D12" s="357">
        <v>150976525.69</v>
      </c>
      <c r="E12" s="358">
        <f t="shared" si="0"/>
        <v>229735047.61000001</v>
      </c>
      <c r="F12" s="359">
        <v>52793537.760000005</v>
      </c>
      <c r="G12" s="357">
        <v>92588599.899999991</v>
      </c>
      <c r="H12" s="360">
        <f t="shared" si="1"/>
        <v>145382137.66</v>
      </c>
    </row>
    <row r="13" spans="1:8">
      <c r="A13" s="25">
        <v>6.2</v>
      </c>
      <c r="B13" s="361" t="s">
        <v>41</v>
      </c>
      <c r="C13" s="362">
        <v>-7169732.6776000019</v>
      </c>
      <c r="D13" s="362">
        <v>-4453044.8596000001</v>
      </c>
      <c r="E13" s="363">
        <f t="shared" si="0"/>
        <v>-11622777.537200002</v>
      </c>
      <c r="F13" s="364">
        <v>-2809779.8686000006</v>
      </c>
      <c r="G13" s="362">
        <v>-2984512.0300000003</v>
      </c>
      <c r="H13" s="365">
        <f t="shared" si="1"/>
        <v>-5794291.8986000009</v>
      </c>
    </row>
    <row r="14" spans="1:8">
      <c r="A14" s="25">
        <v>6</v>
      </c>
      <c r="B14" s="356" t="s">
        <v>42</v>
      </c>
      <c r="C14" s="358">
        <f>C12+C13</f>
        <v>71588789.242400005</v>
      </c>
      <c r="D14" s="358">
        <f>D12+D13</f>
        <v>146523480.83039999</v>
      </c>
      <c r="E14" s="358">
        <f t="shared" si="0"/>
        <v>218112270.07279998</v>
      </c>
      <c r="F14" s="358">
        <f>F12+F13</f>
        <v>49983757.891400002</v>
      </c>
      <c r="G14" s="358">
        <f>G12+G13</f>
        <v>89604087.86999999</v>
      </c>
      <c r="H14" s="360">
        <f t="shared" si="1"/>
        <v>139587845.76139998</v>
      </c>
    </row>
    <row r="15" spans="1:8">
      <c r="A15" s="25">
        <v>7</v>
      </c>
      <c r="B15" s="356" t="s">
        <v>43</v>
      </c>
      <c r="C15" s="357">
        <v>1202691.2800000003</v>
      </c>
      <c r="D15" s="357">
        <v>1363489.0701340002</v>
      </c>
      <c r="E15" s="358">
        <f t="shared" si="0"/>
        <v>2566180.3501340002</v>
      </c>
      <c r="F15" s="359">
        <v>1094625.0100000002</v>
      </c>
      <c r="G15" s="357">
        <v>580060.74245000002</v>
      </c>
      <c r="H15" s="360">
        <f t="shared" si="1"/>
        <v>1674685.7524500003</v>
      </c>
    </row>
    <row r="16" spans="1:8">
      <c r="A16" s="25">
        <v>8</v>
      </c>
      <c r="B16" s="356" t="s">
        <v>203</v>
      </c>
      <c r="C16" s="357">
        <v>1102533.5200000003</v>
      </c>
      <c r="D16" s="357">
        <v>0</v>
      </c>
      <c r="E16" s="358">
        <f t="shared" si="0"/>
        <v>1102533.5200000003</v>
      </c>
      <c r="F16" s="359">
        <v>0</v>
      </c>
      <c r="G16" s="357">
        <v>0</v>
      </c>
      <c r="H16" s="360">
        <f t="shared" si="1"/>
        <v>0</v>
      </c>
    </row>
    <row r="17" spans="1:8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>
      <c r="A18" s="25">
        <v>10</v>
      </c>
      <c r="B18" s="356" t="s">
        <v>45</v>
      </c>
      <c r="C18" s="357">
        <v>1471670.1799999992</v>
      </c>
      <c r="D18" s="357">
        <v>0</v>
      </c>
      <c r="E18" s="358">
        <f t="shared" si="0"/>
        <v>1471670.1799999992</v>
      </c>
      <c r="F18" s="359">
        <v>927404.87999999989</v>
      </c>
      <c r="G18" s="357">
        <v>0</v>
      </c>
      <c r="H18" s="360">
        <f t="shared" si="1"/>
        <v>927404.87999999989</v>
      </c>
    </row>
    <row r="19" spans="1:8">
      <c r="A19" s="25">
        <v>11</v>
      </c>
      <c r="B19" s="356" t="s">
        <v>46</v>
      </c>
      <c r="C19" s="357">
        <v>2637214.8776665856</v>
      </c>
      <c r="D19" s="357">
        <v>292218.55000000005</v>
      </c>
      <c r="E19" s="358">
        <f t="shared" si="0"/>
        <v>2929433.4276665859</v>
      </c>
      <c r="F19" s="359">
        <v>941248.91917698842</v>
      </c>
      <c r="G19" s="357">
        <v>246649.09091900001</v>
      </c>
      <c r="H19" s="360">
        <f t="shared" si="1"/>
        <v>1187898.0100959884</v>
      </c>
    </row>
    <row r="20" spans="1:8">
      <c r="A20" s="25">
        <v>12</v>
      </c>
      <c r="B20" s="366" t="s">
        <v>47</v>
      </c>
      <c r="C20" s="358">
        <f>SUM(C7:C11)+SUM(C14:C19)</f>
        <v>104860212.14300945</v>
      </c>
      <c r="D20" s="358">
        <f>SUM(D7:D11)+SUM(D14:D19)</f>
        <v>222457621.09164828</v>
      </c>
      <c r="E20" s="358">
        <f>C20+D20</f>
        <v>327317833.23465776</v>
      </c>
      <c r="F20" s="358">
        <f>SUM(F7:F11)+SUM(F14:F19)</f>
        <v>92115742.652840436</v>
      </c>
      <c r="G20" s="358">
        <f>SUM(G7:G11)+SUM(G14:G19)</f>
        <v>177692630.52723441</v>
      </c>
      <c r="H20" s="360">
        <f t="shared" si="1"/>
        <v>269808373.18007481</v>
      </c>
    </row>
    <row r="21" spans="1:8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>
      <c r="A22" s="25">
        <v>13</v>
      </c>
      <c r="B22" s="356" t="s">
        <v>49</v>
      </c>
      <c r="C22" s="357">
        <v>0</v>
      </c>
      <c r="D22" s="357">
        <v>130739241.7511</v>
      </c>
      <c r="E22" s="358">
        <f>C22+D22</f>
        <v>130739241.7511</v>
      </c>
      <c r="F22" s="359">
        <v>0</v>
      </c>
      <c r="G22" s="357">
        <v>132675044.22</v>
      </c>
      <c r="H22" s="360">
        <f t="shared" si="1"/>
        <v>132675044.22</v>
      </c>
    </row>
    <row r="23" spans="1:8">
      <c r="A23" s="25">
        <v>14</v>
      </c>
      <c r="B23" s="356" t="s">
        <v>50</v>
      </c>
      <c r="C23" s="357">
        <v>10275546.07</v>
      </c>
      <c r="D23" s="357">
        <v>27541509.330000002</v>
      </c>
      <c r="E23" s="358">
        <f t="shared" ref="E23:E40" si="2">C23+D23</f>
        <v>37817055.400000006</v>
      </c>
      <c r="F23" s="359">
        <v>6257492.8899999987</v>
      </c>
      <c r="G23" s="357">
        <v>10663926.050000003</v>
      </c>
      <c r="H23" s="360">
        <f t="shared" si="1"/>
        <v>16921418.940000001</v>
      </c>
    </row>
    <row r="24" spans="1:8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>
      <c r="A25" s="25">
        <v>16</v>
      </c>
      <c r="B25" s="356" t="s">
        <v>52</v>
      </c>
      <c r="C25" s="357">
        <v>128387.76000000001</v>
      </c>
      <c r="D25" s="357">
        <v>37458872.869999997</v>
      </c>
      <c r="E25" s="358">
        <f t="shared" si="2"/>
        <v>37587260.629999995</v>
      </c>
      <c r="F25" s="359">
        <v>142349.44</v>
      </c>
      <c r="G25" s="357">
        <v>19575897.020000003</v>
      </c>
      <c r="H25" s="360">
        <f t="shared" si="1"/>
        <v>19718246.460000005</v>
      </c>
    </row>
    <row r="26" spans="1:8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>
      <c r="A27" s="25">
        <v>18</v>
      </c>
      <c r="B27" s="356" t="s">
        <v>54</v>
      </c>
      <c r="C27" s="357">
        <v>5000000</v>
      </c>
      <c r="D27" s="357">
        <v>29125333.304208003</v>
      </c>
      <c r="E27" s="358">
        <f t="shared" si="2"/>
        <v>34125333.304208003</v>
      </c>
      <c r="F27" s="359">
        <v>0</v>
      </c>
      <c r="G27" s="357">
        <v>15613033.320588002</v>
      </c>
      <c r="H27" s="360">
        <f t="shared" si="1"/>
        <v>15613033.320588002</v>
      </c>
    </row>
    <row r="28" spans="1:8">
      <c r="A28" s="25">
        <v>19</v>
      </c>
      <c r="B28" s="356" t="s">
        <v>55</v>
      </c>
      <c r="C28" s="357">
        <v>11039.8</v>
      </c>
      <c r="D28" s="357">
        <v>1248591.7808940001</v>
      </c>
      <c r="E28" s="358">
        <f t="shared" si="2"/>
        <v>1259631.5808940001</v>
      </c>
      <c r="F28" s="359">
        <v>6830.44</v>
      </c>
      <c r="G28" s="357">
        <v>1259206.48</v>
      </c>
      <c r="H28" s="360">
        <f t="shared" si="1"/>
        <v>1266036.92</v>
      </c>
    </row>
    <row r="29" spans="1:8">
      <c r="A29" s="25">
        <v>20</v>
      </c>
      <c r="B29" s="356" t="s">
        <v>56</v>
      </c>
      <c r="C29" s="357">
        <v>910821.88260000001</v>
      </c>
      <c r="D29" s="357">
        <v>1562461.2377819999</v>
      </c>
      <c r="E29" s="358">
        <f t="shared" si="2"/>
        <v>2473283.1203819998</v>
      </c>
      <c r="F29" s="359">
        <v>1588483.2335999999</v>
      </c>
      <c r="G29" s="357">
        <v>1507831.9509999999</v>
      </c>
      <c r="H29" s="360">
        <f t="shared" si="1"/>
        <v>3096315.1845999998</v>
      </c>
    </row>
    <row r="30" spans="1:8">
      <c r="A30" s="25">
        <v>21</v>
      </c>
      <c r="B30" s="356" t="s">
        <v>57</v>
      </c>
      <c r="C30" s="357">
        <v>0</v>
      </c>
      <c r="D30" s="357">
        <v>0</v>
      </c>
      <c r="E30" s="358">
        <f t="shared" si="2"/>
        <v>0</v>
      </c>
      <c r="F30" s="359">
        <v>0</v>
      </c>
      <c r="G30" s="357">
        <v>0</v>
      </c>
      <c r="H30" s="360">
        <f t="shared" si="1"/>
        <v>0</v>
      </c>
    </row>
    <row r="31" spans="1:8">
      <c r="A31" s="25">
        <v>22</v>
      </c>
      <c r="B31" s="366" t="s">
        <v>58</v>
      </c>
      <c r="C31" s="358">
        <f>SUM(C22:C30)</f>
        <v>16325795.512600001</v>
      </c>
      <c r="D31" s="358">
        <f>SUM(D22:D30)</f>
        <v>227676010.27398404</v>
      </c>
      <c r="E31" s="358">
        <f>C31+D31</f>
        <v>244001805.78658405</v>
      </c>
      <c r="F31" s="358">
        <f>SUM(F22:F30)</f>
        <v>7995156.0035999995</v>
      </c>
      <c r="G31" s="358">
        <f>SUM(G22:G30)</f>
        <v>181294939.04158801</v>
      </c>
      <c r="H31" s="360">
        <f t="shared" si="1"/>
        <v>189290095.04518801</v>
      </c>
    </row>
    <row r="32" spans="1:8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>
      <c r="A33" s="25">
        <v>23</v>
      </c>
      <c r="B33" s="356" t="s">
        <v>60</v>
      </c>
      <c r="C33" s="357">
        <v>69161600</v>
      </c>
      <c r="D33" s="367"/>
      <c r="E33" s="358">
        <f t="shared" si="2"/>
        <v>69161600</v>
      </c>
      <c r="F33" s="359">
        <v>69161600</v>
      </c>
      <c r="G33" s="367"/>
      <c r="H33" s="360">
        <f t="shared" si="1"/>
        <v>69161600</v>
      </c>
    </row>
    <row r="34" spans="1:8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>
      <c r="A38" s="25">
        <v>28</v>
      </c>
      <c r="B38" s="356" t="s">
        <v>65</v>
      </c>
      <c r="C38" s="357">
        <v>14154426.987222282</v>
      </c>
      <c r="D38" s="367"/>
      <c r="E38" s="358">
        <f t="shared" si="2"/>
        <v>14154426.987222282</v>
      </c>
      <c r="F38" s="359">
        <v>11356678.019870473</v>
      </c>
      <c r="G38" s="367"/>
      <c r="H38" s="360">
        <f t="shared" si="1"/>
        <v>11356678.019870473</v>
      </c>
    </row>
    <row r="39" spans="1:8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>
      <c r="A40" s="25">
        <v>30</v>
      </c>
      <c r="B40" s="371" t="s">
        <v>271</v>
      </c>
      <c r="C40" s="372">
        <f>SUM(C33:C39)</f>
        <v>83316026.987222284</v>
      </c>
      <c r="D40" s="367"/>
      <c r="E40" s="358">
        <f t="shared" si="2"/>
        <v>83316026.987222284</v>
      </c>
      <c r="F40" s="372">
        <f>SUM(F33:F39)</f>
        <v>80518278.019870475</v>
      </c>
      <c r="G40" s="367"/>
      <c r="H40" s="360">
        <f t="shared" si="1"/>
        <v>80518278.019870475</v>
      </c>
    </row>
    <row r="41" spans="1:8" ht="15" thickBot="1">
      <c r="A41" s="26">
        <v>31</v>
      </c>
      <c r="B41" s="27" t="s">
        <v>67</v>
      </c>
      <c r="C41" s="373">
        <f>C31+C40</f>
        <v>99641822.499822289</v>
      </c>
      <c r="D41" s="373">
        <f>D31+D40</f>
        <v>227676010.27398404</v>
      </c>
      <c r="E41" s="373">
        <f>C41+D41</f>
        <v>327317832.77380633</v>
      </c>
      <c r="F41" s="373">
        <f>F31+F40</f>
        <v>88513434.023470476</v>
      </c>
      <c r="G41" s="373">
        <f>G31+G40</f>
        <v>181294939.04158801</v>
      </c>
      <c r="H41" s="374">
        <f>F41+G41</f>
        <v>269808373.06505847</v>
      </c>
    </row>
    <row r="43" spans="1:8">
      <c r="B43" s="2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337" t="s">
        <v>30</v>
      </c>
      <c r="B1" s="338" t="s">
        <v>439</v>
      </c>
      <c r="C1" s="3"/>
    </row>
    <row r="2" spans="1:8">
      <c r="A2" s="337" t="s">
        <v>31</v>
      </c>
      <c r="B2" s="339">
        <f>'1. key ratios '!B2</f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0" t="s">
        <v>199</v>
      </c>
      <c r="B4" s="195" t="s">
        <v>22</v>
      </c>
      <c r="C4" s="19"/>
      <c r="D4" s="21"/>
      <c r="E4" s="21"/>
      <c r="F4" s="22"/>
      <c r="G4" s="22"/>
      <c r="H4" s="396" t="s">
        <v>73</v>
      </c>
    </row>
    <row r="5" spans="1:8">
      <c r="A5" s="32" t="s">
        <v>6</v>
      </c>
      <c r="B5" s="33"/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34" t="s">
        <v>6</v>
      </c>
      <c r="B6" s="375"/>
      <c r="C6" s="384" t="s">
        <v>69</v>
      </c>
      <c r="D6" s="384" t="s">
        <v>70</v>
      </c>
      <c r="E6" s="384" t="s">
        <v>71</v>
      </c>
      <c r="F6" s="384" t="s">
        <v>69</v>
      </c>
      <c r="G6" s="384" t="s">
        <v>70</v>
      </c>
      <c r="H6" s="397" t="s">
        <v>71</v>
      </c>
    </row>
    <row r="7" spans="1:8">
      <c r="A7" s="35"/>
      <c r="B7" s="195" t="s">
        <v>198</v>
      </c>
      <c r="C7" s="385"/>
      <c r="D7" s="385"/>
      <c r="E7" s="385"/>
      <c r="F7" s="385"/>
      <c r="G7" s="385"/>
      <c r="H7" s="398"/>
    </row>
    <row r="8" spans="1:8">
      <c r="A8" s="35">
        <v>1</v>
      </c>
      <c r="B8" s="376" t="s">
        <v>197</v>
      </c>
      <c r="C8" s="386">
        <v>349339.36000000004</v>
      </c>
      <c r="D8" s="386">
        <v>15784.85</v>
      </c>
      <c r="E8" s="363">
        <f t="shared" ref="E8:E22" si="0">C8+D8</f>
        <v>365124.21</v>
      </c>
      <c r="F8" s="388">
        <v>1056062.98</v>
      </c>
      <c r="G8" s="388">
        <v>21297.439999999999</v>
      </c>
      <c r="H8" s="365">
        <f t="shared" ref="H8:H22" si="1">F8+G8</f>
        <v>1077360.42</v>
      </c>
    </row>
    <row r="9" spans="1:8">
      <c r="A9" s="35">
        <v>2</v>
      </c>
      <c r="B9" s="376" t="s">
        <v>196</v>
      </c>
      <c r="C9" s="387">
        <f>C10+C11+C12+C13+C14+C15+C16+C17+C18</f>
        <v>14352303.800000003</v>
      </c>
      <c r="D9" s="387">
        <f>D10+D11+D12+D13+D14+D15+D16+D17+D18</f>
        <v>790610.41</v>
      </c>
      <c r="E9" s="363">
        <f t="shared" si="0"/>
        <v>15142914.210000003</v>
      </c>
      <c r="F9" s="387">
        <f>F10+F11+F12+F13+F14+F15+F16+F17+F18</f>
        <v>11829238.919999998</v>
      </c>
      <c r="G9" s="387">
        <f>G10+G11+G12+G13+G14+G15+G16+G17+G18</f>
        <v>721149.72</v>
      </c>
      <c r="H9" s="365">
        <f t="shared" si="1"/>
        <v>12550388.639999999</v>
      </c>
    </row>
    <row r="10" spans="1:8">
      <c r="A10" s="35">
        <v>2.1</v>
      </c>
      <c r="B10" s="377" t="s">
        <v>195</v>
      </c>
      <c r="C10" s="388">
        <v>0</v>
      </c>
      <c r="D10" s="388">
        <v>138762.01999999999</v>
      </c>
      <c r="E10" s="363">
        <f t="shared" si="0"/>
        <v>138762.01999999999</v>
      </c>
      <c r="F10" s="388">
        <v>0</v>
      </c>
      <c r="G10" s="388">
        <v>85651.63</v>
      </c>
      <c r="H10" s="365">
        <f t="shared" si="1"/>
        <v>85651.63</v>
      </c>
    </row>
    <row r="11" spans="1:8">
      <c r="A11" s="35">
        <v>2.2000000000000002</v>
      </c>
      <c r="B11" s="377" t="s">
        <v>194</v>
      </c>
      <c r="C11" s="388">
        <v>13367295.070000002</v>
      </c>
      <c r="D11" s="388">
        <v>0</v>
      </c>
      <c r="E11" s="363">
        <f t="shared" si="0"/>
        <v>13367295.070000002</v>
      </c>
      <c r="F11" s="388">
        <v>10627466.479999999</v>
      </c>
      <c r="G11" s="388">
        <v>0</v>
      </c>
      <c r="H11" s="365">
        <f t="shared" si="1"/>
        <v>10627466.479999999</v>
      </c>
    </row>
    <row r="12" spans="1:8">
      <c r="A12" s="35">
        <v>2.2999999999999998</v>
      </c>
      <c r="B12" s="377" t="s">
        <v>193</v>
      </c>
      <c r="C12" s="388"/>
      <c r="D12" s="388"/>
      <c r="E12" s="363">
        <f t="shared" si="0"/>
        <v>0</v>
      </c>
      <c r="F12" s="388"/>
      <c r="G12" s="388"/>
      <c r="H12" s="365">
        <f t="shared" si="1"/>
        <v>0</v>
      </c>
    </row>
    <row r="13" spans="1:8">
      <c r="A13" s="35">
        <v>2.4</v>
      </c>
      <c r="B13" s="377" t="s">
        <v>192</v>
      </c>
      <c r="C13" s="388"/>
      <c r="D13" s="388"/>
      <c r="E13" s="363">
        <f t="shared" si="0"/>
        <v>0</v>
      </c>
      <c r="F13" s="388"/>
      <c r="G13" s="388"/>
      <c r="H13" s="365">
        <f t="shared" si="1"/>
        <v>0</v>
      </c>
    </row>
    <row r="14" spans="1:8">
      <c r="A14" s="35">
        <v>2.5</v>
      </c>
      <c r="B14" s="377" t="s">
        <v>191</v>
      </c>
      <c r="C14" s="388"/>
      <c r="D14" s="388"/>
      <c r="E14" s="363">
        <f t="shared" si="0"/>
        <v>0</v>
      </c>
      <c r="F14" s="388"/>
      <c r="G14" s="388"/>
      <c r="H14" s="365">
        <f t="shared" si="1"/>
        <v>0</v>
      </c>
    </row>
    <row r="15" spans="1:8">
      <c r="A15" s="35">
        <v>2.6</v>
      </c>
      <c r="B15" s="377" t="s">
        <v>190</v>
      </c>
      <c r="C15" s="388"/>
      <c r="D15" s="388"/>
      <c r="E15" s="363">
        <f t="shared" si="0"/>
        <v>0</v>
      </c>
      <c r="F15" s="388"/>
      <c r="G15" s="388"/>
      <c r="H15" s="365">
        <f t="shared" si="1"/>
        <v>0</v>
      </c>
    </row>
    <row r="16" spans="1:8">
      <c r="A16" s="35">
        <v>2.7</v>
      </c>
      <c r="B16" s="377" t="s">
        <v>189</v>
      </c>
      <c r="C16" s="388"/>
      <c r="D16" s="388"/>
      <c r="E16" s="363">
        <f t="shared" si="0"/>
        <v>0</v>
      </c>
      <c r="F16" s="388"/>
      <c r="G16" s="388"/>
      <c r="H16" s="365">
        <f t="shared" si="1"/>
        <v>0</v>
      </c>
    </row>
    <row r="17" spans="1:8">
      <c r="A17" s="35">
        <v>2.8</v>
      </c>
      <c r="B17" s="377" t="s">
        <v>188</v>
      </c>
      <c r="C17" s="388">
        <v>985008.72999999986</v>
      </c>
      <c r="D17" s="388">
        <v>651848.39</v>
      </c>
      <c r="E17" s="363">
        <f t="shared" si="0"/>
        <v>1636857.1199999999</v>
      </c>
      <c r="F17" s="388">
        <v>1201772.44</v>
      </c>
      <c r="G17" s="388">
        <v>635498.09</v>
      </c>
      <c r="H17" s="365">
        <f t="shared" si="1"/>
        <v>1837270.5299999998</v>
      </c>
    </row>
    <row r="18" spans="1:8">
      <c r="A18" s="35">
        <v>2.9</v>
      </c>
      <c r="B18" s="377" t="s">
        <v>187</v>
      </c>
      <c r="C18" s="388">
        <v>0</v>
      </c>
      <c r="D18" s="388">
        <v>0</v>
      </c>
      <c r="E18" s="363">
        <f t="shared" si="0"/>
        <v>0</v>
      </c>
      <c r="F18" s="388">
        <v>0</v>
      </c>
      <c r="G18" s="388">
        <v>0</v>
      </c>
      <c r="H18" s="365">
        <f t="shared" si="1"/>
        <v>0</v>
      </c>
    </row>
    <row r="19" spans="1:8">
      <c r="A19" s="35">
        <v>3</v>
      </c>
      <c r="B19" s="376" t="s">
        <v>186</v>
      </c>
      <c r="C19" s="388">
        <v>0</v>
      </c>
      <c r="D19" s="388">
        <v>0</v>
      </c>
      <c r="E19" s="363">
        <f t="shared" si="0"/>
        <v>0</v>
      </c>
      <c r="F19" s="388">
        <v>0</v>
      </c>
      <c r="G19" s="388">
        <v>0</v>
      </c>
      <c r="H19" s="365">
        <f t="shared" si="1"/>
        <v>0</v>
      </c>
    </row>
    <row r="20" spans="1:8">
      <c r="A20" s="35">
        <v>4</v>
      </c>
      <c r="B20" s="376" t="s">
        <v>185</v>
      </c>
      <c r="C20" s="388">
        <v>2884238.735680623</v>
      </c>
      <c r="D20" s="388">
        <v>488948.61011158419</v>
      </c>
      <c r="E20" s="363">
        <f t="shared" si="0"/>
        <v>3373187.3457922069</v>
      </c>
      <c r="F20" s="388">
        <v>2206470.3610023549</v>
      </c>
      <c r="G20" s="388">
        <v>531811.58758957812</v>
      </c>
      <c r="H20" s="365">
        <f t="shared" si="1"/>
        <v>2738281.9485919331</v>
      </c>
    </row>
    <row r="21" spans="1:8">
      <c r="A21" s="35">
        <v>5</v>
      </c>
      <c r="B21" s="376" t="s">
        <v>184</v>
      </c>
      <c r="C21" s="388">
        <v>0</v>
      </c>
      <c r="D21" s="388"/>
      <c r="E21" s="363">
        <f t="shared" si="0"/>
        <v>0</v>
      </c>
      <c r="F21" s="388">
        <v>0</v>
      </c>
      <c r="G21" s="388"/>
      <c r="H21" s="365">
        <f t="shared" si="1"/>
        <v>0</v>
      </c>
    </row>
    <row r="22" spans="1:8">
      <c r="A22" s="35">
        <v>6</v>
      </c>
      <c r="B22" s="378" t="s">
        <v>183</v>
      </c>
      <c r="C22" s="387">
        <f>C8+C9+C19+C20+C21</f>
        <v>17585881.895680625</v>
      </c>
      <c r="D22" s="387">
        <f>D8+D9+D19+D20+D21</f>
        <v>1295343.8701115842</v>
      </c>
      <c r="E22" s="363">
        <f t="shared" si="0"/>
        <v>18881225.76579221</v>
      </c>
      <c r="F22" s="387">
        <f>F8+F9+F19+F20+F21</f>
        <v>15091772.261002354</v>
      </c>
      <c r="G22" s="387">
        <f>G8+G9+G19+G20+G21</f>
        <v>1274258.7475895779</v>
      </c>
      <c r="H22" s="365">
        <f t="shared" si="1"/>
        <v>16366031.008591931</v>
      </c>
    </row>
    <row r="23" spans="1:8">
      <c r="A23" s="35"/>
      <c r="B23" s="195" t="s">
        <v>182</v>
      </c>
      <c r="C23" s="388"/>
      <c r="D23" s="388"/>
      <c r="E23" s="362"/>
      <c r="F23" s="388"/>
      <c r="G23" s="388"/>
      <c r="H23" s="399"/>
    </row>
    <row r="24" spans="1:8">
      <c r="A24" s="35">
        <v>7</v>
      </c>
      <c r="B24" s="376" t="s">
        <v>181</v>
      </c>
      <c r="C24" s="388">
        <v>208660.13</v>
      </c>
      <c r="D24" s="388">
        <v>0</v>
      </c>
      <c r="E24" s="363">
        <f t="shared" ref="E24:E31" si="2">C24+D24</f>
        <v>208660.13</v>
      </c>
      <c r="F24" s="388">
        <v>106510.43000000001</v>
      </c>
      <c r="G24" s="388">
        <v>0</v>
      </c>
      <c r="H24" s="365">
        <f t="shared" ref="H24:H31" si="3">F24+G24</f>
        <v>106510.43000000001</v>
      </c>
    </row>
    <row r="25" spans="1:8">
      <c r="A25" s="35">
        <v>8</v>
      </c>
      <c r="B25" s="376" t="s">
        <v>180</v>
      </c>
      <c r="C25" s="388">
        <v>421664.55999999994</v>
      </c>
      <c r="D25" s="388">
        <v>332208.62</v>
      </c>
      <c r="E25" s="363">
        <f t="shared" si="2"/>
        <v>753873.17999999993</v>
      </c>
      <c r="F25" s="388">
        <v>831385.63000000012</v>
      </c>
      <c r="G25" s="388">
        <v>0</v>
      </c>
      <c r="H25" s="365">
        <f t="shared" si="3"/>
        <v>831385.63000000012</v>
      </c>
    </row>
    <row r="26" spans="1:8">
      <c r="A26" s="35">
        <v>9</v>
      </c>
      <c r="B26" s="376" t="s">
        <v>179</v>
      </c>
      <c r="C26" s="388">
        <v>57842.53</v>
      </c>
      <c r="D26" s="388">
        <v>1981090.71</v>
      </c>
      <c r="E26" s="363">
        <f t="shared" si="2"/>
        <v>2038933.24</v>
      </c>
      <c r="F26" s="388">
        <v>424178.39999999997</v>
      </c>
      <c r="G26" s="388">
        <v>1870104.85</v>
      </c>
      <c r="H26" s="365">
        <f t="shared" si="3"/>
        <v>2294283.25</v>
      </c>
    </row>
    <row r="27" spans="1:8">
      <c r="A27" s="35">
        <v>10</v>
      </c>
      <c r="B27" s="376" t="s">
        <v>178</v>
      </c>
      <c r="C27" s="388"/>
      <c r="D27" s="388"/>
      <c r="E27" s="363">
        <f t="shared" si="2"/>
        <v>0</v>
      </c>
      <c r="F27" s="388">
        <v>0</v>
      </c>
      <c r="G27" s="388">
        <v>0</v>
      </c>
      <c r="H27" s="365">
        <f t="shared" si="3"/>
        <v>0</v>
      </c>
    </row>
    <row r="28" spans="1:8">
      <c r="A28" s="35">
        <v>11</v>
      </c>
      <c r="B28" s="376" t="s">
        <v>177</v>
      </c>
      <c r="C28" s="388">
        <v>292032.40000000002</v>
      </c>
      <c r="D28" s="388">
        <v>909902.06</v>
      </c>
      <c r="E28" s="363">
        <f t="shared" si="2"/>
        <v>1201934.46</v>
      </c>
      <c r="F28" s="388">
        <v>85776.1</v>
      </c>
      <c r="G28" s="388">
        <v>1223761.1600000001</v>
      </c>
      <c r="H28" s="365">
        <f t="shared" si="3"/>
        <v>1309537.2600000002</v>
      </c>
    </row>
    <row r="29" spans="1:8">
      <c r="A29" s="35">
        <v>12</v>
      </c>
      <c r="B29" s="376" t="s">
        <v>176</v>
      </c>
      <c r="C29" s="388"/>
      <c r="D29" s="388"/>
      <c r="E29" s="363">
        <f t="shared" si="2"/>
        <v>0</v>
      </c>
      <c r="F29" s="388"/>
      <c r="G29" s="388"/>
      <c r="H29" s="365">
        <f t="shared" si="3"/>
        <v>0</v>
      </c>
    </row>
    <row r="30" spans="1:8">
      <c r="A30" s="35">
        <v>13</v>
      </c>
      <c r="B30" s="379" t="s">
        <v>175</v>
      </c>
      <c r="C30" s="387">
        <f>C24+C25+C26+C27+C28+C29</f>
        <v>980199.62</v>
      </c>
      <c r="D30" s="387">
        <f>D24+D25+D26+D27+D28+D29</f>
        <v>3223201.39</v>
      </c>
      <c r="E30" s="363">
        <f t="shared" si="2"/>
        <v>4203401.01</v>
      </c>
      <c r="F30" s="387">
        <f>F24+F25+F26+F27+F28+F29</f>
        <v>1447850.5600000003</v>
      </c>
      <c r="G30" s="387">
        <f>G24+G25+G26+G27+G28+G29</f>
        <v>3093866.0100000002</v>
      </c>
      <c r="H30" s="365">
        <f t="shared" si="3"/>
        <v>4541716.57</v>
      </c>
    </row>
    <row r="31" spans="1:8">
      <c r="A31" s="35">
        <v>14</v>
      </c>
      <c r="B31" s="379" t="s">
        <v>174</v>
      </c>
      <c r="C31" s="387">
        <f>C22-C30</f>
        <v>16605682.275680626</v>
      </c>
      <c r="D31" s="387">
        <f>D22-D30</f>
        <v>-1927857.5198884159</v>
      </c>
      <c r="E31" s="363">
        <f t="shared" si="2"/>
        <v>14677824.75579221</v>
      </c>
      <c r="F31" s="387">
        <f>F22-F30</f>
        <v>13643921.701002354</v>
      </c>
      <c r="G31" s="387">
        <f>G22-G30</f>
        <v>-1819607.2624104223</v>
      </c>
      <c r="H31" s="365">
        <f t="shared" si="3"/>
        <v>11824314.438591931</v>
      </c>
    </row>
    <row r="32" spans="1:8">
      <c r="A32" s="35"/>
      <c r="B32" s="380"/>
      <c r="C32" s="389"/>
      <c r="D32" s="389"/>
      <c r="E32" s="389"/>
      <c r="F32" s="389"/>
      <c r="G32" s="389"/>
      <c r="H32" s="400"/>
    </row>
    <row r="33" spans="1:8">
      <c r="A33" s="35"/>
      <c r="B33" s="380" t="s">
        <v>173</v>
      </c>
      <c r="C33" s="388"/>
      <c r="D33" s="388"/>
      <c r="E33" s="362"/>
      <c r="F33" s="388"/>
      <c r="G33" s="388"/>
      <c r="H33" s="399"/>
    </row>
    <row r="34" spans="1:8">
      <c r="A34" s="35">
        <v>15</v>
      </c>
      <c r="B34" s="381" t="s">
        <v>172</v>
      </c>
      <c r="C34" s="390">
        <f>C35-C36</f>
        <v>91289.429999999935</v>
      </c>
      <c r="D34" s="390">
        <f>D35-D36</f>
        <v>0</v>
      </c>
      <c r="E34" s="363">
        <f t="shared" ref="E34:E45" si="4">C34+D34</f>
        <v>91289.429999999935</v>
      </c>
      <c r="F34" s="390">
        <f>F35-F36</f>
        <v>322451.44000000018</v>
      </c>
      <c r="G34" s="390">
        <f>G35-G36</f>
        <v>0</v>
      </c>
      <c r="H34" s="365">
        <f t="shared" ref="H34:H45" si="5">F34+G34</f>
        <v>322451.44000000018</v>
      </c>
    </row>
    <row r="35" spans="1:8">
      <c r="A35" s="35">
        <v>15.1</v>
      </c>
      <c r="B35" s="377" t="s">
        <v>171</v>
      </c>
      <c r="C35" s="388">
        <v>1148095.3500000001</v>
      </c>
      <c r="D35" s="388"/>
      <c r="E35" s="363">
        <f t="shared" si="4"/>
        <v>1148095.3500000001</v>
      </c>
      <c r="F35" s="388">
        <v>1471654.5099999998</v>
      </c>
      <c r="G35" s="388"/>
      <c r="H35" s="365">
        <f t="shared" si="5"/>
        <v>1471654.5099999998</v>
      </c>
    </row>
    <row r="36" spans="1:8">
      <c r="A36" s="35">
        <v>15.2</v>
      </c>
      <c r="B36" s="377" t="s">
        <v>170</v>
      </c>
      <c r="C36" s="388">
        <v>1056805.9200000002</v>
      </c>
      <c r="D36" s="388"/>
      <c r="E36" s="363">
        <f t="shared" si="4"/>
        <v>1056805.9200000002</v>
      </c>
      <c r="F36" s="388">
        <v>1149203.0699999996</v>
      </c>
      <c r="G36" s="388"/>
      <c r="H36" s="365">
        <f t="shared" si="5"/>
        <v>1149203.0699999996</v>
      </c>
    </row>
    <row r="37" spans="1:8">
      <c r="A37" s="35">
        <v>16</v>
      </c>
      <c r="B37" s="376" t="s">
        <v>169</v>
      </c>
      <c r="C37" s="388">
        <v>0</v>
      </c>
      <c r="D37" s="388"/>
      <c r="E37" s="363">
        <f t="shared" si="4"/>
        <v>0</v>
      </c>
      <c r="F37" s="388">
        <v>0</v>
      </c>
      <c r="G37" s="388"/>
      <c r="H37" s="365">
        <f t="shared" si="5"/>
        <v>0</v>
      </c>
    </row>
    <row r="38" spans="1:8">
      <c r="A38" s="35">
        <v>17</v>
      </c>
      <c r="B38" s="376" t="s">
        <v>168</v>
      </c>
      <c r="C38" s="388">
        <v>0</v>
      </c>
      <c r="D38" s="388"/>
      <c r="E38" s="363">
        <f t="shared" si="4"/>
        <v>0</v>
      </c>
      <c r="F38" s="388">
        <v>0</v>
      </c>
      <c r="G38" s="388"/>
      <c r="H38" s="365">
        <f t="shared" si="5"/>
        <v>0</v>
      </c>
    </row>
    <row r="39" spans="1:8">
      <c r="A39" s="35">
        <v>18</v>
      </c>
      <c r="B39" s="376" t="s">
        <v>167</v>
      </c>
      <c r="C39" s="388">
        <v>0</v>
      </c>
      <c r="D39" s="388"/>
      <c r="E39" s="363">
        <f t="shared" si="4"/>
        <v>0</v>
      </c>
      <c r="F39" s="388">
        <v>0</v>
      </c>
      <c r="G39" s="388"/>
      <c r="H39" s="365">
        <f t="shared" si="5"/>
        <v>0</v>
      </c>
    </row>
    <row r="40" spans="1:8">
      <c r="A40" s="35">
        <v>19</v>
      </c>
      <c r="B40" s="376" t="s">
        <v>166</v>
      </c>
      <c r="C40" s="388">
        <v>752285.14999999991</v>
      </c>
      <c r="D40" s="388"/>
      <c r="E40" s="363">
        <f t="shared" si="4"/>
        <v>752285.14999999991</v>
      </c>
      <c r="F40" s="388">
        <v>825174.52</v>
      </c>
      <c r="G40" s="388"/>
      <c r="H40" s="365">
        <f t="shared" si="5"/>
        <v>825174.52</v>
      </c>
    </row>
    <row r="41" spans="1:8">
      <c r="A41" s="35">
        <v>20</v>
      </c>
      <c r="B41" s="376" t="s">
        <v>165</v>
      </c>
      <c r="C41" s="388">
        <v>136194.8899999967</v>
      </c>
      <c r="D41" s="388"/>
      <c r="E41" s="363">
        <f t="shared" si="4"/>
        <v>136194.8899999967</v>
      </c>
      <c r="F41" s="388">
        <v>117279.52000000142</v>
      </c>
      <c r="G41" s="388"/>
      <c r="H41" s="365">
        <f t="shared" si="5"/>
        <v>117279.52000000142</v>
      </c>
    </row>
    <row r="42" spans="1:8">
      <c r="A42" s="35">
        <v>21</v>
      </c>
      <c r="B42" s="376" t="s">
        <v>164</v>
      </c>
      <c r="C42" s="388">
        <v>0</v>
      </c>
      <c r="D42" s="388"/>
      <c r="E42" s="363">
        <f t="shared" si="4"/>
        <v>0</v>
      </c>
      <c r="F42" s="388">
        <v>0</v>
      </c>
      <c r="G42" s="388"/>
      <c r="H42" s="365">
        <f t="shared" si="5"/>
        <v>0</v>
      </c>
    </row>
    <row r="43" spans="1:8">
      <c r="A43" s="35">
        <v>22</v>
      </c>
      <c r="B43" s="376" t="s">
        <v>163</v>
      </c>
      <c r="C43" s="388">
        <v>2188709.7000000002</v>
      </c>
      <c r="D43" s="388"/>
      <c r="E43" s="363">
        <f t="shared" si="4"/>
        <v>2188709.7000000002</v>
      </c>
      <c r="F43" s="388">
        <v>1704162.9699999997</v>
      </c>
      <c r="G43" s="388"/>
      <c r="H43" s="365">
        <f t="shared" si="5"/>
        <v>1704162.9699999997</v>
      </c>
    </row>
    <row r="44" spans="1:8">
      <c r="A44" s="35">
        <v>23</v>
      </c>
      <c r="B44" s="376" t="s">
        <v>162</v>
      </c>
      <c r="C44" s="388">
        <v>0</v>
      </c>
      <c r="D44" s="388"/>
      <c r="E44" s="363">
        <f t="shared" si="4"/>
        <v>0</v>
      </c>
      <c r="F44" s="388">
        <v>0</v>
      </c>
      <c r="G44" s="388"/>
      <c r="H44" s="365">
        <f t="shared" si="5"/>
        <v>0</v>
      </c>
    </row>
    <row r="45" spans="1:8">
      <c r="A45" s="35">
        <v>24</v>
      </c>
      <c r="B45" s="379" t="s">
        <v>278</v>
      </c>
      <c r="C45" s="387">
        <f>C34+C37+C38+C39+C40+C41+C42+C43+C44</f>
        <v>3168479.1699999967</v>
      </c>
      <c r="D45" s="387">
        <f>D34+D37+D38+D39+D40+D41+D42+D43+D44</f>
        <v>0</v>
      </c>
      <c r="E45" s="363">
        <f t="shared" si="4"/>
        <v>3168479.1699999967</v>
      </c>
      <c r="F45" s="387">
        <f>F34+F37+F38+F39+F40+F41+F42+F43+F44</f>
        <v>2969068.4500000011</v>
      </c>
      <c r="G45" s="387">
        <f>G34+G37+G38+G39+G40+G41+G42+G43+G44</f>
        <v>0</v>
      </c>
      <c r="H45" s="365">
        <f t="shared" si="5"/>
        <v>2969068.4500000011</v>
      </c>
    </row>
    <row r="46" spans="1:8">
      <c r="A46" s="35"/>
      <c r="B46" s="195" t="s">
        <v>161</v>
      </c>
      <c r="C46" s="388"/>
      <c r="D46" s="388"/>
      <c r="E46" s="388"/>
      <c r="F46" s="388"/>
      <c r="G46" s="388"/>
      <c r="H46" s="401"/>
    </row>
    <row r="47" spans="1:8">
      <c r="A47" s="35">
        <v>25</v>
      </c>
      <c r="B47" s="376" t="s">
        <v>160</v>
      </c>
      <c r="C47" s="388">
        <v>0</v>
      </c>
      <c r="D47" s="388"/>
      <c r="E47" s="363">
        <f t="shared" ref="E47:E54" si="6">C47+D47</f>
        <v>0</v>
      </c>
      <c r="F47" s="388">
        <v>0</v>
      </c>
      <c r="G47" s="388"/>
      <c r="H47" s="365">
        <f t="shared" ref="H47:H54" si="7">F47+G47</f>
        <v>0</v>
      </c>
    </row>
    <row r="48" spans="1:8">
      <c r="A48" s="35">
        <v>26</v>
      </c>
      <c r="B48" s="376" t="s">
        <v>159</v>
      </c>
      <c r="C48" s="388">
        <v>106861.22</v>
      </c>
      <c r="D48" s="388"/>
      <c r="E48" s="363">
        <f t="shared" si="6"/>
        <v>106861.22</v>
      </c>
      <c r="F48" s="388">
        <v>158354.84000000003</v>
      </c>
      <c r="G48" s="388"/>
      <c r="H48" s="365">
        <f t="shared" si="7"/>
        <v>158354.84000000003</v>
      </c>
    </row>
    <row r="49" spans="1:8">
      <c r="A49" s="35">
        <v>27</v>
      </c>
      <c r="B49" s="376" t="s">
        <v>158</v>
      </c>
      <c r="C49" s="388">
        <v>4850195.4800000004</v>
      </c>
      <c r="D49" s="388"/>
      <c r="E49" s="363">
        <f t="shared" si="6"/>
        <v>4850195.4800000004</v>
      </c>
      <c r="F49" s="388">
        <v>4555313.97</v>
      </c>
      <c r="G49" s="388"/>
      <c r="H49" s="365">
        <f t="shared" si="7"/>
        <v>4555313.97</v>
      </c>
    </row>
    <row r="50" spans="1:8">
      <c r="A50" s="35">
        <v>28</v>
      </c>
      <c r="B50" s="376" t="s">
        <v>157</v>
      </c>
      <c r="C50" s="388">
        <v>45949.93</v>
      </c>
      <c r="D50" s="388"/>
      <c r="E50" s="363">
        <f t="shared" si="6"/>
        <v>45949.93</v>
      </c>
      <c r="F50" s="388">
        <v>18783.09</v>
      </c>
      <c r="G50" s="388"/>
      <c r="H50" s="365">
        <f t="shared" si="7"/>
        <v>18783.09</v>
      </c>
    </row>
    <row r="51" spans="1:8">
      <c r="A51" s="35">
        <v>29</v>
      </c>
      <c r="B51" s="376" t="s">
        <v>156</v>
      </c>
      <c r="C51" s="388">
        <v>537677.13</v>
      </c>
      <c r="D51" s="388"/>
      <c r="E51" s="363">
        <f t="shared" si="6"/>
        <v>537677.13</v>
      </c>
      <c r="F51" s="388">
        <v>628592.15</v>
      </c>
      <c r="G51" s="388"/>
      <c r="H51" s="365">
        <f t="shared" si="7"/>
        <v>628592.15</v>
      </c>
    </row>
    <row r="52" spans="1:8">
      <c r="A52" s="35">
        <v>30</v>
      </c>
      <c r="B52" s="376" t="s">
        <v>155</v>
      </c>
      <c r="C52" s="388">
        <v>2133035.66</v>
      </c>
      <c r="D52" s="388"/>
      <c r="E52" s="363">
        <f t="shared" si="6"/>
        <v>2133035.66</v>
      </c>
      <c r="F52" s="388">
        <v>1901891.92</v>
      </c>
      <c r="G52" s="388"/>
      <c r="H52" s="365">
        <f t="shared" si="7"/>
        <v>1901891.92</v>
      </c>
    </row>
    <row r="53" spans="1:8">
      <c r="A53" s="35">
        <v>31</v>
      </c>
      <c r="B53" s="379" t="s">
        <v>279</v>
      </c>
      <c r="C53" s="387">
        <f>C47+C48+C49+C50+C51+C52</f>
        <v>7673719.4199999999</v>
      </c>
      <c r="D53" s="387">
        <f>D47+D48+D49+D50+D51+D52</f>
        <v>0</v>
      </c>
      <c r="E53" s="363">
        <f t="shared" si="6"/>
        <v>7673719.4199999999</v>
      </c>
      <c r="F53" s="387">
        <f>F47+F48+F49+F50+F51+F52</f>
        <v>7262935.9699999997</v>
      </c>
      <c r="G53" s="387">
        <f>G47+G48+G49+G50+G51+G52</f>
        <v>0</v>
      </c>
      <c r="H53" s="365">
        <f t="shared" si="7"/>
        <v>7262935.9699999997</v>
      </c>
    </row>
    <row r="54" spans="1:8">
      <c r="A54" s="35">
        <v>32</v>
      </c>
      <c r="B54" s="379" t="s">
        <v>280</v>
      </c>
      <c r="C54" s="387">
        <f>C45-C53</f>
        <v>-4505240.2500000037</v>
      </c>
      <c r="D54" s="387">
        <f>D45-D53</f>
        <v>0</v>
      </c>
      <c r="E54" s="363">
        <f t="shared" si="6"/>
        <v>-4505240.2500000037</v>
      </c>
      <c r="F54" s="387">
        <f>F45-F53</f>
        <v>-4293867.5199999986</v>
      </c>
      <c r="G54" s="387">
        <f>G45-G53</f>
        <v>0</v>
      </c>
      <c r="H54" s="365">
        <f t="shared" si="7"/>
        <v>-4293867.5199999986</v>
      </c>
    </row>
    <row r="55" spans="1:8">
      <c r="A55" s="35"/>
      <c r="B55" s="380"/>
      <c r="C55" s="389"/>
      <c r="D55" s="389"/>
      <c r="E55" s="389"/>
      <c r="F55" s="389"/>
      <c r="G55" s="389"/>
      <c r="H55" s="400"/>
    </row>
    <row r="56" spans="1:8">
      <c r="A56" s="35">
        <v>33</v>
      </c>
      <c r="B56" s="379" t="s">
        <v>154</v>
      </c>
      <c r="C56" s="387">
        <f>C31+C54</f>
        <v>12100442.025680622</v>
      </c>
      <c r="D56" s="387">
        <f>D31+D54</f>
        <v>-1927857.5198884159</v>
      </c>
      <c r="E56" s="363">
        <f>C56+D56</f>
        <v>10172584.505792206</v>
      </c>
      <c r="F56" s="387">
        <f>F31+F54</f>
        <v>9350054.1810023561</v>
      </c>
      <c r="G56" s="387">
        <f>G31+G54</f>
        <v>-1819607.2624104223</v>
      </c>
      <c r="H56" s="365">
        <f>F56+G56</f>
        <v>7530446.9185919333</v>
      </c>
    </row>
    <row r="57" spans="1:8">
      <c r="A57" s="35"/>
      <c r="B57" s="380"/>
      <c r="C57" s="389"/>
      <c r="D57" s="389"/>
      <c r="E57" s="389"/>
      <c r="F57" s="389"/>
      <c r="G57" s="389"/>
      <c r="H57" s="400"/>
    </row>
    <row r="58" spans="1:8">
      <c r="A58" s="35">
        <v>34</v>
      </c>
      <c r="B58" s="376" t="s">
        <v>153</v>
      </c>
      <c r="C58" s="388">
        <v>5828485.6366231851</v>
      </c>
      <c r="D58" s="388"/>
      <c r="E58" s="363">
        <f>C58+D58</f>
        <v>5828485.6366231851</v>
      </c>
      <c r="F58" s="388">
        <v>207039.87366919988</v>
      </c>
      <c r="G58" s="388"/>
      <c r="H58" s="365">
        <f>F58+G58</f>
        <v>207039.87366919988</v>
      </c>
    </row>
    <row r="59" spans="1:8" s="196" customFormat="1">
      <c r="A59" s="35">
        <v>35</v>
      </c>
      <c r="B59" s="376" t="s">
        <v>152</v>
      </c>
      <c r="C59" s="388">
        <v>44801.70472150296</v>
      </c>
      <c r="D59" s="388"/>
      <c r="E59" s="393">
        <f>C59+D59</f>
        <v>44801.70472150296</v>
      </c>
      <c r="F59" s="395">
        <v>74457.292854972242</v>
      </c>
      <c r="G59" s="395"/>
      <c r="H59" s="402">
        <f>F59+G59</f>
        <v>74457.292854972242</v>
      </c>
    </row>
    <row r="60" spans="1:8">
      <c r="A60" s="35">
        <v>36</v>
      </c>
      <c r="B60" s="376" t="s">
        <v>151</v>
      </c>
      <c r="C60" s="388">
        <v>1213419.1953083198</v>
      </c>
      <c r="D60" s="388"/>
      <c r="E60" s="363">
        <f>C60+D60</f>
        <v>1213419.1953083198</v>
      </c>
      <c r="F60" s="388">
        <v>253941.40714502777</v>
      </c>
      <c r="G60" s="388"/>
      <c r="H60" s="365">
        <f>F60+G60</f>
        <v>253941.40714502777</v>
      </c>
    </row>
    <row r="61" spans="1:8">
      <c r="A61" s="35">
        <v>37</v>
      </c>
      <c r="B61" s="379" t="s">
        <v>150</v>
      </c>
      <c r="C61" s="387">
        <f>C58+C59+C60</f>
        <v>7086706.5366530083</v>
      </c>
      <c r="D61" s="387">
        <f>D58+D59+D60</f>
        <v>0</v>
      </c>
      <c r="E61" s="363">
        <f>C61+D61</f>
        <v>7086706.5366530083</v>
      </c>
      <c r="F61" s="387">
        <f>F58+F59+F60</f>
        <v>535438.57366919983</v>
      </c>
      <c r="G61" s="387">
        <f>G58+G59+G60</f>
        <v>0</v>
      </c>
      <c r="H61" s="365">
        <f>F61+G61</f>
        <v>535438.57366919983</v>
      </c>
    </row>
    <row r="62" spans="1:8">
      <c r="A62" s="35"/>
      <c r="B62" s="382"/>
      <c r="C62" s="388"/>
      <c r="D62" s="388"/>
      <c r="E62" s="388"/>
      <c r="F62" s="388"/>
      <c r="G62" s="388"/>
      <c r="H62" s="401"/>
    </row>
    <row r="63" spans="1:8">
      <c r="A63" s="35">
        <v>38</v>
      </c>
      <c r="B63" s="383" t="s">
        <v>149</v>
      </c>
      <c r="C63" s="387">
        <f>C56-C61</f>
        <v>5013735.4890276138</v>
      </c>
      <c r="D63" s="387">
        <f>D56-D61</f>
        <v>-1927857.5198884159</v>
      </c>
      <c r="E63" s="363">
        <f>C63+D63</f>
        <v>3085877.9691391978</v>
      </c>
      <c r="F63" s="387">
        <f>F56-F61</f>
        <v>8814615.6073331572</v>
      </c>
      <c r="G63" s="387">
        <f>G56-G61</f>
        <v>-1819607.2624104223</v>
      </c>
      <c r="H63" s="365">
        <f>F63+G63</f>
        <v>6995008.3449227344</v>
      </c>
    </row>
    <row r="64" spans="1:8">
      <c r="A64" s="34">
        <v>39</v>
      </c>
      <c r="B64" s="376" t="s">
        <v>148</v>
      </c>
      <c r="C64" s="391">
        <v>288129</v>
      </c>
      <c r="D64" s="391"/>
      <c r="E64" s="363">
        <f>C64+D64</f>
        <v>288129</v>
      </c>
      <c r="F64" s="391">
        <v>1187241.3900000001</v>
      </c>
      <c r="G64" s="391"/>
      <c r="H64" s="365">
        <f>F64+G64</f>
        <v>1187241.3900000001</v>
      </c>
    </row>
    <row r="65" spans="1:8">
      <c r="A65" s="35">
        <v>40</v>
      </c>
      <c r="B65" s="379" t="s">
        <v>147</v>
      </c>
      <c r="C65" s="387">
        <f>C63-C64</f>
        <v>4725606.4890276138</v>
      </c>
      <c r="D65" s="387">
        <f>D63-D64</f>
        <v>-1927857.5198884159</v>
      </c>
      <c r="E65" s="363">
        <f>C65+D65</f>
        <v>2797748.9691391978</v>
      </c>
      <c r="F65" s="387">
        <f>F63-F64</f>
        <v>7627374.2173331566</v>
      </c>
      <c r="G65" s="387">
        <f>G63-G64</f>
        <v>-1819607.2624104223</v>
      </c>
      <c r="H65" s="365">
        <f>F65+G65</f>
        <v>5807766.9549227338</v>
      </c>
    </row>
    <row r="66" spans="1:8">
      <c r="A66" s="34">
        <v>41</v>
      </c>
      <c r="B66" s="376" t="s">
        <v>146</v>
      </c>
      <c r="C66" s="391"/>
      <c r="D66" s="391"/>
      <c r="E66" s="363">
        <f>C66+D66</f>
        <v>0</v>
      </c>
      <c r="F66" s="391"/>
      <c r="G66" s="391"/>
      <c r="H66" s="365">
        <f>F66+G66</f>
        <v>0</v>
      </c>
    </row>
    <row r="67" spans="1:8" ht="13.5" thickBot="1">
      <c r="A67" s="36">
        <v>42</v>
      </c>
      <c r="B67" s="37" t="s">
        <v>145</v>
      </c>
      <c r="C67" s="392">
        <f>C65+C66</f>
        <v>4725606.4890276138</v>
      </c>
      <c r="D67" s="392">
        <f>D65+D66</f>
        <v>-1927857.5198884159</v>
      </c>
      <c r="E67" s="394">
        <f>C67+D67</f>
        <v>2797748.9691391978</v>
      </c>
      <c r="F67" s="392">
        <f>F65+F66</f>
        <v>7627374.2173331566</v>
      </c>
      <c r="G67" s="392">
        <f>G65+G66</f>
        <v>-1819607.2624104223</v>
      </c>
      <c r="H67" s="403">
        <f>F67+G67</f>
        <v>5807766.9549227338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5" sqref="B5:B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44196</v>
      </c>
    </row>
    <row r="3" spans="1:8">
      <c r="A3" s="4"/>
    </row>
    <row r="4" spans="1:8" ht="15" thickBot="1">
      <c r="A4" s="4" t="s">
        <v>74</v>
      </c>
      <c r="B4" s="4"/>
      <c r="C4" s="404"/>
      <c r="D4" s="404"/>
      <c r="E4" s="404"/>
      <c r="F4" s="404"/>
      <c r="G4" s="405"/>
      <c r="H4" s="406" t="s">
        <v>73</v>
      </c>
    </row>
    <row r="5" spans="1:8">
      <c r="A5" s="543" t="s">
        <v>6</v>
      </c>
      <c r="B5" s="545" t="s">
        <v>345</v>
      </c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544"/>
      <c r="B6" s="546"/>
      <c r="C6" s="354" t="s">
        <v>292</v>
      </c>
      <c r="D6" s="354" t="s">
        <v>122</v>
      </c>
      <c r="E6" s="354" t="s">
        <v>109</v>
      </c>
      <c r="F6" s="354" t="s">
        <v>292</v>
      </c>
      <c r="G6" s="354" t="s">
        <v>122</v>
      </c>
      <c r="H6" s="355" t="s">
        <v>109</v>
      </c>
    </row>
    <row r="7" spans="1:8" s="17" customFormat="1">
      <c r="A7" s="180">
        <v>1</v>
      </c>
      <c r="B7" s="407" t="s">
        <v>379</v>
      </c>
      <c r="C7" s="390">
        <f>SUM(C8:C11)</f>
        <v>27809840.789999995</v>
      </c>
      <c r="D7" s="390">
        <f>SUM(D8:D11)</f>
        <v>63413394.049999997</v>
      </c>
      <c r="E7" s="390">
        <f>C7+D7</f>
        <v>91223234.839999989</v>
      </c>
      <c r="F7" s="390">
        <f>SUM(F8:F11)</f>
        <v>31600310.73</v>
      </c>
      <c r="G7" s="390">
        <f>SUM(G8:G11)</f>
        <v>28762745.810000002</v>
      </c>
      <c r="H7" s="365">
        <f t="shared" ref="H7:H53" si="0">F7+G7</f>
        <v>60363056.540000007</v>
      </c>
    </row>
    <row r="8" spans="1:8" s="17" customFormat="1">
      <c r="A8" s="180">
        <v>1.1000000000000001</v>
      </c>
      <c r="B8" s="408" t="s">
        <v>310</v>
      </c>
      <c r="C8" s="409">
        <v>27767635.999999996</v>
      </c>
      <c r="D8" s="409">
        <v>47019721.539999999</v>
      </c>
      <c r="E8" s="390">
        <f t="shared" ref="E8:E53" si="1">C8+D8</f>
        <v>74787357.539999992</v>
      </c>
      <c r="F8" s="409">
        <v>31542988.390000001</v>
      </c>
      <c r="G8" s="409">
        <v>28748407.310000002</v>
      </c>
      <c r="H8" s="365">
        <f t="shared" si="0"/>
        <v>60291395.700000003</v>
      </c>
    </row>
    <row r="9" spans="1:8" s="17" customFormat="1">
      <c r="A9" s="180">
        <v>1.2</v>
      </c>
      <c r="B9" s="408" t="s">
        <v>311</v>
      </c>
      <c r="C9" s="409"/>
      <c r="D9" s="409"/>
      <c r="E9" s="390">
        <f t="shared" si="1"/>
        <v>0</v>
      </c>
      <c r="F9" s="409"/>
      <c r="G9" s="409"/>
      <c r="H9" s="365">
        <f t="shared" si="0"/>
        <v>0</v>
      </c>
    </row>
    <row r="10" spans="1:8" s="17" customFormat="1">
      <c r="A10" s="180">
        <v>1.3</v>
      </c>
      <c r="B10" s="408" t="s">
        <v>312</v>
      </c>
      <c r="C10" s="409">
        <v>42204.79</v>
      </c>
      <c r="D10" s="409">
        <v>10672.51</v>
      </c>
      <c r="E10" s="390">
        <f t="shared" si="1"/>
        <v>52877.3</v>
      </c>
      <c r="F10" s="409">
        <v>57322.340000000004</v>
      </c>
      <c r="G10" s="409">
        <v>14338.500000000004</v>
      </c>
      <c r="H10" s="365">
        <f t="shared" si="0"/>
        <v>71660.840000000011</v>
      </c>
    </row>
    <row r="11" spans="1:8" s="17" customFormat="1">
      <c r="A11" s="180">
        <v>1.4</v>
      </c>
      <c r="B11" s="408" t="s">
        <v>293</v>
      </c>
      <c r="C11" s="409"/>
      <c r="D11" s="409">
        <v>16383000</v>
      </c>
      <c r="E11" s="390">
        <f t="shared" si="1"/>
        <v>16383000</v>
      </c>
      <c r="F11" s="409"/>
      <c r="G11" s="409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314</v>
      </c>
      <c r="C12" s="390"/>
      <c r="D12" s="390"/>
      <c r="E12" s="390">
        <f t="shared" si="1"/>
        <v>0</v>
      </c>
      <c r="F12" s="390"/>
      <c r="G12" s="390"/>
      <c r="H12" s="365">
        <f t="shared" si="0"/>
        <v>0</v>
      </c>
    </row>
    <row r="13" spans="1:8" s="17" customFormat="1" ht="19.899999999999999" customHeight="1">
      <c r="A13" s="180">
        <v>3</v>
      </c>
      <c r="B13" s="182" t="s">
        <v>313</v>
      </c>
      <c r="C13" s="390">
        <f>C14+C15</f>
        <v>5273000</v>
      </c>
      <c r="D13" s="390">
        <f>D14+D15</f>
        <v>0</v>
      </c>
      <c r="E13" s="390">
        <f t="shared" si="1"/>
        <v>5273000</v>
      </c>
      <c r="F13" s="390">
        <f>F14+F15</f>
        <v>0</v>
      </c>
      <c r="G13" s="390">
        <f>G14+G15</f>
        <v>0</v>
      </c>
      <c r="H13" s="365">
        <f t="shared" si="0"/>
        <v>0</v>
      </c>
    </row>
    <row r="14" spans="1:8" s="17" customFormat="1">
      <c r="A14" s="180">
        <v>3.1</v>
      </c>
      <c r="B14" s="228" t="s">
        <v>294</v>
      </c>
      <c r="C14" s="409">
        <v>5273000</v>
      </c>
      <c r="D14" s="409"/>
      <c r="E14" s="390">
        <f t="shared" si="1"/>
        <v>5273000</v>
      </c>
      <c r="F14" s="409"/>
      <c r="G14" s="409"/>
      <c r="H14" s="365">
        <f t="shared" si="0"/>
        <v>0</v>
      </c>
    </row>
    <row r="15" spans="1:8" s="17" customFormat="1">
      <c r="A15" s="180">
        <v>3.2</v>
      </c>
      <c r="B15" s="228" t="s">
        <v>295</v>
      </c>
      <c r="C15" s="409"/>
      <c r="D15" s="409"/>
      <c r="E15" s="390">
        <f t="shared" si="1"/>
        <v>0</v>
      </c>
      <c r="F15" s="409"/>
      <c r="G15" s="409"/>
      <c r="H15" s="365">
        <f t="shared" si="0"/>
        <v>0</v>
      </c>
    </row>
    <row r="16" spans="1:8" s="17" customFormat="1">
      <c r="A16" s="180">
        <v>4</v>
      </c>
      <c r="B16" s="230" t="s">
        <v>324</v>
      </c>
      <c r="C16" s="390">
        <f>C17+C18</f>
        <v>58929361.079999998</v>
      </c>
      <c r="D16" s="390">
        <f>D17+D18</f>
        <v>76756613.844440997</v>
      </c>
      <c r="E16" s="390">
        <f t="shared" si="1"/>
        <v>135685974.92444098</v>
      </c>
      <c r="F16" s="390">
        <f>F17+F18</f>
        <v>22963425.559999999</v>
      </c>
      <c r="G16" s="390">
        <f>G17+G18</f>
        <v>80640474.095630363</v>
      </c>
      <c r="H16" s="365">
        <f t="shared" si="0"/>
        <v>103603899.65563037</v>
      </c>
    </row>
    <row r="17" spans="1:8" s="17" customFormat="1">
      <c r="A17" s="180">
        <v>4.0999999999999996</v>
      </c>
      <c r="B17" s="228" t="s">
        <v>315</v>
      </c>
      <c r="C17" s="409">
        <v>35693506.710000001</v>
      </c>
      <c r="D17" s="409">
        <v>53491960.169999994</v>
      </c>
      <c r="E17" s="390">
        <f t="shared" si="1"/>
        <v>89185466.879999995</v>
      </c>
      <c r="F17" s="409"/>
      <c r="G17" s="409">
        <v>75116968.333922356</v>
      </c>
      <c r="H17" s="365">
        <f t="shared" si="0"/>
        <v>75116968.333922356</v>
      </c>
    </row>
    <row r="18" spans="1:8" s="17" customFormat="1">
      <c r="A18" s="180">
        <v>4.2</v>
      </c>
      <c r="B18" s="228" t="s">
        <v>309</v>
      </c>
      <c r="C18" s="409">
        <v>23235854.369999997</v>
      </c>
      <c r="D18" s="409">
        <v>23264653.674440999</v>
      </c>
      <c r="E18" s="390">
        <f t="shared" si="1"/>
        <v>46500508.044441</v>
      </c>
      <c r="F18" s="409">
        <v>22963425.559999999</v>
      </c>
      <c r="G18" s="409">
        <v>5523505.7617080007</v>
      </c>
      <c r="H18" s="365">
        <f t="shared" si="0"/>
        <v>28486931.321708001</v>
      </c>
    </row>
    <row r="19" spans="1:8" s="17" customFormat="1">
      <c r="A19" s="180">
        <v>5</v>
      </c>
      <c r="B19" s="182" t="s">
        <v>323</v>
      </c>
      <c r="C19" s="390">
        <f>C20+C21+C22+SUM(C28:C31)</f>
        <v>369665</v>
      </c>
      <c r="D19" s="390">
        <f>D20+D21+D22+SUM(D28:D31)</f>
        <v>296540140.3802861</v>
      </c>
      <c r="E19" s="390">
        <f t="shared" si="1"/>
        <v>296909805.3802861</v>
      </c>
      <c r="F19" s="390">
        <f>F20+F21+F22+SUM(F28:F31)</f>
        <v>214543.65</v>
      </c>
      <c r="G19" s="390">
        <f>G20+G21+G22+SUM(G28:G31)</f>
        <v>273643625.83374107</v>
      </c>
      <c r="H19" s="365">
        <f t="shared" si="0"/>
        <v>273858169.48374104</v>
      </c>
    </row>
    <row r="20" spans="1:8" s="17" customFormat="1">
      <c r="A20" s="180">
        <v>5.0999999999999996</v>
      </c>
      <c r="B20" s="410" t="s">
        <v>298</v>
      </c>
      <c r="C20" s="409">
        <v>369665</v>
      </c>
      <c r="D20" s="409">
        <v>1324752.942</v>
      </c>
      <c r="E20" s="390">
        <f t="shared" si="1"/>
        <v>1694417.942</v>
      </c>
      <c r="F20" s="409">
        <v>214543.65</v>
      </c>
      <c r="G20" s="409">
        <v>777146.7</v>
      </c>
      <c r="H20" s="365">
        <f t="shared" si="0"/>
        <v>991690.35</v>
      </c>
    </row>
    <row r="21" spans="1:8" s="17" customFormat="1">
      <c r="A21" s="180">
        <v>5.2</v>
      </c>
      <c r="B21" s="410" t="s">
        <v>297</v>
      </c>
      <c r="C21" s="409"/>
      <c r="D21" s="409"/>
      <c r="E21" s="390">
        <f t="shared" si="1"/>
        <v>0</v>
      </c>
      <c r="F21" s="409"/>
      <c r="G21" s="409"/>
      <c r="H21" s="365">
        <f t="shared" si="0"/>
        <v>0</v>
      </c>
    </row>
    <row r="22" spans="1:8" s="17" customFormat="1">
      <c r="A22" s="180">
        <v>5.3</v>
      </c>
      <c r="B22" s="410" t="s">
        <v>296</v>
      </c>
      <c r="C22" s="411">
        <f>SUM(C23:C27)</f>
        <v>0</v>
      </c>
      <c r="D22" s="411">
        <f>SUM(D23:D27)</f>
        <v>227082913.9648442</v>
      </c>
      <c r="E22" s="390">
        <f t="shared" si="1"/>
        <v>227082913.9648442</v>
      </c>
      <c r="F22" s="411">
        <f>SUM(F23:F27)</f>
        <v>0</v>
      </c>
      <c r="G22" s="411">
        <f>SUM(G23:G27)</f>
        <v>231489476.11788076</v>
      </c>
      <c r="H22" s="365">
        <f t="shared" si="0"/>
        <v>231489476.11788076</v>
      </c>
    </row>
    <row r="23" spans="1:8" s="17" customFormat="1">
      <c r="A23" s="180" t="s">
        <v>15</v>
      </c>
      <c r="B23" s="412" t="s">
        <v>75</v>
      </c>
      <c r="C23" s="409"/>
      <c r="D23" s="409">
        <v>33144915.370231472</v>
      </c>
      <c r="E23" s="390">
        <f t="shared" si="1"/>
        <v>33144915.370231472</v>
      </c>
      <c r="F23" s="409"/>
      <c r="G23" s="409">
        <v>33169051.787078243</v>
      </c>
      <c r="H23" s="365">
        <f t="shared" si="0"/>
        <v>33169051.787078243</v>
      </c>
    </row>
    <row r="24" spans="1:8" s="17" customFormat="1">
      <c r="A24" s="180" t="s">
        <v>16</v>
      </c>
      <c r="B24" s="412" t="s">
        <v>76</v>
      </c>
      <c r="C24" s="409"/>
      <c r="D24" s="409">
        <v>163882008.14209491</v>
      </c>
      <c r="E24" s="390">
        <f t="shared" si="1"/>
        <v>163882008.14209491</v>
      </c>
      <c r="F24" s="409"/>
      <c r="G24" s="409">
        <v>154731134.50952163</v>
      </c>
      <c r="H24" s="365">
        <f t="shared" si="0"/>
        <v>154731134.50952163</v>
      </c>
    </row>
    <row r="25" spans="1:8" s="17" customFormat="1">
      <c r="A25" s="180" t="s">
        <v>17</v>
      </c>
      <c r="B25" s="412" t="s">
        <v>77</v>
      </c>
      <c r="C25" s="409"/>
      <c r="D25" s="409">
        <v>163559.71573413658</v>
      </c>
      <c r="E25" s="390">
        <f t="shared" si="1"/>
        <v>163559.71573413658</v>
      </c>
      <c r="F25" s="409"/>
      <c r="G25" s="409">
        <v>1562753.3567745499</v>
      </c>
      <c r="H25" s="365">
        <f t="shared" si="0"/>
        <v>1562753.3567745499</v>
      </c>
    </row>
    <row r="26" spans="1:8" s="17" customFormat="1">
      <c r="A26" s="180" t="s">
        <v>18</v>
      </c>
      <c r="B26" s="412" t="s">
        <v>78</v>
      </c>
      <c r="C26" s="409"/>
      <c r="D26" s="409">
        <v>29892430.736783672</v>
      </c>
      <c r="E26" s="390">
        <f t="shared" si="1"/>
        <v>29892430.736783672</v>
      </c>
      <c r="F26" s="409"/>
      <c r="G26" s="409">
        <v>41911687.608959399</v>
      </c>
      <c r="H26" s="365">
        <f t="shared" si="0"/>
        <v>41911687.608959399</v>
      </c>
    </row>
    <row r="27" spans="1:8" s="17" customFormat="1">
      <c r="A27" s="180" t="s">
        <v>19</v>
      </c>
      <c r="B27" s="412" t="s">
        <v>79</v>
      </c>
      <c r="C27" s="409"/>
      <c r="D27" s="409">
        <v>0</v>
      </c>
      <c r="E27" s="390">
        <f t="shared" si="1"/>
        <v>0</v>
      </c>
      <c r="F27" s="409"/>
      <c r="G27" s="409">
        <v>114848.85554696069</v>
      </c>
      <c r="H27" s="365">
        <f t="shared" si="0"/>
        <v>114848.85554696069</v>
      </c>
    </row>
    <row r="28" spans="1:8" s="17" customFormat="1">
      <c r="A28" s="180">
        <v>5.4</v>
      </c>
      <c r="B28" s="410" t="s">
        <v>299</v>
      </c>
      <c r="C28" s="409"/>
      <c r="D28" s="409">
        <v>13529169.045442598</v>
      </c>
      <c r="E28" s="390">
        <f t="shared" si="1"/>
        <v>13529169.045442598</v>
      </c>
      <c r="F28" s="409"/>
      <c r="G28" s="409">
        <v>2434900.0004703375</v>
      </c>
      <c r="H28" s="365">
        <f t="shared" si="0"/>
        <v>2434900.0004703375</v>
      </c>
    </row>
    <row r="29" spans="1:8" s="17" customFormat="1">
      <c r="A29" s="180">
        <v>5.5</v>
      </c>
      <c r="B29" s="410" t="s">
        <v>300</v>
      </c>
      <c r="C29" s="409"/>
      <c r="D29" s="409">
        <v>0</v>
      </c>
      <c r="E29" s="390">
        <f t="shared" si="1"/>
        <v>0</v>
      </c>
      <c r="F29" s="409"/>
      <c r="G29" s="409">
        <v>0</v>
      </c>
      <c r="H29" s="365">
        <f t="shared" si="0"/>
        <v>0</v>
      </c>
    </row>
    <row r="30" spans="1:8" s="17" customFormat="1">
      <c r="A30" s="180">
        <v>5.6</v>
      </c>
      <c r="B30" s="410" t="s">
        <v>301</v>
      </c>
      <c r="C30" s="409"/>
      <c r="D30" s="409">
        <v>0</v>
      </c>
      <c r="E30" s="390">
        <f t="shared" si="1"/>
        <v>0</v>
      </c>
      <c r="F30" s="409"/>
      <c r="G30" s="409">
        <v>0</v>
      </c>
      <c r="H30" s="365">
        <f t="shared" si="0"/>
        <v>0</v>
      </c>
    </row>
    <row r="31" spans="1:8" s="17" customFormat="1">
      <c r="A31" s="180">
        <v>5.7</v>
      </c>
      <c r="B31" s="410" t="s">
        <v>79</v>
      </c>
      <c r="C31" s="409"/>
      <c r="D31" s="409">
        <v>54603304.42799931</v>
      </c>
      <c r="E31" s="390">
        <f t="shared" si="1"/>
        <v>54603304.42799931</v>
      </c>
      <c r="F31" s="409"/>
      <c r="G31" s="409">
        <v>38942103.015389957</v>
      </c>
      <c r="H31" s="365">
        <f t="shared" si="0"/>
        <v>38942103.015389957</v>
      </c>
    </row>
    <row r="32" spans="1:8" s="17" customFormat="1">
      <c r="A32" s="180">
        <v>6</v>
      </c>
      <c r="B32" s="182" t="s">
        <v>329</v>
      </c>
      <c r="C32" s="390">
        <f>SUM(C33:C39)</f>
        <v>0</v>
      </c>
      <c r="D32" s="390">
        <f>SUM(D33:D39)</f>
        <v>0</v>
      </c>
      <c r="E32" s="390">
        <f t="shared" si="1"/>
        <v>0</v>
      </c>
      <c r="F32" s="390">
        <f>SUM(F33:F39)</f>
        <v>0</v>
      </c>
      <c r="G32" s="390">
        <f>SUM(G33:G39)</f>
        <v>0</v>
      </c>
      <c r="H32" s="365">
        <f t="shared" si="0"/>
        <v>0</v>
      </c>
    </row>
    <row r="33" spans="1:8" s="17" customFormat="1">
      <c r="A33" s="180">
        <v>6.1</v>
      </c>
      <c r="B33" s="229" t="s">
        <v>319</v>
      </c>
      <c r="C33" s="409"/>
      <c r="D33" s="409"/>
      <c r="E33" s="390">
        <f t="shared" si="1"/>
        <v>0</v>
      </c>
      <c r="F33" s="409"/>
      <c r="G33" s="409"/>
      <c r="H33" s="365">
        <f t="shared" si="0"/>
        <v>0</v>
      </c>
    </row>
    <row r="34" spans="1:8" s="17" customFormat="1">
      <c r="A34" s="180">
        <v>6.2</v>
      </c>
      <c r="B34" s="229" t="s">
        <v>320</v>
      </c>
      <c r="C34" s="409"/>
      <c r="D34" s="409">
        <v>0</v>
      </c>
      <c r="E34" s="390">
        <f t="shared" si="1"/>
        <v>0</v>
      </c>
      <c r="F34" s="409"/>
      <c r="G34" s="409"/>
      <c r="H34" s="365">
        <f t="shared" si="0"/>
        <v>0</v>
      </c>
    </row>
    <row r="35" spans="1:8" s="17" customFormat="1">
      <c r="A35" s="180">
        <v>6.3</v>
      </c>
      <c r="B35" s="229" t="s">
        <v>316</v>
      </c>
      <c r="C35" s="409"/>
      <c r="D35" s="409"/>
      <c r="E35" s="390">
        <f t="shared" si="1"/>
        <v>0</v>
      </c>
      <c r="F35" s="409"/>
      <c r="G35" s="409"/>
      <c r="H35" s="365">
        <f t="shared" si="0"/>
        <v>0</v>
      </c>
    </row>
    <row r="36" spans="1:8" s="17" customFormat="1">
      <c r="A36" s="180">
        <v>6.4</v>
      </c>
      <c r="B36" s="229" t="s">
        <v>317</v>
      </c>
      <c r="C36" s="409"/>
      <c r="D36" s="409"/>
      <c r="E36" s="390">
        <f t="shared" si="1"/>
        <v>0</v>
      </c>
      <c r="F36" s="409"/>
      <c r="G36" s="409"/>
      <c r="H36" s="365">
        <f t="shared" si="0"/>
        <v>0</v>
      </c>
    </row>
    <row r="37" spans="1:8" s="17" customFormat="1">
      <c r="A37" s="180">
        <v>6.5</v>
      </c>
      <c r="B37" s="229" t="s">
        <v>318</v>
      </c>
      <c r="C37" s="409"/>
      <c r="D37" s="409"/>
      <c r="E37" s="390">
        <f t="shared" si="1"/>
        <v>0</v>
      </c>
      <c r="F37" s="409"/>
      <c r="G37" s="409"/>
      <c r="H37" s="365">
        <f t="shared" si="0"/>
        <v>0</v>
      </c>
    </row>
    <row r="38" spans="1:8" s="17" customFormat="1">
      <c r="A38" s="180">
        <v>6.6</v>
      </c>
      <c r="B38" s="229" t="s">
        <v>321</v>
      </c>
      <c r="C38" s="409"/>
      <c r="D38" s="409"/>
      <c r="E38" s="390">
        <f t="shared" si="1"/>
        <v>0</v>
      </c>
      <c r="F38" s="409"/>
      <c r="G38" s="409"/>
      <c r="H38" s="365">
        <f t="shared" si="0"/>
        <v>0</v>
      </c>
    </row>
    <row r="39" spans="1:8" s="17" customFormat="1">
      <c r="A39" s="180">
        <v>6.7</v>
      </c>
      <c r="B39" s="229" t="s">
        <v>322</v>
      </c>
      <c r="C39" s="409"/>
      <c r="D39" s="409"/>
      <c r="E39" s="390">
        <f t="shared" si="1"/>
        <v>0</v>
      </c>
      <c r="F39" s="409"/>
      <c r="G39" s="409"/>
      <c r="H39" s="365">
        <f t="shared" si="0"/>
        <v>0</v>
      </c>
    </row>
    <row r="40" spans="1:8" s="17" customFormat="1">
      <c r="A40" s="180">
        <v>7</v>
      </c>
      <c r="B40" s="182" t="s">
        <v>325</v>
      </c>
      <c r="C40" s="390">
        <f>SUM(C41:C44)</f>
        <v>142049.28999999992</v>
      </c>
      <c r="D40" s="390">
        <f>SUM(D41:D44)</f>
        <v>4336.0100000000011</v>
      </c>
      <c r="E40" s="390">
        <f t="shared" si="1"/>
        <v>146385.29999999993</v>
      </c>
      <c r="F40" s="390">
        <f>SUM(F41:F44)</f>
        <v>83352.450000000026</v>
      </c>
      <c r="G40" s="390">
        <f>SUM(G41:G44)</f>
        <v>1433.48</v>
      </c>
      <c r="H40" s="365">
        <f t="shared" si="0"/>
        <v>84785.930000000022</v>
      </c>
    </row>
    <row r="41" spans="1:8" s="17" customFormat="1">
      <c r="A41" s="180">
        <v>7.1</v>
      </c>
      <c r="B41" s="181" t="s">
        <v>326</v>
      </c>
      <c r="C41" s="409"/>
      <c r="D41" s="409"/>
      <c r="E41" s="390">
        <f t="shared" si="1"/>
        <v>0</v>
      </c>
      <c r="F41" s="409"/>
      <c r="G41" s="409"/>
      <c r="H41" s="365">
        <f t="shared" si="0"/>
        <v>0</v>
      </c>
    </row>
    <row r="42" spans="1:8" s="17" customFormat="1" ht="25.5">
      <c r="A42" s="180">
        <v>7.2</v>
      </c>
      <c r="B42" s="181" t="s">
        <v>327</v>
      </c>
      <c r="C42" s="409"/>
      <c r="D42" s="409"/>
      <c r="E42" s="390">
        <f t="shared" si="1"/>
        <v>0</v>
      </c>
      <c r="F42" s="409"/>
      <c r="G42" s="409"/>
      <c r="H42" s="365">
        <f t="shared" si="0"/>
        <v>0</v>
      </c>
    </row>
    <row r="43" spans="1:8" s="17" customFormat="1" ht="25.5">
      <c r="A43" s="180">
        <v>7.3</v>
      </c>
      <c r="B43" s="181" t="s">
        <v>330</v>
      </c>
      <c r="C43" s="409"/>
      <c r="D43" s="409"/>
      <c r="E43" s="390">
        <f t="shared" si="1"/>
        <v>0</v>
      </c>
      <c r="F43" s="409"/>
      <c r="G43" s="409"/>
      <c r="H43" s="365">
        <f t="shared" si="0"/>
        <v>0</v>
      </c>
    </row>
    <row r="44" spans="1:8" s="17" customFormat="1" ht="25.5">
      <c r="A44" s="180">
        <v>7.4</v>
      </c>
      <c r="B44" s="181" t="s">
        <v>331</v>
      </c>
      <c r="C44" s="409">
        <v>142049.28999999992</v>
      </c>
      <c r="D44" s="409">
        <v>4336.0100000000011</v>
      </c>
      <c r="E44" s="390">
        <f t="shared" si="1"/>
        <v>146385.29999999993</v>
      </c>
      <c r="F44" s="409">
        <v>83352.450000000026</v>
      </c>
      <c r="G44" s="409">
        <v>1433.48</v>
      </c>
      <c r="H44" s="365">
        <f t="shared" si="0"/>
        <v>84785.930000000022</v>
      </c>
    </row>
    <row r="45" spans="1:8" s="17" customFormat="1">
      <c r="A45" s="180">
        <v>8</v>
      </c>
      <c r="B45" s="182" t="s">
        <v>308</v>
      </c>
      <c r="C45" s="390">
        <f>SUM(C46:C52)</f>
        <v>784549.20000000007</v>
      </c>
      <c r="D45" s="390">
        <f>SUM(D46:D52)</f>
        <v>330249.8498360659</v>
      </c>
      <c r="E45" s="390">
        <f t="shared" si="1"/>
        <v>1114799.0498360661</v>
      </c>
      <c r="F45" s="390">
        <f>SUM(F46:F52)</f>
        <v>1582448.4000000001</v>
      </c>
      <c r="G45" s="390">
        <f>SUM(G46:G52)</f>
        <v>498998.39999999997</v>
      </c>
      <c r="H45" s="365">
        <f t="shared" si="0"/>
        <v>2081446.8</v>
      </c>
    </row>
    <row r="46" spans="1:8" s="17" customFormat="1">
      <c r="A46" s="180">
        <v>8.1</v>
      </c>
      <c r="B46" s="228" t="s">
        <v>332</v>
      </c>
      <c r="C46" s="409"/>
      <c r="D46" s="409"/>
      <c r="E46" s="390">
        <f t="shared" si="1"/>
        <v>0</v>
      </c>
      <c r="F46" s="409"/>
      <c r="G46" s="409"/>
      <c r="H46" s="365">
        <f t="shared" si="0"/>
        <v>0</v>
      </c>
    </row>
    <row r="47" spans="1:8" s="17" customFormat="1">
      <c r="A47" s="180">
        <v>8.1999999999999993</v>
      </c>
      <c r="B47" s="228" t="s">
        <v>333</v>
      </c>
      <c r="C47" s="409">
        <v>784549.20000000007</v>
      </c>
      <c r="D47" s="409">
        <v>220166.56655737729</v>
      </c>
      <c r="E47" s="390">
        <f t="shared" si="1"/>
        <v>1004715.7665573773</v>
      </c>
      <c r="F47" s="409">
        <v>796099.20000000007</v>
      </c>
      <c r="G47" s="409">
        <v>199599.35999999999</v>
      </c>
      <c r="H47" s="365">
        <f t="shared" si="0"/>
        <v>995698.56</v>
      </c>
    </row>
    <row r="48" spans="1:8" s="17" customFormat="1">
      <c r="A48" s="180">
        <v>8.3000000000000007</v>
      </c>
      <c r="B48" s="228" t="s">
        <v>334</v>
      </c>
      <c r="C48" s="409">
        <v>0</v>
      </c>
      <c r="D48" s="409">
        <v>110083.28327868864</v>
      </c>
      <c r="E48" s="390">
        <f t="shared" si="1"/>
        <v>110083.28327868864</v>
      </c>
      <c r="F48" s="409">
        <v>786349.20000000007</v>
      </c>
      <c r="G48" s="409">
        <v>199599.35999999999</v>
      </c>
      <c r="H48" s="365">
        <f t="shared" si="0"/>
        <v>985948.56</v>
      </c>
    </row>
    <row r="49" spans="1:8" s="17" customFormat="1">
      <c r="A49" s="180">
        <v>8.4</v>
      </c>
      <c r="B49" s="228" t="s">
        <v>335</v>
      </c>
      <c r="C49" s="409"/>
      <c r="D49" s="409"/>
      <c r="E49" s="390">
        <f t="shared" si="1"/>
        <v>0</v>
      </c>
      <c r="F49" s="409">
        <v>0</v>
      </c>
      <c r="G49" s="409">
        <v>99799.679999999993</v>
      </c>
      <c r="H49" s="365">
        <f t="shared" si="0"/>
        <v>99799.679999999993</v>
      </c>
    </row>
    <row r="50" spans="1:8" s="17" customFormat="1">
      <c r="A50" s="180">
        <v>8.5</v>
      </c>
      <c r="B50" s="228" t="s">
        <v>336</v>
      </c>
      <c r="C50" s="409"/>
      <c r="D50" s="409"/>
      <c r="E50" s="390">
        <f t="shared" si="1"/>
        <v>0</v>
      </c>
      <c r="F50" s="409"/>
      <c r="G50" s="409"/>
      <c r="H50" s="365">
        <f t="shared" si="0"/>
        <v>0</v>
      </c>
    </row>
    <row r="51" spans="1:8" s="17" customFormat="1">
      <c r="A51" s="180">
        <v>8.6</v>
      </c>
      <c r="B51" s="228" t="s">
        <v>337</v>
      </c>
      <c r="C51" s="409"/>
      <c r="D51" s="409"/>
      <c r="E51" s="390">
        <f t="shared" si="1"/>
        <v>0</v>
      </c>
      <c r="F51" s="409"/>
      <c r="G51" s="409"/>
      <c r="H51" s="365">
        <f t="shared" si="0"/>
        <v>0</v>
      </c>
    </row>
    <row r="52" spans="1:8" s="17" customFormat="1">
      <c r="A52" s="180">
        <v>8.6999999999999993</v>
      </c>
      <c r="B52" s="228" t="s">
        <v>338</v>
      </c>
      <c r="C52" s="409"/>
      <c r="D52" s="409"/>
      <c r="E52" s="390">
        <f t="shared" si="1"/>
        <v>0</v>
      </c>
      <c r="F52" s="409"/>
      <c r="G52" s="409"/>
      <c r="H52" s="365">
        <f t="shared" si="0"/>
        <v>0</v>
      </c>
    </row>
    <row r="53" spans="1:8" s="17" customFormat="1" ht="15" thickBot="1">
      <c r="A53" s="183">
        <v>9</v>
      </c>
      <c r="B53" s="184" t="s">
        <v>328</v>
      </c>
      <c r="C53" s="413"/>
      <c r="D53" s="413"/>
      <c r="E53" s="413">
        <f t="shared" si="1"/>
        <v>0</v>
      </c>
      <c r="F53" s="413"/>
      <c r="G53" s="413"/>
      <c r="H53" s="40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29" customWidth="1"/>
    <col min="12" max="16384" width="9.140625" style="29"/>
  </cols>
  <sheetData>
    <row r="1" spans="1:8">
      <c r="A1" s="337" t="s">
        <v>30</v>
      </c>
      <c r="B1" s="338" t="s">
        <v>439</v>
      </c>
      <c r="C1" s="3"/>
    </row>
    <row r="2" spans="1:8">
      <c r="A2" s="337" t="s">
        <v>31</v>
      </c>
      <c r="B2" s="339">
        <f>'1. key ratios '!B2</f>
        <v>44196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202</v>
      </c>
      <c r="B4" s="130" t="s">
        <v>302</v>
      </c>
      <c r="D4" s="414" t="s">
        <v>73</v>
      </c>
    </row>
    <row r="5" spans="1:8" ht="15" customHeight="1">
      <c r="A5" s="214" t="s">
        <v>6</v>
      </c>
      <c r="B5" s="215"/>
      <c r="C5" s="415" t="str">
        <f>'1. key ratios '!C5</f>
        <v xml:space="preserve"> 4Q 2020</v>
      </c>
      <c r="D5" s="416" t="str">
        <f>'1. key ratios '!D5</f>
        <v xml:space="preserve"> 3Q 2020</v>
      </c>
    </row>
    <row r="6" spans="1:8" ht="15" customHeight="1">
      <c r="A6" s="39">
        <v>1</v>
      </c>
      <c r="B6" s="321" t="s">
        <v>306</v>
      </c>
      <c r="C6" s="417">
        <f>C7+C9+C10</f>
        <v>353849825.01550949</v>
      </c>
      <c r="D6" s="418">
        <f>D7+D9+D10</f>
        <v>334866146.72064102</v>
      </c>
    </row>
    <row r="7" spans="1:8" ht="15" customHeight="1">
      <c r="A7" s="39">
        <v>1.1000000000000001</v>
      </c>
      <c r="B7" s="321" t="s">
        <v>503</v>
      </c>
      <c r="C7" s="419">
        <v>309116063.40300947</v>
      </c>
      <c r="D7" s="420">
        <v>287914598.33314103</v>
      </c>
    </row>
    <row r="8" spans="1:8">
      <c r="A8" s="39" t="s">
        <v>14</v>
      </c>
      <c r="B8" s="321" t="s">
        <v>201</v>
      </c>
      <c r="C8" s="419"/>
      <c r="D8" s="420"/>
    </row>
    <row r="9" spans="1:8" ht="15" customHeight="1">
      <c r="A9" s="39">
        <v>1.2</v>
      </c>
      <c r="B9" s="322" t="s">
        <v>200</v>
      </c>
      <c r="C9" s="419">
        <v>44733761.612499997</v>
      </c>
      <c r="D9" s="420">
        <v>46951548.387499973</v>
      </c>
    </row>
    <row r="10" spans="1:8" ht="15" customHeight="1">
      <c r="A10" s="39">
        <v>1.3</v>
      </c>
      <c r="B10" s="421" t="s">
        <v>28</v>
      </c>
      <c r="C10" s="419">
        <v>0</v>
      </c>
      <c r="D10" s="420">
        <v>0</v>
      </c>
    </row>
    <row r="11" spans="1:8" ht="15" customHeight="1">
      <c r="A11" s="39">
        <v>2</v>
      </c>
      <c r="B11" s="321" t="s">
        <v>303</v>
      </c>
      <c r="C11" s="422">
        <v>1464177.9683145941</v>
      </c>
      <c r="D11" s="420">
        <v>254931.44905463999</v>
      </c>
    </row>
    <row r="12" spans="1:8" ht="15" customHeight="1">
      <c r="A12" s="39">
        <v>3</v>
      </c>
      <c r="B12" s="321" t="s">
        <v>304</v>
      </c>
      <c r="C12" s="419">
        <v>26883909.351648834</v>
      </c>
      <c r="D12" s="420">
        <v>22160683.935528707</v>
      </c>
    </row>
    <row r="13" spans="1:8" ht="15" customHeight="1" thickBot="1">
      <c r="A13" s="41">
        <v>4</v>
      </c>
      <c r="B13" s="42" t="s">
        <v>305</v>
      </c>
      <c r="C13" s="423">
        <f>C6+C11+C12</f>
        <v>382197912.33547288</v>
      </c>
      <c r="D13" s="424">
        <f>D6+D11+D12</f>
        <v>357281762.10522437</v>
      </c>
    </row>
    <row r="14" spans="1:8">
      <c r="A14" s="425"/>
      <c r="B14" s="426"/>
      <c r="C14" s="426"/>
      <c r="D14" s="426"/>
    </row>
    <row r="15" spans="1:8" ht="25.5">
      <c r="B15" s="46" t="s">
        <v>502</v>
      </c>
    </row>
    <row r="16" spans="1:8">
      <c r="B16" s="46"/>
    </row>
    <row r="17" spans="1:4" ht="11.25">
      <c r="A17" s="29"/>
      <c r="B17" s="29"/>
      <c r="C17" s="29"/>
      <c r="D17" s="29"/>
    </row>
    <row r="18" spans="1:4" ht="11.25">
      <c r="A18" s="29"/>
      <c r="B18" s="29"/>
      <c r="C18" s="29"/>
      <c r="D18" s="29"/>
    </row>
    <row r="19" spans="1:4" ht="11.25">
      <c r="A19" s="29"/>
      <c r="B19" s="29"/>
      <c r="C19" s="29"/>
      <c r="D19" s="29"/>
    </row>
    <row r="20" spans="1:4" ht="11.25">
      <c r="A20" s="29"/>
      <c r="B20" s="29"/>
      <c r="C20" s="29"/>
      <c r="D20" s="29"/>
    </row>
    <row r="21" spans="1:4" ht="11.25">
      <c r="A21" s="29"/>
      <c r="B21" s="29"/>
      <c r="C21" s="29"/>
      <c r="D21" s="29"/>
    </row>
    <row r="22" spans="1:4" ht="11.25">
      <c r="A22" s="29"/>
      <c r="B22" s="29"/>
      <c r="C22" s="29"/>
      <c r="D22" s="29"/>
    </row>
    <row r="23" spans="1:4" ht="11.25">
      <c r="A23" s="29"/>
      <c r="B23" s="29"/>
      <c r="C23" s="29"/>
      <c r="D23" s="29"/>
    </row>
    <row r="24" spans="1:4" ht="11.25">
      <c r="A24" s="29"/>
      <c r="B24" s="29"/>
      <c r="C24" s="29"/>
      <c r="D24" s="29"/>
    </row>
    <row r="25" spans="1:4" ht="11.25">
      <c r="A25" s="29"/>
      <c r="B25" s="29"/>
      <c r="C25" s="29"/>
      <c r="D25" s="29"/>
    </row>
    <row r="26" spans="1:4" ht="11.25">
      <c r="A26" s="29"/>
      <c r="B26" s="29"/>
      <c r="C26" s="29"/>
      <c r="D26" s="29"/>
    </row>
    <row r="27" spans="1:4" ht="11.25">
      <c r="A27" s="29"/>
      <c r="B27" s="29"/>
      <c r="C27" s="29"/>
      <c r="D27" s="29"/>
    </row>
    <row r="28" spans="1:4" ht="11.25">
      <c r="A28" s="29"/>
      <c r="B28" s="29"/>
      <c r="C28" s="29"/>
      <c r="D28" s="29"/>
    </row>
    <row r="29" spans="1:4" ht="11.25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44196</v>
      </c>
    </row>
    <row r="4" spans="1:8" ht="16.5" customHeight="1" thickBot="1">
      <c r="A4" s="47" t="s">
        <v>80</v>
      </c>
      <c r="B4" s="48" t="s">
        <v>272</v>
      </c>
      <c r="C4" s="49"/>
    </row>
    <row r="5" spans="1:8">
      <c r="A5" s="50"/>
      <c r="B5" s="547" t="s">
        <v>81</v>
      </c>
      <c r="C5" s="548"/>
    </row>
    <row r="6" spans="1:8">
      <c r="A6" s="51">
        <v>1</v>
      </c>
      <c r="B6" s="427" t="s">
        <v>514</v>
      </c>
      <c r="C6" s="53"/>
    </row>
    <row r="7" spans="1:8">
      <c r="A7" s="51">
        <v>2</v>
      </c>
      <c r="B7" s="427" t="s">
        <v>449</v>
      </c>
      <c r="C7" s="53"/>
    </row>
    <row r="8" spans="1:8">
      <c r="A8" s="51">
        <v>3</v>
      </c>
      <c r="B8" s="427" t="s">
        <v>442</v>
      </c>
      <c r="C8" s="53"/>
    </row>
    <row r="9" spans="1:8">
      <c r="A9" s="51">
        <v>4</v>
      </c>
      <c r="B9" s="427" t="s">
        <v>497</v>
      </c>
      <c r="C9" s="53"/>
    </row>
    <row r="10" spans="1:8">
      <c r="A10" s="51">
        <v>5</v>
      </c>
      <c r="B10" s="427" t="s">
        <v>451</v>
      </c>
      <c r="C10" s="53"/>
    </row>
    <row r="11" spans="1:8">
      <c r="A11" s="51">
        <v>6</v>
      </c>
      <c r="B11" s="427" t="s">
        <v>516</v>
      </c>
      <c r="C11" s="53"/>
    </row>
    <row r="12" spans="1:8">
      <c r="A12" s="51">
        <v>7</v>
      </c>
      <c r="B12" s="427"/>
      <c r="C12" s="53"/>
      <c r="H12" s="54"/>
    </row>
    <row r="13" spans="1:8">
      <c r="A13" s="51">
        <v>8</v>
      </c>
      <c r="B13" s="427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49"/>
      <c r="C16" s="550"/>
    </row>
    <row r="17" spans="1:3">
      <c r="A17" s="51"/>
      <c r="B17" s="551" t="s">
        <v>82</v>
      </c>
      <c r="C17" s="552"/>
    </row>
    <row r="18" spans="1:3">
      <c r="A18" s="51">
        <v>1</v>
      </c>
      <c r="B18" s="427" t="s">
        <v>440</v>
      </c>
      <c r="C18" s="55"/>
    </row>
    <row r="19" spans="1:3">
      <c r="A19" s="51">
        <v>2</v>
      </c>
      <c r="B19" s="427" t="s">
        <v>498</v>
      </c>
      <c r="C19" s="55"/>
    </row>
    <row r="20" spans="1:3">
      <c r="A20" s="51">
        <v>3</v>
      </c>
      <c r="B20" s="427" t="s">
        <v>450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51" t="s">
        <v>83</v>
      </c>
      <c r="C29" s="552"/>
    </row>
    <row r="30" spans="1:3">
      <c r="A30" s="51">
        <v>1</v>
      </c>
      <c r="B30" s="427" t="s">
        <v>443</v>
      </c>
      <c r="C30" s="428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51" t="s">
        <v>84</v>
      </c>
      <c r="C32" s="552"/>
    </row>
    <row r="33" spans="1:3">
      <c r="A33" s="51">
        <v>1</v>
      </c>
      <c r="B33" s="52" t="s">
        <v>444</v>
      </c>
      <c r="C33" s="535">
        <v>0.37080000000000002</v>
      </c>
    </row>
    <row r="34" spans="1:3" ht="15" thickBot="1">
      <c r="A34" s="57">
        <v>2</v>
      </c>
      <c r="B34" s="58" t="s">
        <v>445</v>
      </c>
      <c r="C34" s="536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:E4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30</v>
      </c>
      <c r="B1" s="338" t="s">
        <v>439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44196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206</v>
      </c>
      <c r="B4" s="557" t="s">
        <v>352</v>
      </c>
      <c r="C4" s="558"/>
      <c r="D4" s="558"/>
      <c r="E4" s="558"/>
    </row>
    <row r="5" spans="1:7" s="63" customFormat="1" ht="17.45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5" customHeight="1">
      <c r="A6" s="257"/>
      <c r="B6" s="553" t="s">
        <v>359</v>
      </c>
      <c r="C6" s="553" t="s">
        <v>93</v>
      </c>
      <c r="D6" s="555" t="s">
        <v>205</v>
      </c>
      <c r="E6" s="556"/>
      <c r="G6" s="5"/>
    </row>
    <row r="7" spans="1:7" s="17" customFormat="1" ht="99.6" customHeight="1">
      <c r="A7" s="257"/>
      <c r="B7" s="554"/>
      <c r="C7" s="553"/>
      <c r="D7" s="294" t="s">
        <v>204</v>
      </c>
      <c r="E7" s="295" t="s">
        <v>360</v>
      </c>
      <c r="G7" s="5"/>
    </row>
    <row r="8" spans="1:7">
      <c r="A8" s="258">
        <v>1</v>
      </c>
      <c r="B8" s="296" t="s">
        <v>35</v>
      </c>
      <c r="C8" s="297">
        <f>'2.RC'!E7</f>
        <v>3167089.66</v>
      </c>
      <c r="D8" s="297"/>
      <c r="E8" s="298">
        <f>C8-D8</f>
        <v>3167089.66</v>
      </c>
      <c r="F8" s="17"/>
    </row>
    <row r="9" spans="1:7">
      <c r="A9" s="258">
        <v>2</v>
      </c>
      <c r="B9" s="296" t="s">
        <v>36</v>
      </c>
      <c r="C9" s="297">
        <f>'2.RC'!E8</f>
        <v>55598478.539999999</v>
      </c>
      <c r="D9" s="297"/>
      <c r="E9" s="298">
        <f t="shared" ref="E9:E20" si="0">C9-D9</f>
        <v>55598478.539999999</v>
      </c>
      <c r="F9" s="17"/>
    </row>
    <row r="10" spans="1:7">
      <c r="A10" s="258">
        <v>3</v>
      </c>
      <c r="B10" s="296" t="s">
        <v>37</v>
      </c>
      <c r="C10" s="297">
        <f>'2.RC'!E9</f>
        <v>9935110.6185219996</v>
      </c>
      <c r="D10" s="297"/>
      <c r="E10" s="298">
        <f t="shared" si="0"/>
        <v>9935110.6185219996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32435066.865535133</v>
      </c>
      <c r="D12" s="297"/>
      <c r="E12" s="298">
        <f t="shared" si="0"/>
        <v>32435066.865535133</v>
      </c>
      <c r="F12" s="17"/>
    </row>
    <row r="13" spans="1:7">
      <c r="A13" s="258">
        <v>6.1</v>
      </c>
      <c r="B13" s="299" t="s">
        <v>40</v>
      </c>
      <c r="C13" s="300">
        <f>'2.RC'!E12</f>
        <v>229735047.61000001</v>
      </c>
      <c r="D13" s="297"/>
      <c r="E13" s="298">
        <f t="shared" si="0"/>
        <v>229735047.61000001</v>
      </c>
      <c r="F13" s="17"/>
    </row>
    <row r="14" spans="1:7">
      <c r="A14" s="258">
        <v>6.2</v>
      </c>
      <c r="B14" s="301" t="s">
        <v>41</v>
      </c>
      <c r="C14" s="300">
        <f>'2.RC'!E13</f>
        <v>-11622777.537200002</v>
      </c>
      <c r="D14" s="297"/>
      <c r="E14" s="298">
        <f t="shared" si="0"/>
        <v>-11622777.537200002</v>
      </c>
      <c r="F14" s="17"/>
    </row>
    <row r="15" spans="1:7">
      <c r="A15" s="258">
        <v>6</v>
      </c>
      <c r="B15" s="296" t="s">
        <v>42</v>
      </c>
      <c r="C15" s="297">
        <f>'2.RC'!E14</f>
        <v>218112270.07279998</v>
      </c>
      <c r="D15" s="297"/>
      <c r="E15" s="298">
        <f t="shared" si="0"/>
        <v>218112270.07279998</v>
      </c>
      <c r="F15" s="17"/>
    </row>
    <row r="16" spans="1:7">
      <c r="A16" s="258">
        <v>7</v>
      </c>
      <c r="B16" s="296" t="s">
        <v>43</v>
      </c>
      <c r="C16" s="297">
        <f>'2.RC'!E15</f>
        <v>2566180.3501340002</v>
      </c>
      <c r="D16" s="297"/>
      <c r="E16" s="298">
        <f t="shared" si="0"/>
        <v>2566180.3501340002</v>
      </c>
      <c r="F16" s="17"/>
    </row>
    <row r="17" spans="1:7">
      <c r="A17" s="258">
        <v>8</v>
      </c>
      <c r="B17" s="296" t="s">
        <v>203</v>
      </c>
      <c r="C17" s="297">
        <f>'2.RC'!E16</f>
        <v>1102533.5200000003</v>
      </c>
      <c r="D17" s="297"/>
      <c r="E17" s="298">
        <f t="shared" si="0"/>
        <v>1102533.5200000003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1471670.1799999992</v>
      </c>
      <c r="D19" s="297">
        <v>317581.60999999987</v>
      </c>
      <c r="E19" s="298">
        <f t="shared" si="0"/>
        <v>1154088.5699999994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2929433.4276665859</v>
      </c>
      <c r="D20" s="297"/>
      <c r="E20" s="298">
        <f t="shared" si="0"/>
        <v>2929433.4276665859</v>
      </c>
      <c r="F20" s="17"/>
    </row>
    <row r="21" spans="1:7" ht="26.25" thickBot="1">
      <c r="A21" s="147"/>
      <c r="B21" s="260" t="s">
        <v>362</v>
      </c>
      <c r="C21" s="199">
        <f>SUM(C8:C12, C15:C20)</f>
        <v>327317833.23465776</v>
      </c>
      <c r="D21" s="199">
        <f>SUM(D8:D12, D15:D20)</f>
        <v>317581.60999999987</v>
      </c>
      <c r="E21" s="302">
        <f>SUM(E8:E12, E15:E20)</f>
        <v>327000251.62465775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4" sqref="B4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337" t="s">
        <v>30</v>
      </c>
      <c r="B1" s="338" t="s">
        <v>439</v>
      </c>
    </row>
    <row r="2" spans="1:6" s="59" customFormat="1" ht="15.75" customHeight="1">
      <c r="A2" s="337" t="s">
        <v>31</v>
      </c>
      <c r="B2" s="339">
        <f>'1. key ratios '!B2</f>
        <v>44196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5" thickBot="1">
      <c r="A4" s="59" t="s">
        <v>85</v>
      </c>
      <c r="B4" s="261" t="s">
        <v>339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361</v>
      </c>
      <c r="C5" s="429">
        <f>'7. LI1 '!E21</f>
        <v>327000251.62465775</v>
      </c>
    </row>
    <row r="6" spans="1:6" s="205" customFormat="1">
      <c r="A6" s="67">
        <v>2.1</v>
      </c>
      <c r="B6" s="201" t="s">
        <v>340</v>
      </c>
      <c r="C6" s="139">
        <f>'4. Off-Balance'!E8+'4. Off-Balance'!E10</f>
        <v>74840234.839999989</v>
      </c>
    </row>
    <row r="7" spans="1:6" s="45" customFormat="1" outlineLevel="1">
      <c r="A7" s="39">
        <v>2.2000000000000002</v>
      </c>
      <c r="B7" s="40" t="s">
        <v>341</v>
      </c>
      <c r="C7" s="206"/>
    </row>
    <row r="8" spans="1:6" s="45" customFormat="1" ht="25.5">
      <c r="A8" s="39">
        <v>3</v>
      </c>
      <c r="B8" s="202" t="s">
        <v>342</v>
      </c>
      <c r="C8" s="430">
        <f>SUM(C5:C7)</f>
        <v>401840486.46465772</v>
      </c>
    </row>
    <row r="9" spans="1:6" s="205" customFormat="1">
      <c r="A9" s="67">
        <v>4</v>
      </c>
      <c r="B9" s="69" t="s">
        <v>87</v>
      </c>
      <c r="C9" s="139">
        <v>4423122.8126938688</v>
      </c>
    </row>
    <row r="10" spans="1:6" s="45" customFormat="1" outlineLevel="1">
      <c r="A10" s="39">
        <v>5.0999999999999996</v>
      </c>
      <c r="B10" s="40" t="s">
        <v>343</v>
      </c>
      <c r="C10" s="432">
        <v>-27470937.404999994</v>
      </c>
    </row>
    <row r="11" spans="1:6" s="45" customFormat="1" outlineLevel="1">
      <c r="A11" s="39">
        <v>5.2</v>
      </c>
      <c r="B11" s="40" t="s">
        <v>344</v>
      </c>
      <c r="C11" s="206"/>
    </row>
    <row r="12" spans="1:6" s="45" customFormat="1">
      <c r="A12" s="39">
        <v>6</v>
      </c>
      <c r="B12" s="200" t="s">
        <v>505</v>
      </c>
      <c r="C12" s="206">
        <v>3431907</v>
      </c>
    </row>
    <row r="13" spans="1:6" s="45" customFormat="1" ht="13.5" thickBot="1">
      <c r="A13" s="41">
        <v>7</v>
      </c>
      <c r="B13" s="203" t="s">
        <v>290</v>
      </c>
      <c r="C13" s="431">
        <f>SUM(C8:C12)</f>
        <v>382224578.87235165</v>
      </c>
    </row>
    <row r="15" spans="1:6" ht="25.5">
      <c r="A15" s="221"/>
      <c r="B15" s="46" t="s">
        <v>504</v>
      </c>
    </row>
    <row r="16" spans="1:6">
      <c r="A16" s="221"/>
      <c r="B16" s="221"/>
      <c r="C16" s="179"/>
    </row>
    <row r="17" spans="1:5" ht="15">
      <c r="A17" s="216"/>
      <c r="B17" s="217"/>
      <c r="C17" s="221"/>
      <c r="D17" s="221"/>
      <c r="E17" s="221"/>
    </row>
    <row r="18" spans="1:5" ht="15">
      <c r="A18" s="222"/>
      <c r="B18" s="223"/>
      <c r="C18" s="221"/>
      <c r="D18" s="221"/>
      <c r="E18" s="221"/>
    </row>
    <row r="19" spans="1:5">
      <c r="A19" s="224"/>
      <c r="B19" s="218"/>
      <c r="C19" s="221"/>
      <c r="D19" s="221"/>
      <c r="E19" s="221"/>
    </row>
    <row r="20" spans="1:5">
      <c r="A20" s="225"/>
      <c r="B20" s="219"/>
      <c r="C20" s="221"/>
      <c r="D20" s="221"/>
      <c r="E20" s="221"/>
    </row>
    <row r="21" spans="1:5">
      <c r="A21" s="225"/>
      <c r="B21" s="223"/>
      <c r="C21" s="221"/>
      <c r="D21" s="221"/>
      <c r="E21" s="221"/>
    </row>
    <row r="22" spans="1:5">
      <c r="A22" s="224"/>
      <c r="B22" s="220"/>
      <c r="C22" s="221"/>
      <c r="D22" s="221"/>
      <c r="E22" s="221"/>
    </row>
    <row r="23" spans="1:5">
      <c r="A23" s="225"/>
      <c r="B23" s="219"/>
      <c r="C23" s="221"/>
      <c r="D23" s="221"/>
      <c r="E23" s="221"/>
    </row>
    <row r="24" spans="1:5">
      <c r="A24" s="225"/>
      <c r="B24" s="219"/>
      <c r="C24" s="221"/>
      <c r="D24" s="221"/>
      <c r="E24" s="221"/>
    </row>
    <row r="25" spans="1:5">
      <c r="A25" s="225"/>
      <c r="B25" s="226"/>
      <c r="C25" s="221"/>
      <c r="D25" s="221"/>
      <c r="E25" s="221"/>
    </row>
    <row r="26" spans="1:5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3.xml"/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fRByGYZG67oawzjtWXn1XX9uEU4=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M+MMud2j1pYz5oIWjsGyiTarzOk=</DigestValue>
    </Reference>
  </SignedInfo>
  <SignatureValue>FGFqMvmHuOGwZeTD5g59oE6i0VHVAqX436A65KIyYHkKnP8gJwWskI8/N/rKQ1exQlZk5j5TZKqA
nW/7ej3obgIRBcyiGmAt9EztRMlf3LJ7f9EloYQNGgw9JVup16AOe+czmetT83RmKvhR3PfJZ232
+DkR99anGnP2R2Z+L7xdswMfqJVdaJFBQUWXSanbpu2u6HuX85cXRHUB8okJf9MyM/1qmb2KDGYg
BXJxWUPVSSR5gho8rOw54VEayMGtZbiUyQnm02qmG3SJ4HZZNZ2LpJ+g+l5gII+00I94X6gS6Hux
dtLE47NXWfyXL/iaseI6SQ4qapSA9muMDx+gzg==</SignatureValue>
  <KeyInfo>
    <X509Data>
      <X509Certificate>MIIGODCCBSCgAwIBAgIKOCPUKwACAAFq+zANBgkqhkiG9w0BAQsFADBKMRIwEAYKCZImiZPyLGQB
GRYCZ2UxEzARBgoJkiaJk/IsZAEZFgNuYmcxHzAdBgNVBAMTFk5CRyBDbGFzcyAyIElOVCBTdWIg
Q0EwHhcNMjAwMjE0MTAzNDE1WhcNMjExMjIyMDk0NjU2WjA2MRswGQYDVQQKExJKU0MgSXNiYW5r
IEdlb3JnaWExFzAVBgNVBAMTDkJJUyAtIE96YW4gR3VyMIIBIjANBgkqhkiG9w0BAQEFAAOCAQ8A
MIIBCgKCAQEA5AaKV/Q4021K/K7TS/Rxv91ukAAKvgKT9KBzgfRok5LbPbM/oa5Kgk7bnpCCByJ3
EmT8YSHQoCs4A9+iHfxywV7+kuyL5DPmPMH7u1hNZRuSq8YUPHytgdotqgvxVeTmvlaZkU7grvb4
e5ezbWwQj9T9dxVjqphFtAx0y5ipQsBTBbnUYLN6cTBZWOEhO6uZCOy8a7q7Q/XWVho4e3MbORqL
DWyZU9Mw04ha+015krYzNo3QU0RD9u2DVHQQdc6yhjS0N+ln5RQTSCnnOiuQNrsN0Ww15TNsstQm
ROmknAcVXJTUIY52QyuWtTzmmaBfE2spuAdSeA1KjmzTVQivMwIDAQABo4IDMjCCAy4wPAYJKwYB
BAGCNxUHBC8wLQYlKwYBBAGCNxUI5rJgg431RIaBmQmDuKFKg76EcQSDxJEzhIOIXQIBZAIBIzAd
BgNVHSUEFjAUBggrBgEFBQcDAgYIKwYBBQUHAwQwCwYDVR0PBAQDAgeAMCcGCSsGAQQBgjcVCgQa
MBgwCgYIKwYBBQUHAwIwCgYIKwYBBQUHAwQwHQYDVR0OBBYEFAAhotqKxsfCcotgI5UDu2FDuGFB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Q0EoMikuY3J0MA0GCSqGSIb3DQEBCwUAA4IBAQAv0gxZI1NAfSOrNjeffn9Xk2dvV07qVJ79j6sH
Ow/5qO0asgLt1ArVjKHqSrYLXnU9G09WjXIY6FWltb0uh0VzQN/qJGsDTMsIGYowaVCz5C+cIRPF
Tyat2/P7OrBzvQOrpYOCXdoq4j2EN9zzoAZ29ZI4P1JUP/KokkFFxNeHFJcCN838s4SbsDL3fzvW
dD6kDgEJVnxkTs/kfSmGvPahXzlQqt/cYDAS48dV44sqruABqeS+9xpcbCk0JbRWSpoaeNcD+tny
ZVAoRKbCBJ2oWnvfi/nR42f7tCLMqy2hS1DpLt4/0sJGer3Q+fRc5o2Oym/rKKiTfzWk4XXMGlNg
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7x29agNXBWWT2aBTuKL4XURozRw=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8hLUyU06Z8VgQzlyq53EGRQVh3c=</DigestValue>
      </Reference>
      <Reference URI="/xl/worksheets/sheet9.xml?ContentType=application/vnd.openxmlformats-officedocument.spreadsheetml.worksheet+xml">
        <DigestMethod Algorithm="http://www.w3.org/2000/09/xmldsig#sha1"/>
        <DigestValue>lBDefvuY8VFLvifeOP1B0FmVbUg=</DigestValue>
      </Reference>
      <Reference URI="/xl/worksheets/sheet5.xml?ContentType=application/vnd.openxmlformats-officedocument.spreadsheetml.worksheet+xml">
        <DigestMethod Algorithm="http://www.w3.org/2000/09/xmldsig#sha1"/>
        <DigestValue>WgZ5b29mrv93tnsl+XiQXRodl1U=</DigestValue>
      </Reference>
      <Reference URI="/xl/worksheets/sheet8.xml?ContentType=application/vnd.openxmlformats-officedocument.spreadsheetml.worksheet+xml">
        <DigestMethod Algorithm="http://www.w3.org/2000/09/xmldsig#sha1"/>
        <DigestValue>+foheUMaX49Z87fKGXOSN6XjTt8=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prNYB0+uvGsZM2gHSfEJQYiHR3M=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vqRdO7MJjeQtZLdkg59HTiQ4Wzo=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worksheets/sheet17.xml?ContentType=application/vnd.openxmlformats-officedocument.spreadsheetml.worksheet+xml">
        <DigestMethod Algorithm="http://www.w3.org/2000/09/xmldsig#sha1"/>
        <DigestValue>t6xmB21VI7uPIzH2DPEZYPMKZB8=</DigestValue>
      </Reference>
      <Reference URI="/xl/worksheets/sheet10.xml?ContentType=application/vnd.openxmlformats-officedocument.spreadsheetml.worksheet+xml">
        <DigestMethod Algorithm="http://www.w3.org/2000/09/xmldsig#sha1"/>
        <DigestValue>RM+3dDM3bD2XRlykgh9TP0N8iTg=</DigestValue>
      </Reference>
      <Reference URI="/xl/styles.xml?ContentType=application/vnd.openxmlformats-officedocument.spreadsheetml.styles+xml">
        <DigestMethod Algorithm="http://www.w3.org/2000/09/xmldsig#sha1"/>
        <DigestValue>/xvCsDuACMexsZuOMiCqLBhhErs=</DigestValue>
      </Reference>
      <Reference URI="/xl/sharedStrings.xml?ContentType=application/vnd.openxmlformats-officedocument.spreadsheetml.sharedStrings+xml">
        <DigestMethod Algorithm="http://www.w3.org/2000/09/xmldsig#sha1"/>
        <DigestValue>AWbMqgHiGW+kJzIDlE7P81v9TdM=</DigestValue>
      </Reference>
      <Reference URI="/xl/worksheets/sheet3.xml?ContentType=application/vnd.openxmlformats-officedocument.spreadsheetml.worksheet+xml">
        <DigestMethod Algorithm="http://www.w3.org/2000/09/xmldsig#sha1"/>
        <DigestValue>Dzy7TbUXNiRnHk2D4ZO0CqldIBI=</DigestValue>
      </Reference>
      <Reference URI="/xl/worksheets/sheet11.xml?ContentType=application/vnd.openxmlformats-officedocument.spreadsheetml.worksheet+xml">
        <DigestMethod Algorithm="http://www.w3.org/2000/09/xmldsig#sha1"/>
        <DigestValue>lYkB89L8td9sngX6LfXY8sDvElc=</DigestValue>
      </Reference>
      <Reference URI="/xl/worksheets/sheet18.xml?ContentType=application/vnd.openxmlformats-officedocument.spreadsheetml.worksheet+xml">
        <DigestMethod Algorithm="http://www.w3.org/2000/09/xmldsig#sha1"/>
        <DigestValue>TSuj69ZIM7hMpmKiXipIsCCwans=</DigestValue>
      </Reference>
      <Reference URI="/xl/worksheets/sheet16.xml?ContentType=application/vnd.openxmlformats-officedocument.spreadsheetml.worksheet+xml">
        <DigestMethod Algorithm="http://www.w3.org/2000/09/xmldsig#sha1"/>
        <DigestValue>lz1oE2PMzl0AOWIR+hXuQKPM8c8=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sY33B7Mark9wO+AHEP8l6Px6kOI=</DigestValue>
      </Reference>
      <Reference URI="/xl/worksheets/sheet2.xml?ContentType=application/vnd.openxmlformats-officedocument.spreadsheetml.worksheet+xml">
        <DigestMethod Algorithm="http://www.w3.org/2000/09/xmldsig#sha1"/>
        <DigestValue>6u+tYC933+4fg3eoTTSMCSAW15E=</DigestValue>
      </Reference>
      <Reference URI="/xl/worksheets/sheet12.xml?ContentType=application/vnd.openxmlformats-officedocument.spreadsheetml.worksheet+xml">
        <DigestMethod Algorithm="http://www.w3.org/2000/09/xmldsig#sha1"/>
        <DigestValue>T7yA6fPH2O2yyco56ohXAhEFRH8=</DigestValue>
      </Reference>
      <Reference URI="/xl/worksheets/sheet4.xml?ContentType=application/vnd.openxmlformats-officedocument.spreadsheetml.worksheet+xml">
        <DigestMethod Algorithm="http://www.w3.org/2000/09/xmldsig#sha1"/>
        <DigestValue>Un01YUR/0HqUlG9sFlkbWpWdcoA=</DigestValue>
      </Reference>
      <Reference URI="/xl/worksheets/sheet15.xml?ContentType=application/vnd.openxmlformats-officedocument.spreadsheetml.worksheet+xml">
        <DigestMethod Algorithm="http://www.w3.org/2000/09/xmldsig#sha1"/>
        <DigestValue>9vRjFxr2MPLNdiG/6dmJkTt5dCE=</DigestValue>
      </Reference>
      <Reference URI="/xl/worksheets/sheet14.xml?ContentType=application/vnd.openxmlformats-officedocument.spreadsheetml.worksheet+xml">
        <DigestMethod Algorithm="http://www.w3.org/2000/09/xmldsig#sha1"/>
        <DigestValue>/AOdwM5fW+n/3DlFvbdAE46zJWM=</DigestValue>
      </Reference>
      <Reference URI="/xl/workbook.xml?ContentType=application/vnd.openxmlformats-officedocument.spreadsheetml.sheet.main+xml">
        <DigestMethod Algorithm="http://www.w3.org/2000/09/xmldsig#sha1"/>
        <DigestValue>wckkkY18FIcGCQA4zyWDZ1/Q9jU=</DigestValue>
      </Reference>
      <Reference URI="/xl/worksheets/sheet13.xml?ContentType=application/vnd.openxmlformats-officedocument.spreadsheetml.worksheet+xml">
        <DigestMethod Algorithm="http://www.w3.org/2000/09/xmldsig#sha1"/>
        <DigestValue>RLuVHbORZJ9RQe23Rs+iBBhKXCo=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2021-01-29T13:03:58Z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2021-01-29T13:03:58Z</xd:SigningTime>
          <xd:SigningCertificate>
            <xd:Cert>
              <xd:CertDigest>
                <DigestMethod Algorithm="http://www.w3.org/2000/09/xmldsig#sha1"/>
                <DigestValue>tsV2QztD7rksdxd/FqbKeF94fDc=</DigestValue>
              </xd:CertDigest>
              <xd:IssuerSerial>
                <X509IssuerName>CN=NBG Class 2 INT Sub CA, DC=nbg, DC=ge</X509IssuerName>
                <X509SerialNumber>265113447396648595581691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aE2tr+3RrfgBffmEh8Gj31BTVWI=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v3T77wxAAHzWKOaXIoxSv1QAtqs=</DigestValue>
    </Reference>
  </SignedInfo>
  <SignatureValue>x5/ctthXNg1U1Skrjb2cNFUv+x0JRFeICMHrnw+k6AN/dlKrKaaHezHbQzG3KcjJjcXJgfTKEnZh
k12QlhEkIvL+kaf3HXgIAdY5CQ6Hqd6+jP75/BxtJ1D7oGbG/sOTf3kESTzOB88Kh0QNIzPqoHwz
CMXfCiY/E4x9MmixY202yXRFQepxt8OfpAIIRJRqtC4FubWJ1IvA9BrJBvFvt5VOFLuq4xaFjG4y
orkuoGwI6ITzqegyG2vpbrpkRNgg/q3NS5uhihhG1IUF9wvSnSrXoJN/7bU/EnDgR8DONiQlsWJM
9UgNVeyQQ9Tq7E9Bsw4YiNAhkDhQ9lbr9Lfl8Q==</SignatureValue>
  <KeyInfo>
    <X509Data>
      <X509Certificate>MIIGPjCCBSagAwIBAgIKN+cNcgACAAFq9jANBgkqhkiG9w0BAQsFADBKMRIwEAYKCZImiZPyLGQB
GRYCZ2UxEzARBgoJkiaJk/IsZAEZFgNuYmcxHzAdBgNVBAMTFk5CRyBDbGFzcyAyIElOVCBTdWIg
Q0EwHhcNMjAwMjE0MDkyNzUyWhcNMjExMjIyMDk0NjU2WjA8MRswGQYDVQQKExJKU0MgSXNiYW5r
IEdlb3JnaWExHTAbBgNVBAMTFEJJUyAtIFVjaGEgU2FyYWxpZHplMIIBIjANBgkqhkiG9w0BAQEF
AAOCAQ8AMIIBCgKCAQEA0D4bqdqp/9ipmgmoZKySYvP1OzaVfG2jMLfjnryApDA0+E4gZV5v8sr4
u4hthhIghbW0pqyHfI3MUJuzLTIAD1I9rrf5EQ196OfiQJ/WODkcx3kPQu1RIIyo35etA436eayL
1XZu8wa2BV9yVrXmUqS94s1L4ahl5RxiXjGGAl2iUrL6d15Q46+2tCgAk/X4mJtGQfU9V8k/t/jJ
KdoLGLVZrE6awz55dKTkhl4cb7VLByPcccT3eIPDLzbtL/TrLIs7L9hnHn4phQaqZElFU4vyCfFN
r/w/2IQ1PSI7i5tKnFCJrk85X08TQRbaVoYDIW0SXPRVgOuGvcoFxHx3OQIDAQABo4IDMjCCAy4w
PAYJKwYBBAGCNxUHBC8wLQYlKwYBBAGCNxUI5rJgg431RIaBmQmDuKFKg76EcQSDxJEzhIOIXQIB
ZAIBIzAdBgNVHSUEFjAUBggrBgEFBQcDAgYIKwYBBQUHAwQwCwYDVR0PBAQDAgeAMCcGCSsGAQQB
gjcVCgQaMBgwCgYIKwYBBQUHAwIwCgYIKwYBBQUHAwQwHQYDVR0OBBYEFNyLub/t3TZbR0K2Y1XZ
byM0oR26MB8GA1UdIwQYMBaAFMMu0i/wTC8ZwieC/PYurGqwSc/BMIIBJQYDVR0fBIIBHDCCARgw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U3ViJTIwQ0EoMikuY3J0MA0GCSqGSIb3DQEBCwUAA4IBAQBzJkDHFPFcCz1veNJp0X5jjGf3KPGp
EIwlmWjH6OidxOLKl9SlLHzlKGNkc/FgrNaPQedQjwlG2r8ACQFp6VsEKyagRnu5achg7OJk8CTT
WYTbW4yfQxFCE7cXMlrhs0KnE8EMi8f3mnDRzzqv33d+aBT+HZTkr7H58FBWih9q3qgIHT1EpikW
SeGuPd9/Fi7c2aofrydiwe3+uRqrchrUPvrH5t5/jwaKqz0DuMJ6h8aLZhRyLlJHyjUbLpEEoiru
SqxW70YM9+wDWUmf909JrvVbAAJQqDrJFLyn/aD0RVRhOjecNWjSptTzBw+OiSq35E+dA2trghaE
8ZkyOtTC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7x29agNXBWWT2aBTuKL4XURozRw=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8hLUyU06Z8VgQzlyq53EGRQVh3c=</DigestValue>
      </Reference>
      <Reference URI="/xl/worksheets/sheet9.xml?ContentType=application/vnd.openxmlformats-officedocument.spreadsheetml.worksheet+xml">
        <DigestMethod Algorithm="http://www.w3.org/2000/09/xmldsig#sha1"/>
        <DigestValue>lBDefvuY8VFLvifeOP1B0FmVbUg=</DigestValue>
      </Reference>
      <Reference URI="/xl/worksheets/sheet5.xml?ContentType=application/vnd.openxmlformats-officedocument.spreadsheetml.worksheet+xml">
        <DigestMethod Algorithm="http://www.w3.org/2000/09/xmldsig#sha1"/>
        <DigestValue>WgZ5b29mrv93tnsl+XiQXRodl1U=</DigestValue>
      </Reference>
      <Reference URI="/xl/worksheets/sheet8.xml?ContentType=application/vnd.openxmlformats-officedocument.spreadsheetml.worksheet+xml">
        <DigestMethod Algorithm="http://www.w3.org/2000/09/xmldsig#sha1"/>
        <DigestValue>+foheUMaX49Z87fKGXOSN6XjTt8=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prNYB0+uvGsZM2gHSfEJQYiHR3M=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vqRdO7MJjeQtZLdkg59HTiQ4Wzo=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worksheets/sheet17.xml?ContentType=application/vnd.openxmlformats-officedocument.spreadsheetml.worksheet+xml">
        <DigestMethod Algorithm="http://www.w3.org/2000/09/xmldsig#sha1"/>
        <DigestValue>t6xmB21VI7uPIzH2DPEZYPMKZB8=</DigestValue>
      </Reference>
      <Reference URI="/xl/worksheets/sheet10.xml?ContentType=application/vnd.openxmlformats-officedocument.spreadsheetml.worksheet+xml">
        <DigestMethod Algorithm="http://www.w3.org/2000/09/xmldsig#sha1"/>
        <DigestValue>RM+3dDM3bD2XRlykgh9TP0N8iTg=</DigestValue>
      </Reference>
      <Reference URI="/xl/styles.xml?ContentType=application/vnd.openxmlformats-officedocument.spreadsheetml.styles+xml">
        <DigestMethod Algorithm="http://www.w3.org/2000/09/xmldsig#sha1"/>
        <DigestValue>/xvCsDuACMexsZuOMiCqLBhhErs=</DigestValue>
      </Reference>
      <Reference URI="/xl/sharedStrings.xml?ContentType=application/vnd.openxmlformats-officedocument.spreadsheetml.sharedStrings+xml">
        <DigestMethod Algorithm="http://www.w3.org/2000/09/xmldsig#sha1"/>
        <DigestValue>AWbMqgHiGW+kJzIDlE7P81v9TdM=</DigestValue>
      </Reference>
      <Reference URI="/xl/worksheets/sheet3.xml?ContentType=application/vnd.openxmlformats-officedocument.spreadsheetml.worksheet+xml">
        <DigestMethod Algorithm="http://www.w3.org/2000/09/xmldsig#sha1"/>
        <DigestValue>Dzy7TbUXNiRnHk2D4ZO0CqldIBI=</DigestValue>
      </Reference>
      <Reference URI="/xl/worksheets/sheet11.xml?ContentType=application/vnd.openxmlformats-officedocument.spreadsheetml.worksheet+xml">
        <DigestMethod Algorithm="http://www.w3.org/2000/09/xmldsig#sha1"/>
        <DigestValue>lYkB89L8td9sngX6LfXY8sDvElc=</DigestValue>
      </Reference>
      <Reference URI="/xl/worksheets/sheet18.xml?ContentType=application/vnd.openxmlformats-officedocument.spreadsheetml.worksheet+xml">
        <DigestMethod Algorithm="http://www.w3.org/2000/09/xmldsig#sha1"/>
        <DigestValue>TSuj69ZIM7hMpmKiXipIsCCwans=</DigestValue>
      </Reference>
      <Reference URI="/xl/worksheets/sheet16.xml?ContentType=application/vnd.openxmlformats-officedocument.spreadsheetml.worksheet+xml">
        <DigestMethod Algorithm="http://www.w3.org/2000/09/xmldsig#sha1"/>
        <DigestValue>lz1oE2PMzl0AOWIR+hXuQKPM8c8=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sY33B7Mark9wO+AHEP8l6Px6kOI=</DigestValue>
      </Reference>
      <Reference URI="/xl/worksheets/sheet2.xml?ContentType=application/vnd.openxmlformats-officedocument.spreadsheetml.worksheet+xml">
        <DigestMethod Algorithm="http://www.w3.org/2000/09/xmldsig#sha1"/>
        <DigestValue>6u+tYC933+4fg3eoTTSMCSAW15E=</DigestValue>
      </Reference>
      <Reference URI="/xl/worksheets/sheet12.xml?ContentType=application/vnd.openxmlformats-officedocument.spreadsheetml.worksheet+xml">
        <DigestMethod Algorithm="http://www.w3.org/2000/09/xmldsig#sha1"/>
        <DigestValue>T7yA6fPH2O2yyco56ohXAhEFRH8=</DigestValue>
      </Reference>
      <Reference URI="/xl/worksheets/sheet4.xml?ContentType=application/vnd.openxmlformats-officedocument.spreadsheetml.worksheet+xml">
        <DigestMethod Algorithm="http://www.w3.org/2000/09/xmldsig#sha1"/>
        <DigestValue>Un01YUR/0HqUlG9sFlkbWpWdcoA=</DigestValue>
      </Reference>
      <Reference URI="/xl/worksheets/sheet15.xml?ContentType=application/vnd.openxmlformats-officedocument.spreadsheetml.worksheet+xml">
        <DigestMethod Algorithm="http://www.w3.org/2000/09/xmldsig#sha1"/>
        <DigestValue>9vRjFxr2MPLNdiG/6dmJkTt5dCE=</DigestValue>
      </Reference>
      <Reference URI="/xl/worksheets/sheet14.xml?ContentType=application/vnd.openxmlformats-officedocument.spreadsheetml.worksheet+xml">
        <DigestMethod Algorithm="http://www.w3.org/2000/09/xmldsig#sha1"/>
        <DigestValue>/AOdwM5fW+n/3DlFvbdAE46zJWM=</DigestValue>
      </Reference>
      <Reference URI="/xl/workbook.xml?ContentType=application/vnd.openxmlformats-officedocument.spreadsheetml.sheet.main+xml">
        <DigestMethod Algorithm="http://www.w3.org/2000/09/xmldsig#sha1"/>
        <DigestValue>wckkkY18FIcGCQA4zyWDZ1/Q9jU=</DigestValue>
      </Reference>
      <Reference URI="/xl/worksheets/sheet13.xml?ContentType=application/vnd.openxmlformats-officedocument.spreadsheetml.worksheet+xml">
        <DigestMethod Algorithm="http://www.w3.org/2000/09/xmldsig#sha1"/>
        <DigestValue>RLuVHbORZJ9RQe23Rs+iBBhKXCo=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2021-01-29T13:04:20Z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2021-01-29T13:04:20Z</xd:SigningTime>
          <xd:SigningCertificate>
            <xd:Cert>
              <xd:CertDigest>
                <DigestMethod Algorithm="http://www.w3.org/2000/09/xmldsig#sha1"/>
                <DigestValue>5WpQYAgbzOF+m7lYDHeLczacZFQ=</DigestValue>
              </xd:CertDigest>
              <xd:IssuerSerial>
                <X509IssuerName>CN=NBG Class 2 INT Sub CA, DC=nbg, DC=ge</X509IssuerName>
                <X509SerialNumber>263992323275735821282038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2021-01-29T10:24:30Z</dcterms:modified>
</cp:coreProperties>
</file>